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theme/themeOverride1.xml" ContentType="application/vnd.openxmlformats-officedocument.themeOverride+xml"/>
  <Override PartName="/xl/charts/chart2.xml" ContentType="application/vnd.openxmlformats-officedocument.drawingml.chart+xml"/>
  <Override PartName="/xl/theme/themeOverride2.xml" ContentType="application/vnd.openxmlformats-officedocument.themeOverride+xml"/>
  <Override PartName="/xl/charts/chart3.xml" ContentType="application/vnd.openxmlformats-officedocument.drawingml.chart+xml"/>
  <Override PartName="/xl/theme/themeOverride3.xml" ContentType="application/vnd.openxmlformats-officedocument.themeOverride+xml"/>
  <Override PartName="/xl/charts/chart4.xml" ContentType="application/vnd.openxmlformats-officedocument.drawingml.chart+xml"/>
  <Override PartName="/xl/theme/themeOverride4.xml" ContentType="application/vnd.openxmlformats-officedocument.themeOverride+xml"/>
  <Override PartName="/xl/drawings/drawing2.xml" ContentType="application/vnd.openxmlformats-officedocument.drawingml.chartshapes+xml"/>
  <Override PartName="/xl/drawings/drawing3.xml" ContentType="application/vnd.openxmlformats-officedocument.drawing+xml"/>
  <Override PartName="/xl/charts/chart5.xml" ContentType="application/vnd.openxmlformats-officedocument.drawingml.chart+xml"/>
  <Override PartName="/xl/theme/themeOverride5.xml" ContentType="application/vnd.openxmlformats-officedocument.themeOverride+xml"/>
  <Override PartName="/xl/charts/chart6.xml" ContentType="application/vnd.openxmlformats-officedocument.drawingml.chart+xml"/>
  <Override PartName="/xl/theme/themeOverride6.xml" ContentType="application/vnd.openxmlformats-officedocument.themeOverride+xml"/>
  <Override PartName="/xl/charts/chart7.xml" ContentType="application/vnd.openxmlformats-officedocument.drawingml.chart+xml"/>
  <Override PartName="/xl/theme/themeOverride7.xml" ContentType="application/vnd.openxmlformats-officedocument.themeOverride+xml"/>
  <Override PartName="/xl/drawings/drawing4.xml" ContentType="application/vnd.openxmlformats-officedocument.drawing+xml"/>
  <Override PartName="/xl/drawings/drawing5.xml" ContentType="application/vnd.openxmlformats-officedocument.drawing+xml"/>
  <Override PartName="/xl/charts/chart8.xml" ContentType="application/vnd.openxmlformats-officedocument.drawingml.chart+xml"/>
  <Override PartName="/xl/theme/themeOverride8.xml" ContentType="application/vnd.openxmlformats-officedocument.themeOverride+xml"/>
  <Override PartName="/xl/charts/chart9.xml" ContentType="application/vnd.openxmlformats-officedocument.drawingml.chart+xml"/>
  <Override PartName="/xl/theme/themeOverride9.xml" ContentType="application/vnd.openxmlformats-officedocument.themeOverride+xml"/>
  <Override PartName="/xl/charts/chart10.xml" ContentType="application/vnd.openxmlformats-officedocument.drawingml.chart+xml"/>
  <Override PartName="/xl/theme/themeOverride10.xml" ContentType="application/vnd.openxmlformats-officedocument.themeOverride+xml"/>
  <Override PartName="/xl/drawings/drawing6.xml" ContentType="application/vnd.openxmlformats-officedocument.drawing+xml"/>
  <Override PartName="/xl/charts/chart11.xml" ContentType="application/vnd.openxmlformats-officedocument.drawingml.chart+xml"/>
  <Override PartName="/xl/theme/themeOverride11.xml" ContentType="application/vnd.openxmlformats-officedocument.themeOverride+xml"/>
  <Override PartName="/xl/charts/chart12.xml" ContentType="application/vnd.openxmlformats-officedocument.drawingml.chart+xml"/>
  <Override PartName="/xl/theme/themeOverride12.xml" ContentType="application/vnd.openxmlformats-officedocument.themeOverride+xml"/>
  <Override PartName="/xl/charts/chart13.xml" ContentType="application/vnd.openxmlformats-officedocument.drawingml.chart+xml"/>
  <Override PartName="/xl/theme/themeOverride13.xml" ContentType="application/vnd.openxmlformats-officedocument.themeOverride+xml"/>
  <Override PartName="/xl/charts/chart14.xml" ContentType="application/vnd.openxmlformats-officedocument.drawingml.chart+xml"/>
  <Override PartName="/xl/theme/themeOverride14.xml" ContentType="application/vnd.openxmlformats-officedocument.themeOverride+xml"/>
  <Override PartName="/xl/charts/chart15.xml" ContentType="application/vnd.openxmlformats-officedocument.drawingml.chart+xml"/>
  <Override PartName="/xl/theme/themeOverride15.xml" ContentType="application/vnd.openxmlformats-officedocument.themeOverrid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21585" yWindow="9195" windowWidth="7230" windowHeight="4620"/>
  </bookViews>
  <sheets>
    <sheet name="まとめ" sheetId="1" r:id="rId1"/>
    <sheet name="集計表" sheetId="9" r:id="rId2"/>
    <sheet name="試験焼却" sheetId="7" r:id="rId3"/>
    <sheet name="灰量排ガス井戸" sheetId="8" r:id="rId4"/>
    <sheet name="元表" sheetId="2" r:id="rId5"/>
    <sheet name="月間量回帰式" sheetId="5" r:id="rId6"/>
    <sheet name="濃度回帰式" sheetId="6" r:id="rId7"/>
    <sheet name="一廃実調" sheetId="4" r:id="rId8"/>
  </sheets>
  <definedNames>
    <definedName name="_xlnm._FilterDatabase" localSheetId="1" hidden="1">集計表!$O$81:$AB$258</definedName>
    <definedName name="Cs134Av">まとめ!$AG$10</definedName>
    <definedName name="Cs137Av">まとめ!$AH$10</definedName>
    <definedName name="下駄1" localSheetId="6">濃度回帰式!$M$49</definedName>
    <definedName name="下駄2">濃度回帰式!$P$49</definedName>
    <definedName name="月">まとめ!$R$7:$R$19</definedName>
    <definedName name="月値割合表">まとめ!$R$7:$S$19</definedName>
    <definedName name="月別割合">まとめ!$R$7:$S$19</definedName>
    <definedName name="採取日1">まとめ!$AE$8</definedName>
    <definedName name="採取日2">まとめ!$AE$9</definedName>
    <definedName name="事故日">濃度回帰式!$C$60</definedName>
    <definedName name="事故日の濃度1" localSheetId="6">濃度回帰式!$M$50</definedName>
    <definedName name="事故日の濃度2">濃度回帰式!$P$50</definedName>
    <definedName name="主灰発生率">まとめ!$Z$18</definedName>
    <definedName name="除数11" localSheetId="6">濃度回帰式!$M$48</definedName>
    <definedName name="除数12">濃度回帰式!$M$51</definedName>
    <definedName name="除数21">濃度回帰式!$P$48</definedName>
    <definedName name="除数22">濃度回帰式!$P$51</definedName>
    <definedName name="焼却_t_年">まとめ!$X$7:$X$15</definedName>
    <definedName name="調査初日">まとめ!$R$33</definedName>
    <definedName name="年度">まとめ!$W$7:$W$15</definedName>
    <definedName name="年度別焼却量">まとめ!$W$7:$X$15</definedName>
    <definedName name="濃度比">まとめ!$AB$13</definedName>
    <definedName name="半1" localSheetId="6">濃度回帰式!$M$47</definedName>
    <definedName name="半2">濃度回帰式!$P$47</definedName>
    <definedName name="半Cs134">まとめ!$AF$28</definedName>
    <definedName name="半Cs137">まとめ!$AG$28</definedName>
    <definedName name="半I131">まとめ!$AE$28</definedName>
    <definedName name="飛灰発生率">まとめ!$Z$17</definedName>
  </definedNames>
  <calcPr calcId="145621" refMode="R1C1"/>
</workbook>
</file>

<file path=xl/calcChain.xml><?xml version="1.0" encoding="utf-8"?>
<calcChain xmlns="http://schemas.openxmlformats.org/spreadsheetml/2006/main">
  <c r="AS112" i="1" l="1"/>
  <c r="AS113" i="1"/>
  <c r="AS114" i="1"/>
  <c r="AS115" i="1"/>
  <c r="AS116" i="1"/>
  <c r="AS117" i="1"/>
  <c r="AD33" i="1"/>
  <c r="AD34" i="1"/>
  <c r="AD35" i="1"/>
  <c r="AD36" i="1"/>
  <c r="AD37" i="1"/>
  <c r="AD38" i="1"/>
  <c r="AD39" i="1"/>
  <c r="AD40" i="1"/>
  <c r="AD41" i="1"/>
  <c r="AD42" i="1"/>
  <c r="AD43" i="1"/>
  <c r="AD44" i="1"/>
  <c r="AD45" i="1"/>
  <c r="AD46" i="1"/>
  <c r="AD47" i="1"/>
  <c r="AD48" i="1"/>
  <c r="AD49" i="1"/>
  <c r="AD50" i="1"/>
  <c r="AD51" i="1"/>
  <c r="AD52" i="1"/>
  <c r="AD53" i="1"/>
  <c r="AD54" i="1"/>
  <c r="AD55" i="1"/>
  <c r="AD56" i="1"/>
  <c r="AD57" i="1"/>
  <c r="AD58" i="1"/>
  <c r="AD59" i="1"/>
  <c r="AD60" i="1"/>
  <c r="AD61" i="1"/>
  <c r="AD62" i="1"/>
  <c r="AD63" i="1"/>
  <c r="AD64" i="1"/>
  <c r="AD65" i="1"/>
  <c r="AD66" i="1"/>
  <c r="AD67" i="1"/>
  <c r="AD68" i="1"/>
  <c r="AD69" i="1"/>
  <c r="AD70" i="1"/>
  <c r="AD71" i="1"/>
  <c r="AD72" i="1"/>
  <c r="AD73" i="1"/>
  <c r="AD74" i="1"/>
  <c r="AD75" i="1"/>
  <c r="AD76" i="1"/>
  <c r="AD77" i="1"/>
  <c r="AD78" i="1"/>
  <c r="AD79" i="1"/>
  <c r="AD80" i="1"/>
  <c r="AD81" i="1"/>
  <c r="AD82" i="1"/>
  <c r="AD83" i="1"/>
  <c r="AD84" i="1"/>
  <c r="AD85" i="1"/>
  <c r="AD86" i="1"/>
  <c r="AD87" i="1"/>
  <c r="AD88" i="1"/>
  <c r="AD89" i="1"/>
  <c r="AD90" i="1"/>
  <c r="AD91" i="1"/>
  <c r="AD92" i="1"/>
  <c r="AD93" i="1"/>
  <c r="AD94" i="1"/>
  <c r="AD95" i="1"/>
  <c r="AD96" i="1"/>
  <c r="AD97" i="1"/>
  <c r="AD98" i="1"/>
  <c r="AD99" i="1"/>
  <c r="AD100" i="1"/>
  <c r="AD101" i="1"/>
  <c r="AD102" i="1"/>
  <c r="AD103" i="1"/>
  <c r="AD104" i="1"/>
  <c r="AD105" i="1"/>
  <c r="AD106" i="1"/>
  <c r="AD107" i="1"/>
  <c r="AD108" i="1"/>
  <c r="AD109" i="1"/>
  <c r="AD110" i="1"/>
  <c r="AD111" i="1"/>
  <c r="AD112" i="1"/>
  <c r="AD113" i="1"/>
  <c r="AD114" i="1"/>
  <c r="AD115" i="1"/>
  <c r="AD116" i="1"/>
  <c r="AD117" i="1"/>
  <c r="AD118" i="1"/>
  <c r="AD119" i="1"/>
  <c r="AD120" i="1"/>
  <c r="AD121" i="1"/>
  <c r="AQ121" i="1"/>
  <c r="AQ120" i="1"/>
  <c r="AQ119" i="1"/>
  <c r="AQ118" i="1"/>
  <c r="AQ117" i="1"/>
  <c r="AQ116" i="1"/>
  <c r="AQ115" i="1"/>
  <c r="AQ114" i="1"/>
  <c r="AQ113" i="1"/>
  <c r="AQ112" i="1"/>
  <c r="AQ111" i="1"/>
  <c r="AQ110" i="1"/>
  <c r="AQ109" i="1"/>
  <c r="AQ108" i="1"/>
  <c r="AQ107" i="1"/>
  <c r="AQ106" i="1"/>
  <c r="AQ105" i="1"/>
  <c r="AQ104" i="1"/>
  <c r="AQ103" i="1"/>
  <c r="AQ102" i="1"/>
  <c r="AQ101" i="1"/>
  <c r="AQ100" i="1"/>
  <c r="AQ99" i="1"/>
  <c r="AQ98" i="1"/>
  <c r="AQ97" i="1"/>
  <c r="AQ96" i="1"/>
  <c r="AQ95" i="1"/>
  <c r="AQ94" i="1"/>
  <c r="AQ93" i="1"/>
  <c r="AQ92" i="1"/>
  <c r="AQ91" i="1"/>
  <c r="AQ90" i="1"/>
  <c r="AQ89" i="1"/>
  <c r="AQ88" i="1"/>
  <c r="AQ87" i="1"/>
  <c r="AQ86" i="1"/>
  <c r="AQ85" i="1"/>
  <c r="AQ84" i="1"/>
  <c r="AQ83" i="1"/>
  <c r="AQ82" i="1"/>
  <c r="AQ81" i="1"/>
  <c r="AQ80" i="1"/>
  <c r="AQ79" i="1"/>
  <c r="AQ78" i="1"/>
  <c r="AQ77" i="1"/>
  <c r="AQ76" i="1"/>
  <c r="AQ75" i="1"/>
  <c r="AQ74" i="1"/>
  <c r="AQ73" i="1"/>
  <c r="AQ72" i="1"/>
  <c r="AQ71" i="1"/>
  <c r="AQ70" i="1"/>
  <c r="AQ69" i="1"/>
  <c r="AQ68" i="1"/>
  <c r="AQ67" i="1"/>
  <c r="AQ66" i="1"/>
  <c r="AQ65" i="1"/>
  <c r="AQ64" i="1"/>
  <c r="AQ63" i="1"/>
  <c r="AQ62" i="1"/>
  <c r="AQ61" i="1"/>
  <c r="AQ60" i="1"/>
  <c r="AQ59" i="1"/>
  <c r="AQ58" i="1"/>
  <c r="AQ57" i="1"/>
  <c r="AQ56" i="1"/>
  <c r="AQ55" i="1"/>
  <c r="AQ54" i="1"/>
  <c r="AQ53" i="1"/>
  <c r="AQ52" i="1"/>
  <c r="AQ51" i="1"/>
  <c r="AQ50" i="1"/>
  <c r="AQ49" i="1"/>
  <c r="AQ48" i="1"/>
  <c r="AQ47" i="1"/>
  <c r="AQ46" i="1"/>
  <c r="AQ45" i="1"/>
  <c r="AQ44" i="1"/>
  <c r="AQ43" i="1"/>
  <c r="AQ42" i="1"/>
  <c r="AQ41" i="1"/>
  <c r="AQ40" i="1"/>
  <c r="AQ39" i="1"/>
  <c r="AQ38" i="1"/>
  <c r="AQ37" i="1"/>
  <c r="AQ36" i="1"/>
  <c r="AQ35" i="1"/>
  <c r="AQ33" i="1"/>
  <c r="AQ34" i="1"/>
  <c r="U118" i="1" l="1"/>
  <c r="U119" i="1" s="1"/>
  <c r="U120" i="1" s="1"/>
  <c r="U117" i="1"/>
  <c r="U82" i="1"/>
  <c r="U83" i="1" s="1"/>
  <c r="U84" i="1" s="1"/>
  <c r="U85" i="1" s="1"/>
  <c r="U86" i="1" s="1"/>
  <c r="U87" i="1" s="1"/>
  <c r="U88" i="1" s="1"/>
  <c r="U89" i="1" s="1"/>
  <c r="U90" i="1" s="1"/>
  <c r="U91" i="1" s="1"/>
  <c r="U92" i="1" s="1"/>
  <c r="U93" i="1" s="1"/>
  <c r="U94" i="1" s="1"/>
  <c r="U95" i="1" s="1"/>
  <c r="U96" i="1" s="1"/>
  <c r="U97" i="1" s="1"/>
  <c r="U98" i="1" s="1"/>
  <c r="U99" i="1" s="1"/>
  <c r="U100" i="1" s="1"/>
  <c r="U101" i="1" s="1"/>
  <c r="U102" i="1" s="1"/>
  <c r="U103" i="1" s="1"/>
  <c r="U104" i="1" s="1"/>
  <c r="U105" i="1" s="1"/>
  <c r="U106" i="1" s="1"/>
  <c r="U107" i="1" s="1"/>
  <c r="U108" i="1" s="1"/>
  <c r="U109" i="1" s="1"/>
  <c r="U35" i="1"/>
  <c r="U36" i="1" s="1"/>
  <c r="U37" i="1" s="1"/>
  <c r="U38" i="1" s="1"/>
  <c r="U39" i="1" s="1"/>
  <c r="U40" i="1" s="1"/>
  <c r="U41" i="1" s="1"/>
  <c r="U42" i="1" s="1"/>
  <c r="U43" i="1" s="1"/>
  <c r="U44" i="1" s="1"/>
  <c r="U45" i="1" s="1"/>
  <c r="U46" i="1" s="1"/>
  <c r="U47" i="1" s="1"/>
  <c r="U48" i="1" s="1"/>
  <c r="U49" i="1" s="1"/>
  <c r="U50" i="1" s="1"/>
  <c r="U51" i="1" s="1"/>
  <c r="U52" i="1" s="1"/>
  <c r="U53" i="1" s="1"/>
  <c r="U54" i="1" s="1"/>
  <c r="U55" i="1" s="1"/>
  <c r="U56" i="1" s="1"/>
  <c r="U57" i="1" s="1"/>
  <c r="U58" i="1" s="1"/>
  <c r="U59" i="1" s="1"/>
  <c r="U60" i="1" s="1"/>
  <c r="U61" i="1" s="1"/>
  <c r="U62" i="1" s="1"/>
  <c r="U63" i="1" s="1"/>
  <c r="U64" i="1" s="1"/>
  <c r="U65" i="1" s="1"/>
  <c r="U66" i="1" s="1"/>
  <c r="U67" i="1" s="1"/>
  <c r="U68" i="1" s="1"/>
  <c r="U69" i="1" s="1"/>
  <c r="U70" i="1" s="1"/>
  <c r="U71" i="1" s="1"/>
  <c r="U72" i="1" s="1"/>
  <c r="U73" i="1" s="1"/>
  <c r="U74" i="1" s="1"/>
  <c r="U75" i="1" s="1"/>
  <c r="U76" i="1" s="1"/>
  <c r="U77" i="1" s="1"/>
  <c r="U78" i="1" s="1"/>
  <c r="U79" i="1" s="1"/>
  <c r="U80" i="1" s="1"/>
  <c r="U81" i="1" s="1"/>
  <c r="U34" i="1"/>
  <c r="AA11" i="9"/>
  <c r="AA8" i="9"/>
  <c r="AA7" i="9"/>
  <c r="AA9" i="9"/>
  <c r="AA10" i="9"/>
  <c r="AA6" i="9"/>
  <c r="X15" i="1"/>
  <c r="BB163" i="9"/>
  <c r="BB162" i="9"/>
  <c r="BB161" i="9"/>
  <c r="BB160" i="9"/>
  <c r="BB159" i="9"/>
  <c r="BB158" i="9"/>
  <c r="BI158" i="9"/>
  <c r="BH158" i="9"/>
  <c r="BG158" i="9"/>
  <c r="BF158" i="9"/>
  <c r="BE158" i="9"/>
  <c r="BD158" i="9"/>
  <c r="BC158" i="9"/>
  <c r="BA158" i="9"/>
  <c r="AX158" i="9"/>
  <c r="AW158" i="9"/>
  <c r="AV158" i="9"/>
  <c r="AU158" i="9"/>
  <c r="AT158" i="9"/>
  <c r="AS158" i="9"/>
  <c r="AR158" i="9"/>
  <c r="AQ158" i="9"/>
  <c r="AP158" i="9"/>
  <c r="AO158" i="9"/>
  <c r="BI159" i="9"/>
  <c r="BH159" i="9"/>
  <c r="BG159" i="9"/>
  <c r="BF159" i="9"/>
  <c r="BE159" i="9"/>
  <c r="BD159" i="9"/>
  <c r="BC159" i="9"/>
  <c r="BA159" i="9"/>
  <c r="AX159" i="9"/>
  <c r="AW159" i="9"/>
  <c r="AV159" i="9"/>
  <c r="AU159" i="9"/>
  <c r="AT159" i="9"/>
  <c r="AS159" i="9"/>
  <c r="AR159" i="9"/>
  <c r="AQ159" i="9"/>
  <c r="AP159" i="9"/>
  <c r="AO159" i="9"/>
  <c r="AY159" i="9"/>
  <c r="AZ159" i="9" s="1"/>
  <c r="BI160" i="9"/>
  <c r="BH160" i="9"/>
  <c r="BG160" i="9"/>
  <c r="BF160" i="9"/>
  <c r="BE160" i="9"/>
  <c r="BD160" i="9"/>
  <c r="BC160" i="9"/>
  <c r="BA160" i="9"/>
  <c r="AX160" i="9"/>
  <c r="AW160" i="9"/>
  <c r="AV160" i="9"/>
  <c r="AU160" i="9"/>
  <c r="AT160" i="9"/>
  <c r="AS160" i="9"/>
  <c r="AR160" i="9"/>
  <c r="AQ160" i="9"/>
  <c r="AP160" i="9"/>
  <c r="AO160" i="9"/>
  <c r="AY160" i="9"/>
  <c r="BI161" i="9"/>
  <c r="BH161" i="9"/>
  <c r="BG161" i="9"/>
  <c r="BF161" i="9"/>
  <c r="BE161" i="9"/>
  <c r="BD161" i="9"/>
  <c r="BC161" i="9"/>
  <c r="BA161" i="9"/>
  <c r="AX161" i="9"/>
  <c r="AO161" i="9"/>
  <c r="AW161" i="9"/>
  <c r="AV161" i="9"/>
  <c r="AU161" i="9"/>
  <c r="AY161" i="9" s="1"/>
  <c r="AT161" i="9"/>
  <c r="AS161" i="9"/>
  <c r="AR161" i="9"/>
  <c r="AQ161" i="9"/>
  <c r="AP161" i="9"/>
  <c r="BI162" i="9"/>
  <c r="BH162" i="9"/>
  <c r="BG162" i="9"/>
  <c r="BF162" i="9"/>
  <c r="BE162" i="9"/>
  <c r="BD162" i="9"/>
  <c r="BC162" i="9"/>
  <c r="BA162" i="9"/>
  <c r="AX162" i="9"/>
  <c r="AW162" i="9"/>
  <c r="AV162" i="9"/>
  <c r="AU162" i="9"/>
  <c r="AT162" i="9"/>
  <c r="AS162" i="9"/>
  <c r="AR162" i="9"/>
  <c r="AQ162" i="9"/>
  <c r="AP162" i="9"/>
  <c r="AO162" i="9"/>
  <c r="AY162" i="9"/>
  <c r="BI163" i="9"/>
  <c r="BH163" i="9"/>
  <c r="BG163" i="9"/>
  <c r="BF163" i="9"/>
  <c r="BE163" i="9"/>
  <c r="BD163" i="9"/>
  <c r="BC163" i="9"/>
  <c r="BA163" i="9"/>
  <c r="AX163" i="9"/>
  <c r="AW163" i="9"/>
  <c r="AV163" i="9"/>
  <c r="AU163" i="9"/>
  <c r="AT163" i="9"/>
  <c r="AS163" i="9"/>
  <c r="AR163" i="9"/>
  <c r="AQ163" i="9"/>
  <c r="AP163" i="9"/>
  <c r="AO163" i="9"/>
  <c r="AY163" i="9"/>
  <c r="BI164" i="9"/>
  <c r="BH164" i="9"/>
  <c r="BG164" i="9"/>
  <c r="BF164" i="9"/>
  <c r="BE164" i="9"/>
  <c r="BD164" i="9"/>
  <c r="BC164" i="9"/>
  <c r="BA164" i="9"/>
  <c r="AP164" i="9"/>
  <c r="AQ164" i="9"/>
  <c r="AR164" i="9"/>
  <c r="AS164" i="9"/>
  <c r="AT164" i="9"/>
  <c r="AU164" i="9"/>
  <c r="AV164" i="9"/>
  <c r="AW164" i="9"/>
  <c r="AX164" i="9"/>
  <c r="AO164" i="9"/>
  <c r="AY158" i="9"/>
  <c r="AY164" i="9"/>
  <c r="BB164" i="9" s="1"/>
  <c r="S11" i="9"/>
  <c r="Q10" i="9"/>
  <c r="Q9" i="9"/>
  <c r="Q7" i="9"/>
  <c r="S8" i="9"/>
  <c r="T11" i="9"/>
  <c r="T8" i="9"/>
  <c r="R10" i="9"/>
  <c r="R9" i="9"/>
  <c r="R7" i="9"/>
  <c r="Q6" i="9"/>
  <c r="R6" i="9"/>
  <c r="AZ160" i="9" l="1"/>
  <c r="AZ161" i="9"/>
  <c r="AZ162" i="9"/>
  <c r="AZ163" i="9"/>
  <c r="AZ158" i="9"/>
  <c r="AZ164" i="9"/>
  <c r="Y34" i="1"/>
  <c r="Y35" i="1"/>
  <c r="Y36" i="1"/>
  <c r="Y37" i="1"/>
  <c r="Y38" i="1"/>
  <c r="Y39" i="1"/>
  <c r="Y40" i="1"/>
  <c r="Y41" i="1"/>
  <c r="Y42" i="1"/>
  <c r="Y43" i="1"/>
  <c r="Y44" i="1"/>
  <c r="Y45" i="1"/>
  <c r="Y46" i="1"/>
  <c r="Y47" i="1"/>
  <c r="Y48" i="1"/>
  <c r="Y49" i="1"/>
  <c r="Y50" i="1"/>
  <c r="Y51" i="1"/>
  <c r="Y52" i="1"/>
  <c r="Y53" i="1"/>
  <c r="Y54" i="1"/>
  <c r="Y55" i="1"/>
  <c r="Y56" i="1"/>
  <c r="Y57" i="1"/>
  <c r="Y58" i="1"/>
  <c r="Y59" i="1"/>
  <c r="Y60" i="1"/>
  <c r="Y61" i="1"/>
  <c r="Y62" i="1"/>
  <c r="Y63" i="1"/>
  <c r="Y64" i="1"/>
  <c r="Y65" i="1"/>
  <c r="Y66" i="1"/>
  <c r="Y67" i="1"/>
  <c r="Y68" i="1"/>
  <c r="Y69" i="1"/>
  <c r="Y70" i="1"/>
  <c r="Y71" i="1"/>
  <c r="Y72" i="1"/>
  <c r="Y73" i="1"/>
  <c r="Y74" i="1"/>
  <c r="Y75" i="1"/>
  <c r="Y76" i="1"/>
  <c r="Y77" i="1"/>
  <c r="Y78" i="1"/>
  <c r="Y79" i="1"/>
  <c r="Y80" i="1"/>
  <c r="Y81" i="1"/>
  <c r="Y82" i="1"/>
  <c r="Y83" i="1"/>
  <c r="Y84" i="1"/>
  <c r="Y85" i="1"/>
  <c r="Y86" i="1"/>
  <c r="Y87" i="1"/>
  <c r="Y88" i="1"/>
  <c r="Y89" i="1"/>
  <c r="Y90" i="1"/>
  <c r="Y91" i="1"/>
  <c r="Y92" i="1"/>
  <c r="Y93" i="1"/>
  <c r="Y94" i="1"/>
  <c r="Y95" i="1"/>
  <c r="Y96" i="1"/>
  <c r="Y97" i="1"/>
  <c r="Y98" i="1"/>
  <c r="Y99" i="1"/>
  <c r="Y100" i="1"/>
  <c r="Y101" i="1"/>
  <c r="Y102" i="1"/>
  <c r="Y103" i="1"/>
  <c r="Y104" i="1"/>
  <c r="Y105" i="1"/>
  <c r="Y106" i="1"/>
  <c r="Y107" i="1"/>
  <c r="Y108" i="1"/>
  <c r="Y109" i="1"/>
  <c r="Y110" i="1"/>
  <c r="Y111" i="1"/>
  <c r="Y112" i="1"/>
  <c r="Y113" i="1"/>
  <c r="Y114" i="1"/>
  <c r="Y115" i="1"/>
  <c r="Y116" i="1"/>
  <c r="Y117" i="1"/>
  <c r="Y118" i="1"/>
  <c r="Y119" i="1"/>
  <c r="Y120" i="1"/>
  <c r="Y121" i="1"/>
  <c r="Y33" i="1"/>
  <c r="AI34" i="1"/>
  <c r="AI35" i="1"/>
  <c r="AI36" i="1"/>
  <c r="AI37" i="1"/>
  <c r="AI38" i="1"/>
  <c r="AI39" i="1"/>
  <c r="AI40" i="1"/>
  <c r="AI41" i="1"/>
  <c r="AI42" i="1"/>
  <c r="AI43" i="1"/>
  <c r="AI44" i="1"/>
  <c r="AI45" i="1"/>
  <c r="AI46" i="1"/>
  <c r="AI47" i="1"/>
  <c r="AI48" i="1"/>
  <c r="AI49" i="1"/>
  <c r="AI50" i="1"/>
  <c r="AI51" i="1"/>
  <c r="AI52" i="1"/>
  <c r="AI53" i="1"/>
  <c r="AI54" i="1"/>
  <c r="AI55" i="1"/>
  <c r="AI56" i="1"/>
  <c r="AI57" i="1"/>
  <c r="AI58" i="1"/>
  <c r="AI59" i="1"/>
  <c r="AI60" i="1"/>
  <c r="AI61" i="1"/>
  <c r="AI62" i="1"/>
  <c r="AI63" i="1"/>
  <c r="AI64" i="1"/>
  <c r="AI65" i="1"/>
  <c r="AI66" i="1"/>
  <c r="AI67" i="1"/>
  <c r="AI68" i="1"/>
  <c r="AI69" i="1"/>
  <c r="AI70" i="1"/>
  <c r="AI71" i="1"/>
  <c r="AI72" i="1"/>
  <c r="AI73" i="1"/>
  <c r="AI74" i="1"/>
  <c r="AI75" i="1"/>
  <c r="AI76" i="1"/>
  <c r="AI77" i="1"/>
  <c r="AI78" i="1"/>
  <c r="AI79" i="1"/>
  <c r="AI80" i="1"/>
  <c r="AI81" i="1"/>
  <c r="AI82" i="1"/>
  <c r="AI83" i="1"/>
  <c r="AI84" i="1"/>
  <c r="AI85" i="1"/>
  <c r="AI86" i="1"/>
  <c r="AI87" i="1"/>
  <c r="AI88" i="1"/>
  <c r="AI89" i="1"/>
  <c r="AI90" i="1"/>
  <c r="AI91" i="1"/>
  <c r="AI92" i="1"/>
  <c r="AI93" i="1"/>
  <c r="AI94" i="1"/>
  <c r="AI95" i="1"/>
  <c r="AI96" i="1"/>
  <c r="AI97" i="1"/>
  <c r="AI98" i="1"/>
  <c r="AI99" i="1"/>
  <c r="AI100" i="1"/>
  <c r="AI101" i="1"/>
  <c r="AI102" i="1"/>
  <c r="AI103" i="1"/>
  <c r="AI104" i="1"/>
  <c r="AI105" i="1"/>
  <c r="AI106" i="1"/>
  <c r="AI107" i="1"/>
  <c r="AI108" i="1"/>
  <c r="AI109" i="1"/>
  <c r="AI110" i="1"/>
  <c r="AI111" i="1"/>
  <c r="AI112" i="1"/>
  <c r="AI113" i="1"/>
  <c r="AI114" i="1"/>
  <c r="AI115" i="1"/>
  <c r="AI116" i="1"/>
  <c r="AI117" i="1"/>
  <c r="AI118" i="1"/>
  <c r="AI119" i="1"/>
  <c r="AI120" i="1"/>
  <c r="AI121" i="1"/>
  <c r="AI33" i="1"/>
  <c r="M62" i="6"/>
  <c r="M63" i="6"/>
  <c r="M64" i="6"/>
  <c r="M65" i="6"/>
  <c r="M66" i="6"/>
  <c r="M67" i="6"/>
  <c r="M68" i="6"/>
  <c r="M69" i="6"/>
  <c r="M70" i="6"/>
  <c r="M71" i="6"/>
  <c r="M72" i="6"/>
  <c r="M73" i="6"/>
  <c r="M74" i="6"/>
  <c r="M75" i="6"/>
  <c r="M76" i="6"/>
  <c r="M77" i="6"/>
  <c r="M78" i="6"/>
  <c r="M79" i="6"/>
  <c r="M80" i="6"/>
  <c r="M81" i="6"/>
  <c r="M82" i="6"/>
  <c r="M83" i="6"/>
  <c r="M84" i="6"/>
  <c r="M85" i="6"/>
  <c r="M86" i="6"/>
  <c r="M87" i="6"/>
  <c r="M88" i="6"/>
  <c r="M89" i="6"/>
  <c r="AB34" i="1" l="1"/>
  <c r="AB35" i="1"/>
  <c r="AB36" i="1"/>
  <c r="AB37" i="1"/>
  <c r="AB38" i="1"/>
  <c r="AB39" i="1"/>
  <c r="AB40" i="1"/>
  <c r="AB41" i="1"/>
  <c r="AB42" i="1"/>
  <c r="Z34" i="1"/>
  <c r="Z35" i="1"/>
  <c r="Z36" i="1"/>
  <c r="Z37" i="1"/>
  <c r="Z38" i="1"/>
  <c r="Z39" i="1"/>
  <c r="Z40" i="1"/>
  <c r="Z41" i="1"/>
  <c r="Z42" i="1"/>
  <c r="Z43" i="1"/>
  <c r="Z44" i="1"/>
  <c r="Z45" i="1"/>
  <c r="Z46" i="1"/>
  <c r="Z47" i="1"/>
  <c r="Z48" i="1"/>
  <c r="Z49" i="1"/>
  <c r="Z50" i="1"/>
  <c r="Z51" i="1"/>
  <c r="Z52" i="1"/>
  <c r="Z53" i="1"/>
  <c r="Z54" i="1"/>
  <c r="Z55" i="1"/>
  <c r="Z56" i="1"/>
  <c r="Z57" i="1"/>
  <c r="Z58" i="1"/>
  <c r="Z59" i="1"/>
  <c r="Z60" i="1"/>
  <c r="Z61" i="1"/>
  <c r="Z62" i="1"/>
  <c r="Z63" i="1"/>
  <c r="Z64" i="1"/>
  <c r="Z65" i="1"/>
  <c r="Z66" i="1"/>
  <c r="Z67" i="1"/>
  <c r="Z68" i="1"/>
  <c r="Z69" i="1"/>
  <c r="Z70" i="1"/>
  <c r="Z71" i="1"/>
  <c r="Z72" i="1"/>
  <c r="Z73" i="1"/>
  <c r="Z74" i="1"/>
  <c r="Z75" i="1"/>
  <c r="Z76" i="1"/>
  <c r="Z77" i="1"/>
  <c r="Z78" i="1"/>
  <c r="Z79" i="1"/>
  <c r="Z80" i="1"/>
  <c r="Z81" i="1"/>
  <c r="Z82" i="1"/>
  <c r="Z83" i="1"/>
  <c r="Z84" i="1"/>
  <c r="Z85" i="1"/>
  <c r="Z86" i="1"/>
  <c r="Z87" i="1"/>
  <c r="Z88" i="1"/>
  <c r="Z89" i="1"/>
  <c r="Z90" i="1"/>
  <c r="Z91" i="1"/>
  <c r="Z92" i="1"/>
  <c r="Z93" i="1"/>
  <c r="Z94" i="1"/>
  <c r="Z95" i="1"/>
  <c r="Z96" i="1"/>
  <c r="Z97" i="1"/>
  <c r="Z98" i="1"/>
  <c r="Z99" i="1"/>
  <c r="Z100" i="1"/>
  <c r="Z101" i="1"/>
  <c r="Z102" i="1"/>
  <c r="Z103" i="1"/>
  <c r="Z104" i="1"/>
  <c r="Z105" i="1"/>
  <c r="Z106" i="1"/>
  <c r="Z107" i="1"/>
  <c r="Z108" i="1"/>
  <c r="Z109" i="1"/>
  <c r="Z110" i="1"/>
  <c r="Z111" i="1"/>
  <c r="Z112" i="1"/>
  <c r="Z113" i="1"/>
  <c r="Z114" i="1"/>
  <c r="Z115" i="1"/>
  <c r="Z116" i="1"/>
  <c r="Z117" i="1"/>
  <c r="Z118" i="1"/>
  <c r="AB119" i="1"/>
  <c r="Z120" i="1"/>
  <c r="Z121" i="1"/>
  <c r="AB33" i="1"/>
  <c r="Z33" i="1"/>
  <c r="AA33" i="1" s="1"/>
  <c r="AJ34" i="1"/>
  <c r="AK34" i="1"/>
  <c r="AJ35" i="1"/>
  <c r="AK35" i="1"/>
  <c r="AJ36" i="1"/>
  <c r="AK36" i="1"/>
  <c r="AJ37" i="1"/>
  <c r="AK37" i="1"/>
  <c r="AJ38" i="1"/>
  <c r="AK38" i="1"/>
  <c r="AJ39" i="1"/>
  <c r="AK39" i="1"/>
  <c r="AJ40" i="1"/>
  <c r="AK40" i="1"/>
  <c r="AJ41" i="1"/>
  <c r="AK41" i="1"/>
  <c r="AJ42" i="1"/>
  <c r="AK42" i="1"/>
  <c r="AJ43" i="1"/>
  <c r="AK43" i="1"/>
  <c r="AJ44" i="1"/>
  <c r="AK44" i="1"/>
  <c r="AJ45" i="1"/>
  <c r="AK45" i="1"/>
  <c r="AJ46" i="1"/>
  <c r="AK46" i="1"/>
  <c r="AJ47" i="1"/>
  <c r="AK47" i="1"/>
  <c r="AJ48" i="1"/>
  <c r="AK48" i="1"/>
  <c r="AJ49" i="1"/>
  <c r="AK49" i="1"/>
  <c r="AJ50" i="1"/>
  <c r="AK50" i="1"/>
  <c r="AJ51" i="1"/>
  <c r="AK51" i="1"/>
  <c r="AJ52" i="1"/>
  <c r="AK52" i="1"/>
  <c r="AJ53" i="1"/>
  <c r="AK53" i="1"/>
  <c r="AJ54" i="1"/>
  <c r="AK54" i="1"/>
  <c r="AJ55" i="1"/>
  <c r="AK55" i="1"/>
  <c r="AJ56" i="1"/>
  <c r="AK56" i="1"/>
  <c r="AJ57" i="1"/>
  <c r="AK57" i="1"/>
  <c r="AJ58" i="1"/>
  <c r="AK58" i="1"/>
  <c r="AJ59" i="1"/>
  <c r="AK59" i="1"/>
  <c r="AJ60" i="1"/>
  <c r="AK60" i="1"/>
  <c r="AJ61" i="1"/>
  <c r="AK61" i="1"/>
  <c r="AJ62" i="1"/>
  <c r="AK62" i="1"/>
  <c r="AJ63" i="1"/>
  <c r="AK63" i="1"/>
  <c r="AJ64" i="1"/>
  <c r="AK64" i="1"/>
  <c r="AJ65" i="1"/>
  <c r="AK65" i="1"/>
  <c r="AJ66" i="1"/>
  <c r="AK66" i="1"/>
  <c r="AJ67" i="1"/>
  <c r="AK67" i="1"/>
  <c r="AJ68" i="1"/>
  <c r="AK68" i="1"/>
  <c r="AJ69" i="1"/>
  <c r="AK69" i="1"/>
  <c r="AJ70" i="1"/>
  <c r="AK70" i="1"/>
  <c r="AJ71" i="1"/>
  <c r="AK71" i="1"/>
  <c r="AJ72" i="1"/>
  <c r="AK72" i="1"/>
  <c r="AJ73" i="1"/>
  <c r="AK73" i="1"/>
  <c r="AJ74" i="1"/>
  <c r="AK74" i="1"/>
  <c r="AJ75" i="1"/>
  <c r="AK75" i="1"/>
  <c r="AJ76" i="1"/>
  <c r="AK76" i="1"/>
  <c r="AJ77" i="1"/>
  <c r="AK77" i="1"/>
  <c r="AJ78" i="1"/>
  <c r="AK78" i="1"/>
  <c r="AJ79" i="1"/>
  <c r="AK79" i="1"/>
  <c r="AJ80" i="1"/>
  <c r="AK80" i="1"/>
  <c r="AJ81" i="1"/>
  <c r="AK81" i="1"/>
  <c r="AJ82" i="1"/>
  <c r="AK82" i="1"/>
  <c r="AJ83" i="1"/>
  <c r="AK83" i="1"/>
  <c r="AJ84" i="1"/>
  <c r="AK84" i="1"/>
  <c r="AJ85" i="1"/>
  <c r="AK85" i="1"/>
  <c r="AJ86" i="1"/>
  <c r="AK86" i="1"/>
  <c r="AJ87" i="1"/>
  <c r="AK87" i="1"/>
  <c r="AJ88" i="1"/>
  <c r="AK88" i="1"/>
  <c r="AJ89" i="1"/>
  <c r="AK89" i="1"/>
  <c r="AJ90" i="1"/>
  <c r="AK90" i="1"/>
  <c r="AJ91" i="1"/>
  <c r="AK91" i="1"/>
  <c r="AJ92" i="1"/>
  <c r="AK92" i="1"/>
  <c r="AJ93" i="1"/>
  <c r="AK93" i="1"/>
  <c r="AJ94" i="1"/>
  <c r="AK94" i="1"/>
  <c r="AJ95" i="1"/>
  <c r="AK95" i="1"/>
  <c r="AJ96" i="1"/>
  <c r="AK96" i="1"/>
  <c r="AJ97" i="1"/>
  <c r="AK97" i="1"/>
  <c r="AJ98" i="1"/>
  <c r="AK98" i="1"/>
  <c r="AJ99" i="1"/>
  <c r="AK99" i="1"/>
  <c r="AJ100" i="1"/>
  <c r="AK100" i="1"/>
  <c r="AJ101" i="1"/>
  <c r="AK101" i="1"/>
  <c r="AJ102" i="1"/>
  <c r="AK102" i="1"/>
  <c r="AJ103" i="1"/>
  <c r="AK103" i="1"/>
  <c r="AJ104" i="1"/>
  <c r="AK104" i="1"/>
  <c r="AJ105" i="1"/>
  <c r="AK105" i="1"/>
  <c r="AJ106" i="1"/>
  <c r="AK106" i="1"/>
  <c r="AJ107" i="1"/>
  <c r="AK107" i="1"/>
  <c r="AJ108" i="1"/>
  <c r="AK108" i="1"/>
  <c r="AJ109" i="1"/>
  <c r="AK109" i="1"/>
  <c r="AJ110" i="1"/>
  <c r="AK110" i="1"/>
  <c r="AJ111" i="1"/>
  <c r="AK111" i="1"/>
  <c r="AJ112" i="1"/>
  <c r="AK112" i="1"/>
  <c r="AJ113" i="1"/>
  <c r="AK113" i="1"/>
  <c r="AJ114" i="1"/>
  <c r="AK114" i="1"/>
  <c r="AJ115" i="1"/>
  <c r="AK115" i="1"/>
  <c r="AJ116" i="1"/>
  <c r="AK116" i="1"/>
  <c r="AJ117" i="1"/>
  <c r="AK117" i="1"/>
  <c r="AJ118" i="1"/>
  <c r="AK118" i="1"/>
  <c r="AJ119" i="1"/>
  <c r="AK119" i="1"/>
  <c r="AJ120" i="1"/>
  <c r="AK120" i="1"/>
  <c r="AJ121" i="1"/>
  <c r="AK121" i="1"/>
  <c r="AK33" i="1"/>
  <c r="AJ33" i="1"/>
  <c r="M90" i="6"/>
  <c r="M91" i="6"/>
  <c r="M92" i="6"/>
  <c r="M93" i="6"/>
  <c r="M94" i="6"/>
  <c r="M95" i="6"/>
  <c r="M96" i="6"/>
  <c r="M97" i="6"/>
  <c r="M98" i="6"/>
  <c r="M99" i="6"/>
  <c r="M100" i="6"/>
  <c r="M101" i="6"/>
  <c r="M102" i="6"/>
  <c r="M103" i="6"/>
  <c r="M104" i="6"/>
  <c r="M105" i="6"/>
  <c r="M106" i="6"/>
  <c r="M107" i="6"/>
  <c r="M108" i="6"/>
  <c r="M109" i="6"/>
  <c r="M110" i="6"/>
  <c r="M111" i="6"/>
  <c r="M112" i="6"/>
  <c r="M113" i="6"/>
  <c r="M114" i="6"/>
  <c r="M115" i="6"/>
  <c r="M116" i="6"/>
  <c r="M117" i="6"/>
  <c r="M118" i="6"/>
  <c r="M119" i="6"/>
  <c r="M120" i="6"/>
  <c r="M121" i="6"/>
  <c r="M122" i="6"/>
  <c r="M123" i="6"/>
  <c r="M124" i="6"/>
  <c r="M125" i="6"/>
  <c r="M126" i="6"/>
  <c r="M127" i="6"/>
  <c r="M128" i="6"/>
  <c r="M129" i="6"/>
  <c r="M130" i="6"/>
  <c r="M131" i="6"/>
  <c r="M132" i="6"/>
  <c r="M133" i="6"/>
  <c r="M134" i="6"/>
  <c r="M135" i="6"/>
  <c r="M136" i="6"/>
  <c r="M137" i="6"/>
  <c r="M138" i="6"/>
  <c r="M139" i="6"/>
  <c r="M140" i="6"/>
  <c r="M141" i="6"/>
  <c r="M142" i="6"/>
  <c r="M143" i="6"/>
  <c r="M144" i="6"/>
  <c r="M145" i="6"/>
  <c r="M146" i="6"/>
  <c r="M147" i="6"/>
  <c r="M148" i="6"/>
  <c r="M149" i="6"/>
  <c r="M150" i="6"/>
  <c r="P73" i="6"/>
  <c r="P74" i="6"/>
  <c r="P75" i="6"/>
  <c r="P76" i="6"/>
  <c r="P77" i="6"/>
  <c r="P78" i="6"/>
  <c r="P79" i="6"/>
  <c r="P80" i="6"/>
  <c r="P81" i="6"/>
  <c r="P82" i="6"/>
  <c r="P83" i="6"/>
  <c r="P84" i="6"/>
  <c r="P85" i="6"/>
  <c r="P86" i="6"/>
  <c r="P87" i="6"/>
  <c r="P88" i="6"/>
  <c r="P89" i="6"/>
  <c r="P90" i="6"/>
  <c r="P91" i="6"/>
  <c r="P92" i="6"/>
  <c r="P93" i="6"/>
  <c r="P94" i="6"/>
  <c r="P95" i="6"/>
  <c r="P96" i="6"/>
  <c r="P97" i="6"/>
  <c r="P98" i="6"/>
  <c r="P99" i="6"/>
  <c r="P100" i="6"/>
  <c r="P101" i="6"/>
  <c r="P102" i="6"/>
  <c r="P103" i="6"/>
  <c r="P104" i="6"/>
  <c r="P105" i="6"/>
  <c r="P106" i="6"/>
  <c r="P107" i="6"/>
  <c r="P108" i="6"/>
  <c r="P109" i="6"/>
  <c r="P110" i="6"/>
  <c r="P111" i="6"/>
  <c r="P112" i="6"/>
  <c r="P113" i="6"/>
  <c r="P114" i="6"/>
  <c r="P115" i="6"/>
  <c r="P116" i="6"/>
  <c r="P117" i="6"/>
  <c r="P118" i="6"/>
  <c r="P119" i="6"/>
  <c r="P120" i="6"/>
  <c r="P121" i="6"/>
  <c r="P122" i="6"/>
  <c r="P123" i="6"/>
  <c r="P124" i="6"/>
  <c r="P125" i="6"/>
  <c r="P126" i="6"/>
  <c r="P127" i="6"/>
  <c r="P128" i="6"/>
  <c r="P129" i="6"/>
  <c r="P130" i="6"/>
  <c r="P131" i="6"/>
  <c r="P132" i="6"/>
  <c r="P133" i="6"/>
  <c r="P134" i="6"/>
  <c r="P135" i="6"/>
  <c r="P136" i="6"/>
  <c r="P137" i="6"/>
  <c r="P138" i="6"/>
  <c r="P139" i="6"/>
  <c r="P140" i="6"/>
  <c r="P141" i="6"/>
  <c r="P142" i="6"/>
  <c r="P143" i="6"/>
  <c r="P144" i="6"/>
  <c r="P145" i="6"/>
  <c r="P146" i="6"/>
  <c r="P147" i="6"/>
  <c r="P148" i="6"/>
  <c r="P149" i="6"/>
  <c r="P150" i="6"/>
  <c r="P62" i="6"/>
  <c r="P63" i="6"/>
  <c r="P64" i="6"/>
  <c r="P65" i="6"/>
  <c r="P66" i="6"/>
  <c r="P67" i="6"/>
  <c r="P68" i="6"/>
  <c r="P69" i="6"/>
  <c r="P70" i="6"/>
  <c r="P71" i="6"/>
  <c r="P72" i="6"/>
  <c r="P61" i="6"/>
  <c r="M61" i="6"/>
  <c r="Z119" i="1" l="1"/>
  <c r="AB120" i="1"/>
  <c r="AB118" i="1"/>
  <c r="AB116" i="1"/>
  <c r="AB114" i="1"/>
  <c r="AB112" i="1"/>
  <c r="AB110" i="1"/>
  <c r="AB108" i="1"/>
  <c r="AB106" i="1"/>
  <c r="AB104" i="1"/>
  <c r="AB102" i="1"/>
  <c r="AB100" i="1"/>
  <c r="AB98" i="1"/>
  <c r="AB96" i="1"/>
  <c r="AB94" i="1"/>
  <c r="AB92" i="1"/>
  <c r="AB90" i="1"/>
  <c r="AB88" i="1"/>
  <c r="AB86" i="1"/>
  <c r="AB84" i="1"/>
  <c r="AB82" i="1"/>
  <c r="AB80" i="1"/>
  <c r="AB78" i="1"/>
  <c r="AB76" i="1"/>
  <c r="AB74" i="1"/>
  <c r="AB72" i="1"/>
  <c r="AB70" i="1"/>
  <c r="AB68" i="1"/>
  <c r="AB66" i="1"/>
  <c r="AB64" i="1"/>
  <c r="AB62" i="1"/>
  <c r="AB60" i="1"/>
  <c r="AB58" i="1"/>
  <c r="AB56" i="1"/>
  <c r="AB54" i="1"/>
  <c r="AB52" i="1"/>
  <c r="AB50" i="1"/>
  <c r="AB48" i="1"/>
  <c r="AB121" i="1"/>
  <c r="AB117" i="1"/>
  <c r="AB115" i="1"/>
  <c r="AB113" i="1"/>
  <c r="AB111" i="1"/>
  <c r="AB109" i="1"/>
  <c r="AB107" i="1"/>
  <c r="AB105" i="1"/>
  <c r="AB103" i="1"/>
  <c r="AB101" i="1"/>
  <c r="AB99" i="1"/>
  <c r="AB97" i="1"/>
  <c r="AB95" i="1"/>
  <c r="AB93" i="1"/>
  <c r="AB91" i="1"/>
  <c r="AB89" i="1"/>
  <c r="AB87" i="1"/>
  <c r="AB85" i="1"/>
  <c r="AB83" i="1"/>
  <c r="AB81" i="1"/>
  <c r="AB79" i="1"/>
  <c r="AB77" i="1"/>
  <c r="AB75" i="1"/>
  <c r="AB73" i="1"/>
  <c r="AB71" i="1"/>
  <c r="AB69" i="1"/>
  <c r="AB67" i="1"/>
  <c r="AB65" i="1"/>
  <c r="AB63" i="1"/>
  <c r="AB61" i="1"/>
  <c r="AB59" i="1"/>
  <c r="AB57" i="1"/>
  <c r="AB55" i="1"/>
  <c r="AB53" i="1"/>
  <c r="AB51" i="1"/>
  <c r="AB49" i="1"/>
  <c r="AB47" i="1"/>
  <c r="AB45" i="1"/>
  <c r="AB43" i="1"/>
  <c r="AB46" i="1"/>
  <c r="AB44" i="1"/>
  <c r="AO36" i="1"/>
  <c r="AO34" i="1"/>
  <c r="AO33" i="1"/>
  <c r="AO37" i="1"/>
  <c r="AO35" i="1"/>
  <c r="Q62" i="6"/>
  <c r="Q63" i="6"/>
  <c r="Q64" i="6"/>
  <c r="Q65" i="6"/>
  <c r="Q66" i="6"/>
  <c r="Q61" i="6"/>
  <c r="N66" i="6"/>
  <c r="N65" i="6"/>
  <c r="N64" i="6"/>
  <c r="N63" i="6"/>
  <c r="N62" i="6"/>
  <c r="N61" i="6"/>
  <c r="U66" i="6"/>
  <c r="V66" i="6" s="1"/>
  <c r="U65" i="6"/>
  <c r="V65" i="6" s="1"/>
  <c r="U64" i="6"/>
  <c r="V64" i="6" s="1"/>
  <c r="U63" i="6"/>
  <c r="V63" i="6" s="1"/>
  <c r="U62" i="6"/>
  <c r="V62" i="6" s="1"/>
  <c r="U61" i="6"/>
  <c r="V61" i="6" s="1"/>
  <c r="W66" i="6"/>
  <c r="X66" i="6" s="1"/>
  <c r="Y66" i="6" s="1"/>
  <c r="AA81" i="6"/>
  <c r="AB81" i="6"/>
  <c r="AC81" i="6"/>
  <c r="AE81" i="6"/>
  <c r="AF81" i="6"/>
  <c r="AG81" i="6"/>
  <c r="AA82" i="6"/>
  <c r="AB82" i="6"/>
  <c r="AC82" i="6"/>
  <c r="AE82" i="6"/>
  <c r="AF82" i="6"/>
  <c r="AG82" i="6"/>
  <c r="AA83" i="6"/>
  <c r="AB83" i="6"/>
  <c r="AC83" i="6"/>
  <c r="AE83" i="6"/>
  <c r="AF83" i="6"/>
  <c r="AG83" i="6"/>
  <c r="AA84" i="6"/>
  <c r="AB84" i="6"/>
  <c r="AC84" i="6"/>
  <c r="AE84" i="6"/>
  <c r="AF84" i="6"/>
  <c r="AG84" i="6"/>
  <c r="AA85" i="6"/>
  <c r="AB85" i="6"/>
  <c r="AC85" i="6"/>
  <c r="AE85" i="6"/>
  <c r="AF85" i="6"/>
  <c r="AG85" i="6"/>
  <c r="AA86" i="6"/>
  <c r="AB86" i="6"/>
  <c r="AC86" i="6"/>
  <c r="AE86" i="6"/>
  <c r="AF86" i="6"/>
  <c r="AG86" i="6"/>
  <c r="AA87" i="6"/>
  <c r="AB87" i="6"/>
  <c r="AC87" i="6"/>
  <c r="AE87" i="6"/>
  <c r="AF87" i="6"/>
  <c r="AG87" i="6"/>
  <c r="AA88" i="6"/>
  <c r="AB88" i="6"/>
  <c r="AC88" i="6"/>
  <c r="AE88" i="6"/>
  <c r="AF88" i="6"/>
  <c r="AG88" i="6"/>
  <c r="AA89" i="6"/>
  <c r="AB89" i="6"/>
  <c r="AC89" i="6"/>
  <c r="AE89" i="6"/>
  <c r="AF89" i="6"/>
  <c r="AG89" i="6"/>
  <c r="AA90" i="6"/>
  <c r="AB90" i="6"/>
  <c r="AC90" i="6"/>
  <c r="AE90" i="6"/>
  <c r="AF90" i="6"/>
  <c r="AG90" i="6"/>
  <c r="AA91" i="6"/>
  <c r="AB91" i="6"/>
  <c r="AC91" i="6"/>
  <c r="AE91" i="6"/>
  <c r="AF91" i="6"/>
  <c r="AG91" i="6"/>
  <c r="AA92" i="6"/>
  <c r="AB92" i="6"/>
  <c r="AC92" i="6"/>
  <c r="AD92" i="6"/>
  <c r="AE92" i="6"/>
  <c r="AF92" i="6"/>
  <c r="AG92" i="6"/>
  <c r="AA93" i="6"/>
  <c r="AB93" i="6"/>
  <c r="AC93" i="6"/>
  <c r="AD93" i="6" s="1"/>
  <c r="AE93" i="6"/>
  <c r="AF93" i="6"/>
  <c r="AG93" i="6"/>
  <c r="AA94" i="6"/>
  <c r="AB94" i="6"/>
  <c r="AC94" i="6"/>
  <c r="AD94" i="6" s="1"/>
  <c r="AE94" i="6"/>
  <c r="AF94" i="6"/>
  <c r="AG94" i="6"/>
  <c r="AA95" i="6"/>
  <c r="AB95" i="6"/>
  <c r="AC95" i="6"/>
  <c r="AE95" i="6"/>
  <c r="AF95" i="6"/>
  <c r="AG95" i="6"/>
  <c r="AA96" i="6"/>
  <c r="AB96" i="6"/>
  <c r="AC96" i="6"/>
  <c r="AD96" i="6" s="1"/>
  <c r="AE96" i="6"/>
  <c r="AF96" i="6"/>
  <c r="AG96" i="6"/>
  <c r="AA97" i="6"/>
  <c r="AB97" i="6"/>
  <c r="AC97" i="6"/>
  <c r="AE97" i="6"/>
  <c r="AF97" i="6"/>
  <c r="AG97" i="6"/>
  <c r="AA98" i="6"/>
  <c r="AB98" i="6"/>
  <c r="AC98" i="6"/>
  <c r="AE98" i="6"/>
  <c r="AF98" i="6"/>
  <c r="AG98" i="6"/>
  <c r="AA99" i="6"/>
  <c r="AB99" i="6"/>
  <c r="AC99" i="6"/>
  <c r="AE99" i="6"/>
  <c r="AF99" i="6"/>
  <c r="AG99" i="6"/>
  <c r="AA100" i="6"/>
  <c r="AB100" i="6"/>
  <c r="AC100" i="6"/>
  <c r="AD100" i="6" s="1"/>
  <c r="AE100" i="6"/>
  <c r="AF100" i="6"/>
  <c r="AG100" i="6"/>
  <c r="AA101" i="6"/>
  <c r="AB101" i="6"/>
  <c r="AC101" i="6"/>
  <c r="AE101" i="6"/>
  <c r="AF101" i="6"/>
  <c r="AG101" i="6"/>
  <c r="AA102" i="6"/>
  <c r="AB102" i="6"/>
  <c r="AC102" i="6"/>
  <c r="AE102" i="6"/>
  <c r="AF102" i="6"/>
  <c r="AG102" i="6"/>
  <c r="AA103" i="6"/>
  <c r="AB103" i="6"/>
  <c r="AC103" i="6"/>
  <c r="AE103" i="6"/>
  <c r="AF103" i="6"/>
  <c r="AG103" i="6"/>
  <c r="AA104" i="6"/>
  <c r="AB104" i="6"/>
  <c r="AC104" i="6"/>
  <c r="AE104" i="6"/>
  <c r="AF104" i="6"/>
  <c r="AG104" i="6"/>
  <c r="AA105" i="6"/>
  <c r="AB105" i="6"/>
  <c r="AC105" i="6"/>
  <c r="AE105" i="6"/>
  <c r="AF105" i="6"/>
  <c r="AG105" i="6"/>
  <c r="AA106" i="6"/>
  <c r="AB106" i="6"/>
  <c r="AC106" i="6"/>
  <c r="AE106" i="6"/>
  <c r="AF106" i="6"/>
  <c r="AG106" i="6"/>
  <c r="AA107" i="6"/>
  <c r="AB107" i="6"/>
  <c r="AC107" i="6"/>
  <c r="AD107" i="6" s="1"/>
  <c r="AE107" i="6"/>
  <c r="AF107" i="6"/>
  <c r="AG107" i="6"/>
  <c r="AA108" i="6"/>
  <c r="AB108" i="6"/>
  <c r="AC108" i="6"/>
  <c r="AE108" i="6"/>
  <c r="AF108" i="6"/>
  <c r="AG108" i="6"/>
  <c r="AA109" i="6"/>
  <c r="AB109" i="6"/>
  <c r="AC109" i="6"/>
  <c r="AE109" i="6"/>
  <c r="AF109" i="6"/>
  <c r="AG109" i="6"/>
  <c r="AA110" i="6"/>
  <c r="AB110" i="6"/>
  <c r="AC110" i="6"/>
  <c r="AE110" i="6"/>
  <c r="AF110" i="6"/>
  <c r="AG110" i="6"/>
  <c r="AA111" i="6"/>
  <c r="AB111" i="6"/>
  <c r="AC111" i="6"/>
  <c r="AE111" i="6"/>
  <c r="AF111" i="6"/>
  <c r="AG111" i="6"/>
  <c r="AA112" i="6"/>
  <c r="AB112" i="6"/>
  <c r="AC112" i="6"/>
  <c r="AE112" i="6"/>
  <c r="AF112" i="6"/>
  <c r="AG112" i="6"/>
  <c r="AA113" i="6"/>
  <c r="AB113" i="6"/>
  <c r="AC113" i="6"/>
  <c r="AE113" i="6"/>
  <c r="AF113" i="6"/>
  <c r="AG113" i="6"/>
  <c r="AA114" i="6"/>
  <c r="AB114" i="6"/>
  <c r="AC114" i="6"/>
  <c r="AE114" i="6"/>
  <c r="AF114" i="6"/>
  <c r="AG114" i="6"/>
  <c r="AA115" i="6"/>
  <c r="AB115" i="6"/>
  <c r="AC115" i="6"/>
  <c r="AD115" i="6"/>
  <c r="AE115" i="6"/>
  <c r="AF115" i="6"/>
  <c r="AG115" i="6"/>
  <c r="AA116" i="6"/>
  <c r="AB116" i="6"/>
  <c r="AC116" i="6"/>
  <c r="AE116" i="6"/>
  <c r="AF116" i="6"/>
  <c r="AG116" i="6"/>
  <c r="AA117" i="6"/>
  <c r="AB117" i="6"/>
  <c r="AC117" i="6"/>
  <c r="AE117" i="6"/>
  <c r="AF117" i="6"/>
  <c r="AG117" i="6"/>
  <c r="AA118" i="6"/>
  <c r="AB118" i="6"/>
  <c r="AC118" i="6"/>
  <c r="AE118" i="6"/>
  <c r="AF118" i="6"/>
  <c r="AG118" i="6"/>
  <c r="AA119" i="6"/>
  <c r="AB119" i="6"/>
  <c r="AC119" i="6"/>
  <c r="AE119" i="6"/>
  <c r="AF119" i="6"/>
  <c r="AG119" i="6"/>
  <c r="AA120" i="6"/>
  <c r="AB120" i="6"/>
  <c r="AC120" i="6"/>
  <c r="AE120" i="6"/>
  <c r="AF120" i="6"/>
  <c r="AG120" i="6"/>
  <c r="AA121" i="6"/>
  <c r="AB121" i="6"/>
  <c r="AC121" i="6"/>
  <c r="AE121" i="6"/>
  <c r="AF121" i="6"/>
  <c r="AG121" i="6"/>
  <c r="AA122" i="6"/>
  <c r="AB122" i="6"/>
  <c r="AC122" i="6"/>
  <c r="AE122" i="6"/>
  <c r="AF122" i="6"/>
  <c r="AG122" i="6"/>
  <c r="AA123" i="6"/>
  <c r="AB123" i="6"/>
  <c r="AC123" i="6"/>
  <c r="AE123" i="6"/>
  <c r="AF123" i="6"/>
  <c r="AG123" i="6"/>
  <c r="AA124" i="6"/>
  <c r="AB124" i="6"/>
  <c r="AC124" i="6"/>
  <c r="AE124" i="6"/>
  <c r="AF124" i="6"/>
  <c r="AG124" i="6"/>
  <c r="AA125" i="6"/>
  <c r="AB125" i="6"/>
  <c r="AC125" i="6"/>
  <c r="AD125" i="6" s="1"/>
  <c r="AE125" i="6"/>
  <c r="AF125" i="6"/>
  <c r="AG125" i="6"/>
  <c r="AA126" i="6"/>
  <c r="AB126" i="6"/>
  <c r="AC126" i="6"/>
  <c r="AE126" i="6"/>
  <c r="AF126" i="6"/>
  <c r="AG126" i="6"/>
  <c r="AA127" i="6"/>
  <c r="AB127" i="6"/>
  <c r="AC127" i="6"/>
  <c r="AE127" i="6"/>
  <c r="AF127" i="6"/>
  <c r="AG127" i="6"/>
  <c r="AA128" i="6"/>
  <c r="AB128" i="6"/>
  <c r="AC128" i="6"/>
  <c r="AE128" i="6"/>
  <c r="AF128" i="6"/>
  <c r="AG128" i="6"/>
  <c r="AA129" i="6"/>
  <c r="AB129" i="6"/>
  <c r="AC129" i="6"/>
  <c r="AE129" i="6"/>
  <c r="AF129" i="6"/>
  <c r="AG129" i="6"/>
  <c r="AA130" i="6"/>
  <c r="AB130" i="6"/>
  <c r="AC130" i="6"/>
  <c r="AE130" i="6"/>
  <c r="AF130" i="6"/>
  <c r="AG130" i="6"/>
  <c r="AA131" i="6"/>
  <c r="AB131" i="6"/>
  <c r="AC131" i="6"/>
  <c r="AE131" i="6"/>
  <c r="AF131" i="6"/>
  <c r="AG131" i="6"/>
  <c r="AA132" i="6"/>
  <c r="AB132" i="6"/>
  <c r="AC132" i="6"/>
  <c r="AE132" i="6"/>
  <c r="AF132" i="6"/>
  <c r="AG132" i="6"/>
  <c r="AA133" i="6"/>
  <c r="AB133" i="6"/>
  <c r="AC133" i="6"/>
  <c r="AE133" i="6"/>
  <c r="AF133" i="6"/>
  <c r="AG133" i="6"/>
  <c r="AA134" i="6"/>
  <c r="AB134" i="6"/>
  <c r="AC134" i="6"/>
  <c r="AE134" i="6"/>
  <c r="AF134" i="6"/>
  <c r="AG134" i="6"/>
  <c r="AA135" i="6"/>
  <c r="AB135" i="6"/>
  <c r="AC135" i="6"/>
  <c r="AE135" i="6"/>
  <c r="AF135" i="6"/>
  <c r="AG135" i="6"/>
  <c r="AA136" i="6"/>
  <c r="AB136" i="6"/>
  <c r="AC136" i="6"/>
  <c r="AE136" i="6"/>
  <c r="AF136" i="6"/>
  <c r="AG136" i="6"/>
  <c r="AA137" i="6"/>
  <c r="AB137" i="6"/>
  <c r="AC137" i="6"/>
  <c r="AE137" i="6"/>
  <c r="AF137" i="6"/>
  <c r="AG137" i="6"/>
  <c r="AA138" i="6"/>
  <c r="AB138" i="6"/>
  <c r="AC138" i="6"/>
  <c r="AE138" i="6"/>
  <c r="AF138" i="6"/>
  <c r="AG138" i="6"/>
  <c r="AA139" i="6"/>
  <c r="AB139" i="6"/>
  <c r="AC139" i="6"/>
  <c r="AE139" i="6"/>
  <c r="AF139" i="6"/>
  <c r="AG139" i="6"/>
  <c r="AA140" i="6"/>
  <c r="AB140" i="6"/>
  <c r="AC140" i="6"/>
  <c r="AE140" i="6"/>
  <c r="AF140" i="6"/>
  <c r="AG140" i="6"/>
  <c r="AA141" i="6"/>
  <c r="AB141" i="6"/>
  <c r="AC141" i="6"/>
  <c r="AD141" i="6"/>
  <c r="AE141" i="6"/>
  <c r="AF141" i="6"/>
  <c r="AG141" i="6"/>
  <c r="AA142" i="6"/>
  <c r="AB142" i="6"/>
  <c r="AC142" i="6"/>
  <c r="AD142" i="6" s="1"/>
  <c r="AE142" i="6"/>
  <c r="AF142" i="6"/>
  <c r="AG142" i="6"/>
  <c r="AA143" i="6"/>
  <c r="AB143" i="6"/>
  <c r="AC143" i="6"/>
  <c r="AD143" i="6" s="1"/>
  <c r="AE143" i="6"/>
  <c r="AF143" i="6"/>
  <c r="AG143" i="6"/>
  <c r="AA144" i="6"/>
  <c r="AB144" i="6"/>
  <c r="AC144" i="6"/>
  <c r="AE144" i="6"/>
  <c r="AF144" i="6"/>
  <c r="AG144" i="6"/>
  <c r="AA145" i="6"/>
  <c r="AB145" i="6"/>
  <c r="AC145" i="6"/>
  <c r="AD145" i="6" s="1"/>
  <c r="AE145" i="6"/>
  <c r="AF145" i="6"/>
  <c r="AG145" i="6"/>
  <c r="AA146" i="6"/>
  <c r="AB146" i="6"/>
  <c r="AC146" i="6"/>
  <c r="AE146" i="6"/>
  <c r="AF146" i="6"/>
  <c r="AG146" i="6"/>
  <c r="AA147" i="6"/>
  <c r="AB147" i="6"/>
  <c r="AC147" i="6"/>
  <c r="AE147" i="6"/>
  <c r="AF147" i="6"/>
  <c r="AG147" i="6"/>
  <c r="AA148" i="6"/>
  <c r="AB148" i="6"/>
  <c r="AC148" i="6"/>
  <c r="AE148" i="6"/>
  <c r="AF148" i="6"/>
  <c r="AG148" i="6"/>
  <c r="AA149" i="6"/>
  <c r="AB149" i="6"/>
  <c r="AC149" i="6"/>
  <c r="AE149" i="6"/>
  <c r="AF149" i="6"/>
  <c r="AG149" i="6"/>
  <c r="AA150" i="6"/>
  <c r="AB150" i="6"/>
  <c r="AC150" i="6"/>
  <c r="AE150" i="6"/>
  <c r="AF150" i="6"/>
  <c r="AG150" i="6"/>
  <c r="AA76" i="6"/>
  <c r="AB76" i="6"/>
  <c r="AC76" i="6"/>
  <c r="AE76" i="6"/>
  <c r="AF76" i="6"/>
  <c r="AG76" i="6"/>
  <c r="AA77" i="6"/>
  <c r="AB77" i="6"/>
  <c r="AC77" i="6"/>
  <c r="AE77" i="6"/>
  <c r="AF77" i="6"/>
  <c r="AG77" i="6"/>
  <c r="AA78" i="6"/>
  <c r="AB78" i="6"/>
  <c r="AC78" i="6"/>
  <c r="AE78" i="6"/>
  <c r="AF78" i="6"/>
  <c r="AG78" i="6"/>
  <c r="AA79" i="6"/>
  <c r="AB79" i="6"/>
  <c r="AC79" i="6"/>
  <c r="AE79" i="6"/>
  <c r="AF79" i="6"/>
  <c r="AG79" i="6"/>
  <c r="AA80" i="6"/>
  <c r="AB80" i="6"/>
  <c r="AC80" i="6"/>
  <c r="AE80" i="6"/>
  <c r="AF80" i="6"/>
  <c r="AG80" i="6"/>
  <c r="AA67" i="6"/>
  <c r="AB67" i="6"/>
  <c r="AC67" i="6"/>
  <c r="AE67" i="6"/>
  <c r="AF67" i="6"/>
  <c r="AG67" i="6"/>
  <c r="AA68" i="6"/>
  <c r="AB68" i="6"/>
  <c r="AC68" i="6"/>
  <c r="AE68" i="6"/>
  <c r="AF68" i="6"/>
  <c r="AG68" i="6"/>
  <c r="AA69" i="6"/>
  <c r="AB69" i="6"/>
  <c r="AC69" i="6"/>
  <c r="AE69" i="6"/>
  <c r="AF69" i="6"/>
  <c r="AG69" i="6"/>
  <c r="AA70" i="6"/>
  <c r="AB70" i="6"/>
  <c r="AC70" i="6"/>
  <c r="AE70" i="6"/>
  <c r="AF70" i="6"/>
  <c r="AG70" i="6"/>
  <c r="AA71" i="6"/>
  <c r="AB71" i="6"/>
  <c r="AC71" i="6"/>
  <c r="AE71" i="6"/>
  <c r="AF71" i="6"/>
  <c r="AG71" i="6"/>
  <c r="AA72" i="6"/>
  <c r="AB72" i="6"/>
  <c r="AC72" i="6"/>
  <c r="AE72" i="6"/>
  <c r="AF72" i="6"/>
  <c r="AG72" i="6"/>
  <c r="AA73" i="6"/>
  <c r="AB73" i="6"/>
  <c r="AC73" i="6"/>
  <c r="AE73" i="6"/>
  <c r="AF73" i="6"/>
  <c r="AG73" i="6"/>
  <c r="AA74" i="6"/>
  <c r="AB74" i="6"/>
  <c r="AC74" i="6"/>
  <c r="AE74" i="6"/>
  <c r="AF74" i="6"/>
  <c r="AG74" i="6"/>
  <c r="AA75" i="6"/>
  <c r="AB75" i="6"/>
  <c r="AC75" i="6"/>
  <c r="AE75" i="6"/>
  <c r="AF75" i="6"/>
  <c r="AG75" i="6"/>
  <c r="AG66" i="6"/>
  <c r="AF66" i="6"/>
  <c r="AE66" i="6"/>
  <c r="AC66" i="6"/>
  <c r="AB66" i="6"/>
  <c r="AA66" i="6"/>
  <c r="AG65" i="6"/>
  <c r="AF65" i="6"/>
  <c r="AE65" i="6"/>
  <c r="AC65" i="6"/>
  <c r="AB65" i="6"/>
  <c r="AA65" i="6"/>
  <c r="AG64" i="6"/>
  <c r="AF64" i="6"/>
  <c r="AE64" i="6"/>
  <c r="AC64" i="6"/>
  <c r="AB64" i="6"/>
  <c r="AA64" i="6"/>
  <c r="AG63" i="6"/>
  <c r="AF63" i="6"/>
  <c r="AE63" i="6"/>
  <c r="AC63" i="6"/>
  <c r="AB63" i="6"/>
  <c r="AA63" i="6"/>
  <c r="AG62" i="6"/>
  <c r="AF62" i="6"/>
  <c r="AE62" i="6"/>
  <c r="AC62" i="6"/>
  <c r="AB62" i="6"/>
  <c r="AA62" i="6"/>
  <c r="AG61" i="6"/>
  <c r="AF61" i="6"/>
  <c r="AE61" i="6"/>
  <c r="AC61" i="6"/>
  <c r="AB61" i="6"/>
  <c r="AA61" i="6"/>
  <c r="AD129" i="6" l="1"/>
  <c r="AD127" i="6"/>
  <c r="AD126" i="6"/>
  <c r="AD111" i="6"/>
  <c r="AD109" i="6"/>
  <c r="AD108" i="6"/>
  <c r="AD78" i="6"/>
  <c r="AD117" i="6"/>
  <c r="AD102" i="6"/>
  <c r="AD101" i="6"/>
  <c r="AD86" i="6"/>
  <c r="AD85" i="6"/>
  <c r="AD84" i="6"/>
  <c r="W65" i="6"/>
  <c r="W64" i="6" s="1"/>
  <c r="W63" i="6" s="1"/>
  <c r="W62" i="6" s="1"/>
  <c r="W61" i="6" s="1"/>
  <c r="X61" i="6" s="1"/>
  <c r="Y61" i="6" s="1"/>
  <c r="O61" i="6"/>
  <c r="O63" i="6"/>
  <c r="O65" i="6"/>
  <c r="R61" i="6"/>
  <c r="R65" i="6"/>
  <c r="R63" i="6"/>
  <c r="O62" i="6"/>
  <c r="O64" i="6"/>
  <c r="O66" i="6"/>
  <c r="R66" i="6"/>
  <c r="R64" i="6"/>
  <c r="R62" i="6"/>
  <c r="AD75" i="6"/>
  <c r="AD70" i="6"/>
  <c r="AD133" i="6"/>
  <c r="AD104" i="6"/>
  <c r="AD88" i="6"/>
  <c r="AD77" i="6"/>
  <c r="AD149" i="6"/>
  <c r="AD137" i="6"/>
  <c r="AD135" i="6"/>
  <c r="AD134" i="6"/>
  <c r="AD121" i="6"/>
  <c r="AD119" i="6"/>
  <c r="AD113" i="6"/>
  <c r="AD112" i="6"/>
  <c r="AD61" i="6"/>
  <c r="AD62" i="6"/>
  <c r="AD63" i="6"/>
  <c r="AD64" i="6"/>
  <c r="AD65" i="6"/>
  <c r="AD66" i="6"/>
  <c r="AD73" i="6"/>
  <c r="AD71" i="6"/>
  <c r="AD68" i="6"/>
  <c r="AD79" i="6"/>
  <c r="AD74" i="6"/>
  <c r="AD69" i="6"/>
  <c r="AD147" i="6"/>
  <c r="AD146" i="6"/>
  <c r="AD139" i="6"/>
  <c r="AD138" i="6"/>
  <c r="AD131" i="6"/>
  <c r="AD130" i="6"/>
  <c r="AD123" i="6"/>
  <c r="AD122" i="6"/>
  <c r="AD118" i="6"/>
  <c r="AD114" i="6"/>
  <c r="AD106" i="6"/>
  <c r="AD105" i="6"/>
  <c r="AD98" i="6"/>
  <c r="AD97" i="6"/>
  <c r="AD90" i="6"/>
  <c r="AD89" i="6"/>
  <c r="AD82" i="6"/>
  <c r="AD81" i="6"/>
  <c r="AD110" i="6"/>
  <c r="AD103" i="6"/>
  <c r="AD99" i="6"/>
  <c r="AD95" i="6"/>
  <c r="AD91" i="6"/>
  <c r="AD87" i="6"/>
  <c r="AD83" i="6"/>
  <c r="AD72" i="6"/>
  <c r="AD67" i="6"/>
  <c r="AD80" i="6"/>
  <c r="AD76" i="6"/>
  <c r="AD150" i="6"/>
  <c r="AD148" i="6"/>
  <c r="AD144" i="6"/>
  <c r="AD140" i="6"/>
  <c r="AD136" i="6"/>
  <c r="AD132" i="6"/>
  <c r="AD128" i="6"/>
  <c r="AD124" i="6"/>
  <c r="AD120" i="6"/>
  <c r="AD116" i="6"/>
  <c r="X63" i="6"/>
  <c r="Y63" i="6" s="1"/>
  <c r="X65" i="6"/>
  <c r="Y65" i="6" s="1"/>
  <c r="X62" i="6"/>
  <c r="Y62" i="6" s="1"/>
  <c r="X64" i="6"/>
  <c r="Y64" i="6" s="1"/>
  <c r="AE52" i="1"/>
  <c r="AF52" i="1"/>
  <c r="AG52" i="1"/>
  <c r="AE53" i="1"/>
  <c r="AF53" i="1"/>
  <c r="AG53" i="1"/>
  <c r="AE54" i="1"/>
  <c r="AF54" i="1"/>
  <c r="AG54" i="1"/>
  <c r="AE55" i="1"/>
  <c r="AF55" i="1"/>
  <c r="AG55" i="1"/>
  <c r="AE56" i="1"/>
  <c r="AF56" i="1"/>
  <c r="AG56" i="1"/>
  <c r="AE57" i="1"/>
  <c r="AF57" i="1"/>
  <c r="AG57" i="1"/>
  <c r="AE58" i="1"/>
  <c r="AF58" i="1"/>
  <c r="AG58" i="1"/>
  <c r="AE59" i="1"/>
  <c r="AF59" i="1"/>
  <c r="AG59" i="1"/>
  <c r="AE60" i="1"/>
  <c r="AF60" i="1"/>
  <c r="AG60" i="1"/>
  <c r="AE61" i="1"/>
  <c r="AF61" i="1"/>
  <c r="AG61" i="1"/>
  <c r="AE62" i="1"/>
  <c r="AF62" i="1"/>
  <c r="AG62" i="1"/>
  <c r="AE63" i="1"/>
  <c r="AF63" i="1"/>
  <c r="AG63" i="1"/>
  <c r="AE64" i="1"/>
  <c r="AF64" i="1"/>
  <c r="AG64" i="1"/>
  <c r="AE65" i="1"/>
  <c r="AF65" i="1"/>
  <c r="AG65" i="1"/>
  <c r="AE66" i="1"/>
  <c r="AF66" i="1"/>
  <c r="AG66" i="1"/>
  <c r="AE67" i="1"/>
  <c r="AF67" i="1"/>
  <c r="AG67" i="1"/>
  <c r="AE68" i="1"/>
  <c r="AF68" i="1"/>
  <c r="AG68" i="1"/>
  <c r="AH68" i="1" s="1"/>
  <c r="AE69" i="1"/>
  <c r="AF69" i="1"/>
  <c r="AG69" i="1"/>
  <c r="AH69" i="1"/>
  <c r="AE70" i="1"/>
  <c r="AF70" i="1"/>
  <c r="AG70" i="1"/>
  <c r="AE71" i="1"/>
  <c r="AF71" i="1"/>
  <c r="AG71" i="1"/>
  <c r="AH71" i="1" s="1"/>
  <c r="AE72" i="1"/>
  <c r="AF72" i="1"/>
  <c r="AG72" i="1"/>
  <c r="AE73" i="1"/>
  <c r="AF73" i="1"/>
  <c r="AG73" i="1"/>
  <c r="AH73" i="1" s="1"/>
  <c r="AE74" i="1"/>
  <c r="AF74" i="1"/>
  <c r="AG74" i="1"/>
  <c r="AE75" i="1"/>
  <c r="AF75" i="1"/>
  <c r="AG75" i="1"/>
  <c r="AE76" i="1"/>
  <c r="AF76" i="1"/>
  <c r="AG76" i="1"/>
  <c r="AE77" i="1"/>
  <c r="AF77" i="1"/>
  <c r="AG77" i="1"/>
  <c r="AH77" i="1" s="1"/>
  <c r="AE78" i="1"/>
  <c r="AF78" i="1"/>
  <c r="AG78" i="1"/>
  <c r="AE79" i="1"/>
  <c r="AF79" i="1"/>
  <c r="AG79" i="1"/>
  <c r="AE80" i="1"/>
  <c r="AF80" i="1"/>
  <c r="AG80" i="1"/>
  <c r="AE81" i="1"/>
  <c r="AF81" i="1"/>
  <c r="AG81" i="1"/>
  <c r="AE82" i="1"/>
  <c r="AF82" i="1"/>
  <c r="AG82" i="1"/>
  <c r="AE83" i="1"/>
  <c r="AF83" i="1"/>
  <c r="AG83" i="1"/>
  <c r="AE84" i="1"/>
  <c r="AF84" i="1"/>
  <c r="AG84" i="1"/>
  <c r="AE85" i="1"/>
  <c r="AF85" i="1"/>
  <c r="AG85" i="1"/>
  <c r="AH85" i="1" s="1"/>
  <c r="AE86" i="1"/>
  <c r="AF86" i="1"/>
  <c r="AG86" i="1"/>
  <c r="AE87" i="1"/>
  <c r="AF87" i="1"/>
  <c r="AG87" i="1"/>
  <c r="AE88" i="1"/>
  <c r="AF88" i="1"/>
  <c r="AG88" i="1"/>
  <c r="AE89" i="1"/>
  <c r="AF89" i="1"/>
  <c r="AG89" i="1"/>
  <c r="AE90" i="1"/>
  <c r="AF90" i="1"/>
  <c r="AG90" i="1"/>
  <c r="AE91" i="1"/>
  <c r="AF91" i="1"/>
  <c r="AG91" i="1"/>
  <c r="AE92" i="1"/>
  <c r="AF92" i="1"/>
  <c r="AG92" i="1"/>
  <c r="AE93" i="1"/>
  <c r="AF93" i="1"/>
  <c r="AG93" i="1"/>
  <c r="AE94" i="1"/>
  <c r="AF94" i="1"/>
  <c r="AG94" i="1"/>
  <c r="AE95" i="1"/>
  <c r="AF95" i="1"/>
  <c r="AG95" i="1"/>
  <c r="AE96" i="1"/>
  <c r="AF96" i="1"/>
  <c r="AG96" i="1"/>
  <c r="AE97" i="1"/>
  <c r="AF97" i="1"/>
  <c r="AG97" i="1"/>
  <c r="AE98" i="1"/>
  <c r="AF98" i="1"/>
  <c r="AG98" i="1"/>
  <c r="AE99" i="1"/>
  <c r="AF99" i="1"/>
  <c r="AG99" i="1"/>
  <c r="AE100" i="1"/>
  <c r="AF100" i="1"/>
  <c r="AG100" i="1"/>
  <c r="AE101" i="1"/>
  <c r="AF101" i="1"/>
  <c r="AG101" i="1"/>
  <c r="AH101" i="1" s="1"/>
  <c r="AE102" i="1"/>
  <c r="AF102" i="1"/>
  <c r="AG102" i="1"/>
  <c r="AE103" i="1"/>
  <c r="AF103" i="1"/>
  <c r="AG103" i="1"/>
  <c r="AE104" i="1"/>
  <c r="AF104" i="1"/>
  <c r="AG104" i="1"/>
  <c r="AE105" i="1"/>
  <c r="AF105" i="1"/>
  <c r="AG105" i="1"/>
  <c r="AE106" i="1"/>
  <c r="AF106" i="1"/>
  <c r="AG106" i="1"/>
  <c r="AE107" i="1"/>
  <c r="AF107" i="1"/>
  <c r="AG107" i="1"/>
  <c r="AE108" i="1"/>
  <c r="AF108" i="1"/>
  <c r="AG108" i="1"/>
  <c r="AE109" i="1"/>
  <c r="AF109" i="1"/>
  <c r="AG109" i="1"/>
  <c r="AH109" i="1" s="1"/>
  <c r="AE110" i="1"/>
  <c r="AF110" i="1"/>
  <c r="AG110" i="1"/>
  <c r="AE111" i="1"/>
  <c r="AF111" i="1"/>
  <c r="AG111" i="1"/>
  <c r="AE112" i="1"/>
  <c r="AF112" i="1"/>
  <c r="AG112" i="1"/>
  <c r="AE113" i="1"/>
  <c r="AF113" i="1"/>
  <c r="AG113" i="1"/>
  <c r="AE114" i="1"/>
  <c r="AF114" i="1"/>
  <c r="AG114" i="1"/>
  <c r="AE115" i="1"/>
  <c r="AF115" i="1"/>
  <c r="AG115" i="1"/>
  <c r="AE116" i="1"/>
  <c r="AF116" i="1"/>
  <c r="AG116" i="1"/>
  <c r="AE117" i="1"/>
  <c r="AF117" i="1"/>
  <c r="AG117" i="1"/>
  <c r="AE118" i="1"/>
  <c r="AF118" i="1"/>
  <c r="AG118" i="1"/>
  <c r="AE119" i="1"/>
  <c r="AF119" i="1"/>
  <c r="AG119" i="1"/>
  <c r="AE120" i="1"/>
  <c r="AF120" i="1"/>
  <c r="AG120" i="1"/>
  <c r="AE121" i="1"/>
  <c r="AF121" i="1"/>
  <c r="AG121" i="1"/>
  <c r="AE41" i="1"/>
  <c r="AF41" i="1"/>
  <c r="AG41" i="1"/>
  <c r="AE42" i="1"/>
  <c r="AF42" i="1"/>
  <c r="AG42" i="1"/>
  <c r="AE43" i="1"/>
  <c r="AF43" i="1"/>
  <c r="AG43" i="1"/>
  <c r="AE44" i="1"/>
  <c r="AF44" i="1"/>
  <c r="AG44" i="1"/>
  <c r="AE45" i="1"/>
  <c r="AF45" i="1"/>
  <c r="AG45" i="1"/>
  <c r="AE46" i="1"/>
  <c r="AF46" i="1"/>
  <c r="AG46" i="1"/>
  <c r="AE47" i="1"/>
  <c r="AF47" i="1"/>
  <c r="AG47" i="1"/>
  <c r="AE48" i="1"/>
  <c r="AF48" i="1"/>
  <c r="AG48" i="1"/>
  <c r="AE49" i="1"/>
  <c r="AF49" i="1"/>
  <c r="AG49" i="1"/>
  <c r="AE50" i="1"/>
  <c r="AF50" i="1"/>
  <c r="AG50" i="1"/>
  <c r="AE51" i="1"/>
  <c r="AF51" i="1"/>
  <c r="AG51" i="1"/>
  <c r="AE34" i="1"/>
  <c r="AF34" i="1"/>
  <c r="AG34" i="1"/>
  <c r="AE35" i="1"/>
  <c r="AF35" i="1"/>
  <c r="AG35" i="1"/>
  <c r="AE36" i="1"/>
  <c r="AF36" i="1"/>
  <c r="AG36" i="1"/>
  <c r="AE37" i="1"/>
  <c r="AF37" i="1"/>
  <c r="AG37" i="1"/>
  <c r="AE38" i="1"/>
  <c r="AF38" i="1"/>
  <c r="AG38" i="1"/>
  <c r="AE39" i="1"/>
  <c r="AF39" i="1"/>
  <c r="AG39" i="1"/>
  <c r="AE40" i="1"/>
  <c r="AF40" i="1"/>
  <c r="AG40" i="1"/>
  <c r="AH37" i="1" l="1"/>
  <c r="AH43" i="1"/>
  <c r="AH117" i="1"/>
  <c r="AH105" i="1"/>
  <c r="AH103" i="1"/>
  <c r="AH100" i="1"/>
  <c r="AH53" i="1"/>
  <c r="AH40" i="1"/>
  <c r="AH38" i="1"/>
  <c r="AH36" i="1"/>
  <c r="AH51" i="1"/>
  <c r="AH50" i="1"/>
  <c r="AH48" i="1"/>
  <c r="AH46" i="1"/>
  <c r="AH44" i="1"/>
  <c r="AH121" i="1"/>
  <c r="AH119" i="1"/>
  <c r="AH116" i="1"/>
  <c r="AH93" i="1"/>
  <c r="AH89" i="1"/>
  <c r="AH87" i="1"/>
  <c r="AH84" i="1"/>
  <c r="AH61" i="1"/>
  <c r="AH57" i="1"/>
  <c r="AH55" i="1"/>
  <c r="AH52" i="1"/>
  <c r="AH113" i="1"/>
  <c r="AH111" i="1"/>
  <c r="AH108" i="1"/>
  <c r="AH97" i="1"/>
  <c r="AH95" i="1"/>
  <c r="AH92" i="1"/>
  <c r="AH81" i="1"/>
  <c r="AH79" i="1"/>
  <c r="AH76" i="1"/>
  <c r="AH65" i="1"/>
  <c r="AH63" i="1"/>
  <c r="AH60" i="1"/>
  <c r="AH39" i="1"/>
  <c r="AH35" i="1"/>
  <c r="AH49" i="1"/>
  <c r="AH47" i="1"/>
  <c r="AH42" i="1"/>
  <c r="AH120" i="1"/>
  <c r="AH115" i="1"/>
  <c r="AH112" i="1"/>
  <c r="AH107" i="1"/>
  <c r="AH104" i="1"/>
  <c r="AH99" i="1"/>
  <c r="AH96" i="1"/>
  <c r="AH91" i="1"/>
  <c r="AH88" i="1"/>
  <c r="AH83" i="1"/>
  <c r="AH80" i="1"/>
  <c r="AH75" i="1"/>
  <c r="AH72" i="1"/>
  <c r="AH67" i="1"/>
  <c r="AH64" i="1"/>
  <c r="AH59" i="1"/>
  <c r="AH56" i="1"/>
  <c r="AH34" i="1"/>
  <c r="AH45" i="1"/>
  <c r="AH41" i="1"/>
  <c r="AH118" i="1"/>
  <c r="AH114" i="1"/>
  <c r="AH110" i="1"/>
  <c r="AH106" i="1"/>
  <c r="AH102" i="1"/>
  <c r="AH98" i="1"/>
  <c r="AH94" i="1"/>
  <c r="AH90" i="1"/>
  <c r="AH86" i="1"/>
  <c r="AH82" i="1"/>
  <c r="AH78" i="1"/>
  <c r="AH74" i="1"/>
  <c r="AH70" i="1"/>
  <c r="AH66" i="1"/>
  <c r="AH62" i="1"/>
  <c r="AH58" i="1"/>
  <c r="AH54" i="1"/>
  <c r="AO39" i="1"/>
  <c r="AO40" i="1"/>
  <c r="AO41" i="1"/>
  <c r="AO42" i="1"/>
  <c r="AO43" i="1"/>
  <c r="AO44" i="1"/>
  <c r="AO45" i="1"/>
  <c r="AO46" i="1"/>
  <c r="AO47" i="1"/>
  <c r="AO48" i="1"/>
  <c r="AO49" i="1"/>
  <c r="AO50" i="1"/>
  <c r="AO51" i="1"/>
  <c r="AO52" i="1"/>
  <c r="AO53" i="1"/>
  <c r="AO54" i="1"/>
  <c r="AO55" i="1"/>
  <c r="AO56" i="1"/>
  <c r="AO57" i="1"/>
  <c r="AO58" i="1"/>
  <c r="AO59" i="1"/>
  <c r="AO60" i="1"/>
  <c r="AO61" i="1"/>
  <c r="AO62" i="1"/>
  <c r="AO63" i="1"/>
  <c r="AO64" i="1"/>
  <c r="AO65" i="1"/>
  <c r="AO66" i="1"/>
  <c r="AO67" i="1"/>
  <c r="AO68" i="1"/>
  <c r="AO69" i="1"/>
  <c r="AO70" i="1"/>
  <c r="AO71" i="1"/>
  <c r="AO72" i="1"/>
  <c r="AO73" i="1"/>
  <c r="AO74" i="1"/>
  <c r="AO75" i="1"/>
  <c r="AO76" i="1"/>
  <c r="AO77" i="1"/>
  <c r="AO78" i="1"/>
  <c r="AO79" i="1"/>
  <c r="AO80" i="1"/>
  <c r="AO81" i="1"/>
  <c r="AO82" i="1"/>
  <c r="AO83" i="1"/>
  <c r="AO84" i="1"/>
  <c r="AO85" i="1"/>
  <c r="AO86" i="1"/>
  <c r="AO87" i="1"/>
  <c r="AO88" i="1"/>
  <c r="AO89" i="1"/>
  <c r="AO90" i="1"/>
  <c r="AO91" i="1"/>
  <c r="AO92" i="1"/>
  <c r="AO93" i="1"/>
  <c r="AO94" i="1"/>
  <c r="AO95" i="1"/>
  <c r="AO96" i="1"/>
  <c r="AO97" i="1"/>
  <c r="AO98" i="1"/>
  <c r="AO99" i="1"/>
  <c r="AO100" i="1"/>
  <c r="AO101" i="1"/>
  <c r="AO102" i="1"/>
  <c r="AO103" i="1"/>
  <c r="AO104" i="1"/>
  <c r="AO105" i="1"/>
  <c r="AO106" i="1"/>
  <c r="AO107" i="1"/>
  <c r="AO108" i="1"/>
  <c r="AO109" i="1"/>
  <c r="AO110" i="1"/>
  <c r="S110" i="1" s="1"/>
  <c r="AO111" i="1"/>
  <c r="T111" i="1" s="1"/>
  <c r="AO112" i="1"/>
  <c r="T112" i="1" s="1"/>
  <c r="AO113" i="1"/>
  <c r="T113" i="1" s="1"/>
  <c r="AO114" i="1"/>
  <c r="T114" i="1" s="1"/>
  <c r="AO115" i="1"/>
  <c r="T115" i="1" s="1"/>
  <c r="AO116" i="1"/>
  <c r="T116" i="1" s="1"/>
  <c r="AO117" i="1"/>
  <c r="AO118" i="1"/>
  <c r="AO119" i="1"/>
  <c r="AO120" i="1"/>
  <c r="AO121" i="1"/>
  <c r="S121" i="1" s="1"/>
  <c r="AO38" i="1"/>
  <c r="T117" i="1" l="1"/>
  <c r="S117" i="1"/>
  <c r="T110" i="1"/>
  <c r="S116" i="1"/>
  <c r="S115" i="1"/>
  <c r="S114" i="1"/>
  <c r="S113" i="1"/>
  <c r="S112" i="1"/>
  <c r="S111" i="1"/>
  <c r="T121" i="1"/>
  <c r="V12" i="9"/>
  <c r="U12" i="9"/>
  <c r="V11" i="9"/>
  <c r="U11" i="9"/>
  <c r="V10" i="9"/>
  <c r="U10" i="9"/>
  <c r="V9" i="9"/>
  <c r="U9" i="9"/>
  <c r="V8" i="9"/>
  <c r="U8" i="9"/>
  <c r="V7" i="9"/>
  <c r="U7" i="9"/>
  <c r="U6" i="9"/>
  <c r="V6" i="9"/>
  <c r="V5" i="9"/>
  <c r="U5" i="9"/>
  <c r="U4" i="9"/>
  <c r="AA32" i="9"/>
  <c r="AA23" i="9"/>
  <c r="AA28" i="9"/>
  <c r="AA25" i="9"/>
  <c r="AA21" i="9"/>
  <c r="AA18" i="9"/>
  <c r="Y73" i="9"/>
  <c r="Y66" i="9"/>
  <c r="Y59" i="9"/>
  <c r="Y55" i="9"/>
  <c r="Y49" i="9"/>
  <c r="Y42" i="9"/>
  <c r="P78" i="9"/>
  <c r="P77" i="9"/>
  <c r="P76" i="9"/>
  <c r="P75" i="9"/>
  <c r="P74" i="9"/>
  <c r="P73" i="9"/>
  <c r="P72" i="9"/>
  <c r="P71" i="9"/>
  <c r="P70" i="9"/>
  <c r="P69" i="9"/>
  <c r="P68" i="9"/>
  <c r="P67" i="9"/>
  <c r="P66" i="9"/>
  <c r="P65" i="9"/>
  <c r="P64" i="9"/>
  <c r="P63" i="9"/>
  <c r="P62" i="9"/>
  <c r="P61" i="9"/>
  <c r="P60" i="9"/>
  <c r="P59" i="9"/>
  <c r="P58" i="9"/>
  <c r="P57" i="9"/>
  <c r="P56" i="9"/>
  <c r="P55" i="9"/>
  <c r="P54" i="9"/>
  <c r="P53" i="9"/>
  <c r="P52" i="9"/>
  <c r="P51" i="9"/>
  <c r="P50" i="9"/>
  <c r="P49" i="9"/>
  <c r="P48" i="9"/>
  <c r="P47" i="9"/>
  <c r="P46" i="9"/>
  <c r="P45" i="9"/>
  <c r="P44" i="9"/>
  <c r="P43" i="9"/>
  <c r="P42" i="9"/>
  <c r="P41" i="9"/>
  <c r="P40" i="9"/>
  <c r="P39" i="9"/>
  <c r="P38" i="9"/>
  <c r="S118" i="1" l="1"/>
  <c r="T33" i="1"/>
  <c r="W33" i="1" s="1"/>
  <c r="S33" i="1"/>
  <c r="V33" i="1" s="1"/>
  <c r="T118" i="1"/>
  <c r="S119" i="1"/>
  <c r="T119" i="1"/>
  <c r="S261" i="9"/>
  <c r="Q261" i="9"/>
  <c r="P258" i="9"/>
  <c r="P257" i="9"/>
  <c r="P256" i="9"/>
  <c r="P255" i="9"/>
  <c r="P254" i="9"/>
  <c r="P253" i="9"/>
  <c r="P252" i="9"/>
  <c r="P251" i="9"/>
  <c r="P250" i="9"/>
  <c r="P249" i="9"/>
  <c r="P248" i="9"/>
  <c r="P247" i="9"/>
  <c r="P246" i="9"/>
  <c r="P245" i="9"/>
  <c r="P244" i="9"/>
  <c r="P243" i="9"/>
  <c r="P242" i="9"/>
  <c r="P241" i="9"/>
  <c r="P240" i="9"/>
  <c r="P239" i="9"/>
  <c r="P238" i="9"/>
  <c r="P237" i="9"/>
  <c r="P236" i="9"/>
  <c r="P235" i="9"/>
  <c r="P234" i="9"/>
  <c r="P233" i="9"/>
  <c r="P232" i="9"/>
  <c r="P231" i="9"/>
  <c r="P230" i="9"/>
  <c r="P229" i="9"/>
  <c r="P228" i="9"/>
  <c r="P227" i="9"/>
  <c r="P226" i="9"/>
  <c r="P225" i="9"/>
  <c r="P224" i="9"/>
  <c r="P223" i="9"/>
  <c r="P222" i="9"/>
  <c r="P221" i="9"/>
  <c r="P220" i="9"/>
  <c r="P219" i="9"/>
  <c r="P218" i="9"/>
  <c r="P217" i="9"/>
  <c r="P216" i="9"/>
  <c r="P215" i="9"/>
  <c r="P214" i="9"/>
  <c r="P213" i="9"/>
  <c r="P212" i="9"/>
  <c r="P211" i="9"/>
  <c r="P210" i="9"/>
  <c r="P209" i="9"/>
  <c r="P208" i="9"/>
  <c r="P207" i="9"/>
  <c r="P206" i="9"/>
  <c r="P205" i="9"/>
  <c r="P204" i="9"/>
  <c r="P203" i="9"/>
  <c r="P202" i="9"/>
  <c r="P201" i="9"/>
  <c r="P200" i="9"/>
  <c r="P199" i="9"/>
  <c r="P198" i="9"/>
  <c r="P197" i="9"/>
  <c r="P196" i="9"/>
  <c r="P195" i="9"/>
  <c r="P194" i="9"/>
  <c r="P193" i="9"/>
  <c r="P192" i="9"/>
  <c r="P191" i="9"/>
  <c r="P190" i="9"/>
  <c r="P189" i="9"/>
  <c r="P188" i="9"/>
  <c r="P187" i="9"/>
  <c r="P186" i="9"/>
  <c r="P185" i="9"/>
  <c r="P184" i="9"/>
  <c r="P183" i="9"/>
  <c r="P182" i="9"/>
  <c r="P181" i="9"/>
  <c r="P180" i="9"/>
  <c r="P179" i="9"/>
  <c r="P178" i="9"/>
  <c r="P177" i="9"/>
  <c r="P176" i="9"/>
  <c r="P175" i="9"/>
  <c r="P174" i="9"/>
  <c r="P173" i="9"/>
  <c r="P172" i="9"/>
  <c r="P171" i="9"/>
  <c r="P170" i="9"/>
  <c r="P169" i="9"/>
  <c r="P168" i="9"/>
  <c r="P167" i="9"/>
  <c r="P166" i="9"/>
  <c r="P165" i="9"/>
  <c r="P164" i="9"/>
  <c r="P163" i="9"/>
  <c r="P162" i="9"/>
  <c r="P161" i="9"/>
  <c r="P160" i="9"/>
  <c r="P159" i="9"/>
  <c r="P158" i="9"/>
  <c r="P157" i="9"/>
  <c r="P156" i="9"/>
  <c r="P155" i="9"/>
  <c r="P154" i="9"/>
  <c r="P153" i="9"/>
  <c r="P152" i="9"/>
  <c r="P151" i="9"/>
  <c r="P150" i="9"/>
  <c r="P149" i="9"/>
  <c r="P148" i="9"/>
  <c r="P147" i="9"/>
  <c r="P146" i="9"/>
  <c r="P145" i="9"/>
  <c r="BJ144" i="9"/>
  <c r="P144" i="9"/>
  <c r="BJ143" i="9"/>
  <c r="P143" i="9"/>
  <c r="BJ142" i="9"/>
  <c r="P142" i="9"/>
  <c r="BJ141" i="9"/>
  <c r="P141" i="9"/>
  <c r="BJ140" i="9"/>
  <c r="P140" i="9"/>
  <c r="P139" i="9"/>
  <c r="BJ138" i="9"/>
  <c r="P138" i="9"/>
  <c r="BJ137" i="9"/>
  <c r="P137" i="9"/>
  <c r="BJ136" i="9"/>
  <c r="P136" i="9"/>
  <c r="BJ135" i="9"/>
  <c r="P135" i="9"/>
  <c r="BJ134" i="9"/>
  <c r="P134" i="9"/>
  <c r="BJ133" i="9"/>
  <c r="P133" i="9"/>
  <c r="BJ132" i="9"/>
  <c r="P132" i="9"/>
  <c r="BJ131" i="9"/>
  <c r="P131" i="9"/>
  <c r="BJ130" i="9"/>
  <c r="P130" i="9"/>
  <c r="BJ129" i="9"/>
  <c r="BJ146" i="9" s="1"/>
  <c r="P129" i="9"/>
  <c r="P128" i="9"/>
  <c r="P127" i="9"/>
  <c r="P126" i="9"/>
  <c r="P125" i="9"/>
  <c r="P124" i="9"/>
  <c r="P123" i="9"/>
  <c r="P122" i="9"/>
  <c r="P121" i="9"/>
  <c r="P120" i="9"/>
  <c r="P119" i="9"/>
  <c r="BQ118" i="9"/>
  <c r="BP118" i="9"/>
  <c r="P118" i="9"/>
  <c r="BO117" i="9"/>
  <c r="BN117" i="9"/>
  <c r="BM117" i="9"/>
  <c r="BL117" i="9"/>
  <c r="BK117" i="9"/>
  <c r="BJ117" i="9"/>
  <c r="P117" i="9"/>
  <c r="P116" i="9"/>
  <c r="BO115" i="9"/>
  <c r="BN115" i="9"/>
  <c r="BM115" i="9"/>
  <c r="BL115" i="9"/>
  <c r="BK115" i="9"/>
  <c r="BJ115" i="9"/>
  <c r="P115" i="9"/>
  <c r="P114" i="9"/>
  <c r="P113" i="9"/>
  <c r="P112" i="9"/>
  <c r="P111" i="9"/>
  <c r="BQ110" i="9"/>
  <c r="BP110" i="9"/>
  <c r="P110" i="9"/>
  <c r="P109" i="9"/>
  <c r="P108" i="9"/>
  <c r="P107" i="9"/>
  <c r="P106" i="9"/>
  <c r="P105" i="9"/>
  <c r="P104" i="9"/>
  <c r="P103" i="9"/>
  <c r="P102" i="9"/>
  <c r="P101" i="9"/>
  <c r="P100" i="9"/>
  <c r="P99" i="9"/>
  <c r="P98" i="9"/>
  <c r="P97" i="9"/>
  <c r="P96" i="9"/>
  <c r="P95" i="9"/>
  <c r="P94" i="9"/>
  <c r="P93" i="9"/>
  <c r="P92" i="9"/>
  <c r="P91" i="9"/>
  <c r="P90" i="9"/>
  <c r="BC89" i="9"/>
  <c r="AU89" i="9"/>
  <c r="P89" i="9"/>
  <c r="BC88" i="9"/>
  <c r="AU88" i="9"/>
  <c r="P88" i="9"/>
  <c r="BE87" i="9"/>
  <c r="BD87" i="9"/>
  <c r="BC87" i="9"/>
  <c r="BA87" i="9"/>
  <c r="AY87" i="9"/>
  <c r="AX87" i="9"/>
  <c r="AW87" i="9"/>
  <c r="AV87" i="9"/>
  <c r="AU87" i="9"/>
  <c r="AT87" i="9"/>
  <c r="AS87" i="9"/>
  <c r="AR87" i="9"/>
  <c r="AQ87" i="9"/>
  <c r="AP87" i="9"/>
  <c r="AO87" i="9"/>
  <c r="P87" i="9"/>
  <c r="BE86" i="9"/>
  <c r="BD86" i="9"/>
  <c r="BC86" i="9"/>
  <c r="BA86" i="9"/>
  <c r="AY86" i="9"/>
  <c r="AX86" i="9"/>
  <c r="AW86" i="9"/>
  <c r="AV86" i="9"/>
  <c r="AU86" i="9"/>
  <c r="AT86" i="9"/>
  <c r="AS86" i="9"/>
  <c r="AR86" i="9"/>
  <c r="AQ86" i="9"/>
  <c r="AP86" i="9"/>
  <c r="AO86" i="9"/>
  <c r="P86" i="9"/>
  <c r="BE85" i="9"/>
  <c r="BD85" i="9"/>
  <c r="BC85" i="9"/>
  <c r="BA85" i="9"/>
  <c r="AY85" i="9"/>
  <c r="AX85" i="9"/>
  <c r="AW85" i="9"/>
  <c r="AV85" i="9"/>
  <c r="AU85" i="9"/>
  <c r="AT85" i="9"/>
  <c r="AS85" i="9"/>
  <c r="AR85" i="9"/>
  <c r="AQ85" i="9"/>
  <c r="AP85" i="9"/>
  <c r="AO85" i="9"/>
  <c r="P85" i="9"/>
  <c r="BE84" i="9"/>
  <c r="BD84" i="9"/>
  <c r="BC84" i="9"/>
  <c r="BA84" i="9"/>
  <c r="AY84" i="9"/>
  <c r="AX84" i="9"/>
  <c r="AW84" i="9"/>
  <c r="AV84" i="9"/>
  <c r="AU84" i="9"/>
  <c r="AT84" i="9"/>
  <c r="AS84" i="9"/>
  <c r="AR84" i="9"/>
  <c r="AQ84" i="9"/>
  <c r="AP84" i="9"/>
  <c r="AO84" i="9"/>
  <c r="P84" i="9"/>
  <c r="BE83" i="9"/>
  <c r="BD83" i="9"/>
  <c r="BC83" i="9"/>
  <c r="BA83" i="9"/>
  <c r="AY83" i="9"/>
  <c r="AX83" i="9"/>
  <c r="AW83" i="9"/>
  <c r="AV83" i="9"/>
  <c r="AU83" i="9"/>
  <c r="AT83" i="9"/>
  <c r="AS83" i="9"/>
  <c r="AR83" i="9"/>
  <c r="AQ83" i="9"/>
  <c r="AP83" i="9"/>
  <c r="AO83" i="9"/>
  <c r="P83" i="9"/>
  <c r="BE82" i="9"/>
  <c r="BD82" i="9"/>
  <c r="BC82" i="9"/>
  <c r="BA82" i="9"/>
  <c r="AY82" i="9"/>
  <c r="AX82" i="9"/>
  <c r="AW82" i="9"/>
  <c r="AV82" i="9"/>
  <c r="AU82" i="9"/>
  <c r="AT82" i="9"/>
  <c r="AS82" i="9"/>
  <c r="AR82" i="9"/>
  <c r="AQ82" i="9"/>
  <c r="AP82" i="9"/>
  <c r="AO82" i="9"/>
  <c r="P82" i="9"/>
  <c r="E78" i="7"/>
  <c r="E63" i="7"/>
  <c r="E48" i="7"/>
  <c r="E33" i="7"/>
  <c r="E18" i="7"/>
  <c r="E3" i="7"/>
  <c r="K269" i="2"/>
  <c r="K217" i="2"/>
  <c r="K165" i="2"/>
  <c r="K113" i="2"/>
  <c r="K61" i="2"/>
  <c r="K8" i="2"/>
  <c r="X33" i="1" l="1"/>
  <c r="S120" i="1"/>
  <c r="T120" i="1"/>
  <c r="BB82" i="9"/>
  <c r="BB83" i="9"/>
  <c r="BB84" i="9"/>
  <c r="BB85" i="9"/>
  <c r="BB86" i="9"/>
  <c r="BB87" i="9"/>
  <c r="AZ82" i="9"/>
  <c r="AZ83" i="9"/>
  <c r="AZ84" i="9"/>
  <c r="AZ85" i="9"/>
  <c r="AZ86" i="9"/>
  <c r="AZ87" i="9"/>
  <c r="X150" i="6" l="1"/>
  <c r="Y150" i="6" s="1"/>
  <c r="U150" i="6"/>
  <c r="V150" i="6" s="1"/>
  <c r="Q150" i="6"/>
  <c r="R150" i="6" s="1"/>
  <c r="N150" i="6"/>
  <c r="O150" i="6" s="1"/>
  <c r="K150" i="6"/>
  <c r="H150" i="6"/>
  <c r="X149" i="6"/>
  <c r="Y149" i="6" s="1"/>
  <c r="U149" i="6"/>
  <c r="V149" i="6" s="1"/>
  <c r="Q149" i="6"/>
  <c r="N149" i="6"/>
  <c r="K149" i="6"/>
  <c r="H149" i="6"/>
  <c r="X148" i="6"/>
  <c r="Y148" i="6" s="1"/>
  <c r="U148" i="6"/>
  <c r="V148" i="6" s="1"/>
  <c r="Q148" i="6"/>
  <c r="N148" i="6"/>
  <c r="O148" i="6" s="1"/>
  <c r="K148" i="6"/>
  <c r="H148" i="6"/>
  <c r="X147" i="6"/>
  <c r="Y147" i="6" s="1"/>
  <c r="U147" i="6"/>
  <c r="V147" i="6" s="1"/>
  <c r="Q147" i="6"/>
  <c r="N147" i="6"/>
  <c r="K147" i="6"/>
  <c r="H147" i="6"/>
  <c r="X146" i="6"/>
  <c r="Y146" i="6" s="1"/>
  <c r="U146" i="6"/>
  <c r="V146" i="6" s="1"/>
  <c r="Q146" i="6"/>
  <c r="R146" i="6" s="1"/>
  <c r="N146" i="6"/>
  <c r="O146" i="6" s="1"/>
  <c r="K146" i="6"/>
  <c r="H146" i="6"/>
  <c r="X145" i="6"/>
  <c r="Y145" i="6" s="1"/>
  <c r="U145" i="6"/>
  <c r="V145" i="6" s="1"/>
  <c r="Q145" i="6"/>
  <c r="N145" i="6"/>
  <c r="K145" i="6"/>
  <c r="H145" i="6"/>
  <c r="X144" i="6"/>
  <c r="Y144" i="6" s="1"/>
  <c r="U144" i="6"/>
  <c r="V144" i="6" s="1"/>
  <c r="Q144" i="6"/>
  <c r="N144" i="6"/>
  <c r="O144" i="6" s="1"/>
  <c r="K144" i="6"/>
  <c r="H144" i="6"/>
  <c r="X143" i="6"/>
  <c r="Y143" i="6" s="1"/>
  <c r="U143" i="6"/>
  <c r="V143" i="6" s="1"/>
  <c r="Q143" i="6"/>
  <c r="N143" i="6"/>
  <c r="K143" i="6"/>
  <c r="H143" i="6"/>
  <c r="X142" i="6"/>
  <c r="Y142" i="6" s="1"/>
  <c r="U142" i="6"/>
  <c r="V142" i="6" s="1"/>
  <c r="Q142" i="6"/>
  <c r="R142" i="6" s="1"/>
  <c r="N142" i="6"/>
  <c r="O142" i="6" s="1"/>
  <c r="K142" i="6"/>
  <c r="H142" i="6"/>
  <c r="X141" i="6"/>
  <c r="Y141" i="6" s="1"/>
  <c r="U141" i="6"/>
  <c r="V141" i="6" s="1"/>
  <c r="Q141" i="6"/>
  <c r="N141" i="6"/>
  <c r="K141" i="6"/>
  <c r="H141" i="6"/>
  <c r="X140" i="6"/>
  <c r="Y140" i="6" s="1"/>
  <c r="U140" i="6"/>
  <c r="V140" i="6" s="1"/>
  <c r="Q140" i="6"/>
  <c r="N140" i="6"/>
  <c r="O140" i="6" s="1"/>
  <c r="K140" i="6"/>
  <c r="H140" i="6"/>
  <c r="X139" i="6"/>
  <c r="Y139" i="6" s="1"/>
  <c r="U139" i="6"/>
  <c r="V139" i="6" s="1"/>
  <c r="Q139" i="6"/>
  <c r="N139" i="6"/>
  <c r="K139" i="6"/>
  <c r="H139" i="6"/>
  <c r="X138" i="6"/>
  <c r="Y138" i="6" s="1"/>
  <c r="U138" i="6"/>
  <c r="V138" i="6" s="1"/>
  <c r="Q138" i="6"/>
  <c r="R138" i="6" s="1"/>
  <c r="N138" i="6"/>
  <c r="O138" i="6" s="1"/>
  <c r="K138" i="6"/>
  <c r="H138" i="6"/>
  <c r="X137" i="6"/>
  <c r="Y137" i="6" s="1"/>
  <c r="U137" i="6"/>
  <c r="V137" i="6" s="1"/>
  <c r="Q137" i="6"/>
  <c r="N137" i="6"/>
  <c r="K137" i="6"/>
  <c r="H137" i="6"/>
  <c r="X136" i="6"/>
  <c r="Y136" i="6" s="1"/>
  <c r="U136" i="6"/>
  <c r="V136" i="6" s="1"/>
  <c r="Q136" i="6"/>
  <c r="N136" i="6"/>
  <c r="O136" i="6" s="1"/>
  <c r="K136" i="6"/>
  <c r="H136" i="6"/>
  <c r="X135" i="6"/>
  <c r="Y135" i="6" s="1"/>
  <c r="U135" i="6"/>
  <c r="V135" i="6" s="1"/>
  <c r="Q135" i="6"/>
  <c r="N135" i="6"/>
  <c r="K135" i="6"/>
  <c r="H135" i="6"/>
  <c r="X134" i="6"/>
  <c r="Y134" i="6" s="1"/>
  <c r="U134" i="6"/>
  <c r="V134" i="6" s="1"/>
  <c r="Q134" i="6"/>
  <c r="R134" i="6" s="1"/>
  <c r="N134" i="6"/>
  <c r="O134" i="6" s="1"/>
  <c r="K134" i="6"/>
  <c r="H134" i="6"/>
  <c r="X133" i="6"/>
  <c r="Y133" i="6" s="1"/>
  <c r="U133" i="6"/>
  <c r="V133" i="6" s="1"/>
  <c r="Q133" i="6"/>
  <c r="N133" i="6"/>
  <c r="K133" i="6"/>
  <c r="H133" i="6"/>
  <c r="X132" i="6"/>
  <c r="Y132" i="6" s="1"/>
  <c r="U132" i="6"/>
  <c r="V132" i="6" s="1"/>
  <c r="Q132" i="6"/>
  <c r="N132" i="6"/>
  <c r="O132" i="6" s="1"/>
  <c r="K132" i="6"/>
  <c r="H132" i="6"/>
  <c r="X131" i="6"/>
  <c r="Y131" i="6" s="1"/>
  <c r="U131" i="6"/>
  <c r="V131" i="6" s="1"/>
  <c r="Q131" i="6"/>
  <c r="N131" i="6"/>
  <c r="K131" i="6"/>
  <c r="H131" i="6"/>
  <c r="X130" i="6"/>
  <c r="Y130" i="6" s="1"/>
  <c r="U130" i="6"/>
  <c r="V130" i="6" s="1"/>
  <c r="Q130" i="6"/>
  <c r="R130" i="6" s="1"/>
  <c r="N130" i="6"/>
  <c r="O130" i="6" s="1"/>
  <c r="K130" i="6"/>
  <c r="H130" i="6"/>
  <c r="X129" i="6"/>
  <c r="Y129" i="6" s="1"/>
  <c r="U129" i="6"/>
  <c r="V129" i="6" s="1"/>
  <c r="Q129" i="6"/>
  <c r="N129" i="6"/>
  <c r="K129" i="6"/>
  <c r="H129" i="6"/>
  <c r="X128" i="6"/>
  <c r="Y128" i="6" s="1"/>
  <c r="U128" i="6"/>
  <c r="V128" i="6" s="1"/>
  <c r="Q128" i="6"/>
  <c r="R128" i="6" s="1"/>
  <c r="N128" i="6"/>
  <c r="O128" i="6" s="1"/>
  <c r="K128" i="6"/>
  <c r="H128" i="6"/>
  <c r="X127" i="6"/>
  <c r="Y127" i="6" s="1"/>
  <c r="U127" i="6"/>
  <c r="V127" i="6" s="1"/>
  <c r="Q127" i="6"/>
  <c r="N127" i="6"/>
  <c r="K127" i="6"/>
  <c r="H127" i="6"/>
  <c r="X126" i="6"/>
  <c r="Y126" i="6" s="1"/>
  <c r="U126" i="6"/>
  <c r="V126" i="6" s="1"/>
  <c r="Q126" i="6"/>
  <c r="R126" i="6" s="1"/>
  <c r="N126" i="6"/>
  <c r="O126" i="6" s="1"/>
  <c r="K126" i="6"/>
  <c r="H126" i="6"/>
  <c r="X125" i="6"/>
  <c r="Y125" i="6" s="1"/>
  <c r="U125" i="6"/>
  <c r="V125" i="6" s="1"/>
  <c r="Q125" i="6"/>
  <c r="N125" i="6"/>
  <c r="K125" i="6"/>
  <c r="H125" i="6"/>
  <c r="X124" i="6"/>
  <c r="Y124" i="6" s="1"/>
  <c r="U124" i="6"/>
  <c r="V124" i="6" s="1"/>
  <c r="Q124" i="6"/>
  <c r="R124" i="6" s="1"/>
  <c r="N124" i="6"/>
  <c r="O124" i="6" s="1"/>
  <c r="K124" i="6"/>
  <c r="H124" i="6"/>
  <c r="X123" i="6"/>
  <c r="Y123" i="6" s="1"/>
  <c r="U123" i="6"/>
  <c r="V123" i="6" s="1"/>
  <c r="Q123" i="6"/>
  <c r="N123" i="6"/>
  <c r="K123" i="6"/>
  <c r="H123" i="6"/>
  <c r="X122" i="6"/>
  <c r="Y122" i="6" s="1"/>
  <c r="U122" i="6"/>
  <c r="V122" i="6" s="1"/>
  <c r="Q122" i="6"/>
  <c r="N122" i="6"/>
  <c r="K122" i="6"/>
  <c r="H122" i="6"/>
  <c r="X121" i="6"/>
  <c r="Y121" i="6" s="1"/>
  <c r="U121" i="6"/>
  <c r="V121" i="6" s="1"/>
  <c r="Q121" i="6"/>
  <c r="N121" i="6"/>
  <c r="O121" i="6" s="1"/>
  <c r="K121" i="6"/>
  <c r="H121" i="6"/>
  <c r="X120" i="6"/>
  <c r="Y120" i="6" s="1"/>
  <c r="U120" i="6"/>
  <c r="V120" i="6" s="1"/>
  <c r="Q120" i="6"/>
  <c r="N120" i="6"/>
  <c r="K120" i="6"/>
  <c r="H120" i="6"/>
  <c r="X119" i="6"/>
  <c r="Y119" i="6" s="1"/>
  <c r="U119" i="6"/>
  <c r="V119" i="6" s="1"/>
  <c r="Q119" i="6"/>
  <c r="N119" i="6"/>
  <c r="K119" i="6"/>
  <c r="H119" i="6"/>
  <c r="X118" i="6"/>
  <c r="Y118" i="6" s="1"/>
  <c r="U118" i="6"/>
  <c r="V118" i="6" s="1"/>
  <c r="Q118" i="6"/>
  <c r="N118" i="6"/>
  <c r="K118" i="6"/>
  <c r="H118" i="6"/>
  <c r="X117" i="6"/>
  <c r="Y117" i="6" s="1"/>
  <c r="U117" i="6"/>
  <c r="V117" i="6" s="1"/>
  <c r="Q117" i="6"/>
  <c r="N117" i="6"/>
  <c r="K117" i="6"/>
  <c r="H117" i="6"/>
  <c r="X116" i="6"/>
  <c r="Y116" i="6" s="1"/>
  <c r="U116" i="6"/>
  <c r="V116" i="6" s="1"/>
  <c r="Q116" i="6"/>
  <c r="N116" i="6"/>
  <c r="K116" i="6"/>
  <c r="H116" i="6"/>
  <c r="X115" i="6"/>
  <c r="Y115" i="6" s="1"/>
  <c r="U115" i="6"/>
  <c r="V115" i="6" s="1"/>
  <c r="Q115" i="6"/>
  <c r="N115" i="6"/>
  <c r="K115" i="6"/>
  <c r="H115" i="6"/>
  <c r="X114" i="6"/>
  <c r="Y114" i="6" s="1"/>
  <c r="U114" i="6"/>
  <c r="V114" i="6" s="1"/>
  <c r="Q114" i="6"/>
  <c r="N114" i="6"/>
  <c r="K114" i="6"/>
  <c r="H114" i="6"/>
  <c r="X113" i="6"/>
  <c r="Y113" i="6" s="1"/>
  <c r="U113" i="6"/>
  <c r="V113" i="6" s="1"/>
  <c r="Q113" i="6"/>
  <c r="N113" i="6"/>
  <c r="K113" i="6"/>
  <c r="H113" i="6"/>
  <c r="X112" i="6"/>
  <c r="Y112" i="6" s="1"/>
  <c r="U112" i="6"/>
  <c r="V112" i="6" s="1"/>
  <c r="Q112" i="6"/>
  <c r="N112" i="6"/>
  <c r="K112" i="6"/>
  <c r="H112" i="6"/>
  <c r="X111" i="6"/>
  <c r="Y111" i="6" s="1"/>
  <c r="U111" i="6"/>
  <c r="V111" i="6" s="1"/>
  <c r="Q111" i="6"/>
  <c r="N111" i="6"/>
  <c r="K111" i="6"/>
  <c r="H111" i="6"/>
  <c r="X110" i="6"/>
  <c r="Y110" i="6" s="1"/>
  <c r="U110" i="6"/>
  <c r="V110" i="6" s="1"/>
  <c r="Q110" i="6"/>
  <c r="N110" i="6"/>
  <c r="K110" i="6"/>
  <c r="H110" i="6"/>
  <c r="X109" i="6"/>
  <c r="Y109" i="6" s="1"/>
  <c r="U109" i="6"/>
  <c r="V109" i="6" s="1"/>
  <c r="Q109" i="6"/>
  <c r="N109" i="6"/>
  <c r="O109" i="6" s="1"/>
  <c r="K109" i="6"/>
  <c r="H109" i="6"/>
  <c r="X108" i="6"/>
  <c r="Y108" i="6" s="1"/>
  <c r="U108" i="6"/>
  <c r="V108" i="6" s="1"/>
  <c r="Q108" i="6"/>
  <c r="N108" i="6"/>
  <c r="K108" i="6"/>
  <c r="H108" i="6"/>
  <c r="X107" i="6"/>
  <c r="Y107" i="6" s="1"/>
  <c r="U107" i="6"/>
  <c r="V107" i="6" s="1"/>
  <c r="Q107" i="6"/>
  <c r="N107" i="6"/>
  <c r="K107" i="6"/>
  <c r="H107" i="6"/>
  <c r="X106" i="6"/>
  <c r="Y106" i="6" s="1"/>
  <c r="U106" i="6"/>
  <c r="V106" i="6" s="1"/>
  <c r="Q106" i="6"/>
  <c r="N106" i="6"/>
  <c r="K106" i="6"/>
  <c r="H106" i="6"/>
  <c r="X105" i="6"/>
  <c r="Y105" i="6" s="1"/>
  <c r="U105" i="6"/>
  <c r="V105" i="6" s="1"/>
  <c r="Q105" i="6"/>
  <c r="N105" i="6"/>
  <c r="O105" i="6" s="1"/>
  <c r="K105" i="6"/>
  <c r="H105" i="6"/>
  <c r="X104" i="6"/>
  <c r="Y104" i="6" s="1"/>
  <c r="U104" i="6"/>
  <c r="V104" i="6" s="1"/>
  <c r="Q104" i="6"/>
  <c r="N104" i="6"/>
  <c r="K104" i="6"/>
  <c r="H104" i="6"/>
  <c r="X103" i="6"/>
  <c r="Y103" i="6" s="1"/>
  <c r="U103" i="6"/>
  <c r="V103" i="6" s="1"/>
  <c r="Q103" i="6"/>
  <c r="N103" i="6"/>
  <c r="K103" i="6"/>
  <c r="H103" i="6"/>
  <c r="X102" i="6"/>
  <c r="Y102" i="6" s="1"/>
  <c r="U102" i="6"/>
  <c r="V102" i="6" s="1"/>
  <c r="Q102" i="6"/>
  <c r="N102" i="6"/>
  <c r="K102" i="6"/>
  <c r="H102" i="6"/>
  <c r="X101" i="6"/>
  <c r="Y101" i="6" s="1"/>
  <c r="U101" i="6"/>
  <c r="V101" i="6" s="1"/>
  <c r="Q101" i="6"/>
  <c r="N101" i="6"/>
  <c r="K101" i="6"/>
  <c r="H101" i="6"/>
  <c r="X100" i="6"/>
  <c r="Y100" i="6" s="1"/>
  <c r="U100" i="6"/>
  <c r="V100" i="6" s="1"/>
  <c r="Q100" i="6"/>
  <c r="N100" i="6"/>
  <c r="K100" i="6"/>
  <c r="H100" i="6"/>
  <c r="X99" i="6"/>
  <c r="Y99" i="6" s="1"/>
  <c r="U99" i="6"/>
  <c r="V99" i="6" s="1"/>
  <c r="Q99" i="6"/>
  <c r="N99" i="6"/>
  <c r="K99" i="6"/>
  <c r="H99" i="6"/>
  <c r="X98" i="6"/>
  <c r="Y98" i="6" s="1"/>
  <c r="U98" i="6"/>
  <c r="V98" i="6" s="1"/>
  <c r="Q98" i="6"/>
  <c r="N98" i="6"/>
  <c r="K98" i="6"/>
  <c r="H98" i="6"/>
  <c r="X97" i="6"/>
  <c r="Y97" i="6" s="1"/>
  <c r="U97" i="6"/>
  <c r="V97" i="6" s="1"/>
  <c r="Q97" i="6"/>
  <c r="N97" i="6"/>
  <c r="O97" i="6" s="1"/>
  <c r="K97" i="6"/>
  <c r="H97" i="6"/>
  <c r="X96" i="6"/>
  <c r="Y96" i="6" s="1"/>
  <c r="U96" i="6"/>
  <c r="V96" i="6" s="1"/>
  <c r="Q96" i="6"/>
  <c r="N96" i="6"/>
  <c r="K96" i="6"/>
  <c r="H96" i="6"/>
  <c r="X95" i="6"/>
  <c r="Y95" i="6" s="1"/>
  <c r="U95" i="6"/>
  <c r="V95" i="6" s="1"/>
  <c r="Q95" i="6"/>
  <c r="N95" i="6"/>
  <c r="K95" i="6"/>
  <c r="H95" i="6"/>
  <c r="X94" i="6"/>
  <c r="Y94" i="6" s="1"/>
  <c r="U94" i="6"/>
  <c r="V94" i="6" s="1"/>
  <c r="Q94" i="6"/>
  <c r="N94" i="6"/>
  <c r="K94" i="6"/>
  <c r="H94" i="6"/>
  <c r="X93" i="6"/>
  <c r="Y93" i="6" s="1"/>
  <c r="U93" i="6"/>
  <c r="V93" i="6" s="1"/>
  <c r="Q93" i="6"/>
  <c r="N93" i="6"/>
  <c r="K93" i="6"/>
  <c r="H93" i="6"/>
  <c r="X92" i="6"/>
  <c r="Y92" i="6" s="1"/>
  <c r="U92" i="6"/>
  <c r="V92" i="6" s="1"/>
  <c r="Q92" i="6"/>
  <c r="N92" i="6"/>
  <c r="K92" i="6"/>
  <c r="H92" i="6"/>
  <c r="X91" i="6"/>
  <c r="Y91" i="6" s="1"/>
  <c r="U91" i="6"/>
  <c r="V91" i="6" s="1"/>
  <c r="Q91" i="6"/>
  <c r="N91" i="6"/>
  <c r="K91" i="6"/>
  <c r="H91" i="6"/>
  <c r="X90" i="6"/>
  <c r="Y90" i="6" s="1"/>
  <c r="U90" i="6"/>
  <c r="V90" i="6" s="1"/>
  <c r="Q90" i="6"/>
  <c r="N90" i="6"/>
  <c r="K90" i="6"/>
  <c r="H90" i="6"/>
  <c r="X89" i="6"/>
  <c r="Y89" i="6" s="1"/>
  <c r="U89" i="6"/>
  <c r="V89" i="6" s="1"/>
  <c r="Q89" i="6"/>
  <c r="N89" i="6"/>
  <c r="O89" i="6" s="1"/>
  <c r="K89" i="6"/>
  <c r="H89" i="6"/>
  <c r="X88" i="6"/>
  <c r="Y88" i="6" s="1"/>
  <c r="U88" i="6"/>
  <c r="V88" i="6" s="1"/>
  <c r="Q88" i="6"/>
  <c r="N88" i="6"/>
  <c r="K88" i="6"/>
  <c r="H88" i="6"/>
  <c r="X87" i="6"/>
  <c r="Y87" i="6" s="1"/>
  <c r="U87" i="6"/>
  <c r="V87" i="6" s="1"/>
  <c r="Q87" i="6"/>
  <c r="N87" i="6"/>
  <c r="K87" i="6"/>
  <c r="H87" i="6"/>
  <c r="X86" i="6"/>
  <c r="Y86" i="6" s="1"/>
  <c r="U86" i="6"/>
  <c r="V86" i="6" s="1"/>
  <c r="Q86" i="6"/>
  <c r="N86" i="6"/>
  <c r="K86" i="6"/>
  <c r="H86" i="6"/>
  <c r="X85" i="6"/>
  <c r="Y85" i="6" s="1"/>
  <c r="U85" i="6"/>
  <c r="V85" i="6" s="1"/>
  <c r="Q85" i="6"/>
  <c r="N85" i="6"/>
  <c r="K85" i="6"/>
  <c r="H85" i="6"/>
  <c r="X84" i="6"/>
  <c r="Y84" i="6" s="1"/>
  <c r="U84" i="6"/>
  <c r="V84" i="6" s="1"/>
  <c r="Q84" i="6"/>
  <c r="N84" i="6"/>
  <c r="K84" i="6"/>
  <c r="H84" i="6"/>
  <c r="X83" i="6"/>
  <c r="Y83" i="6" s="1"/>
  <c r="U83" i="6"/>
  <c r="V83" i="6" s="1"/>
  <c r="Q83" i="6"/>
  <c r="N83" i="6"/>
  <c r="K83" i="6"/>
  <c r="H83" i="6"/>
  <c r="X82" i="6"/>
  <c r="Y82" i="6" s="1"/>
  <c r="U82" i="6"/>
  <c r="V82" i="6" s="1"/>
  <c r="Q82" i="6"/>
  <c r="N82" i="6"/>
  <c r="K82" i="6"/>
  <c r="H82" i="6"/>
  <c r="X81" i="6"/>
  <c r="Y81" i="6" s="1"/>
  <c r="U81" i="6"/>
  <c r="V81" i="6" s="1"/>
  <c r="Q81" i="6"/>
  <c r="N81" i="6"/>
  <c r="O81" i="6" s="1"/>
  <c r="K81" i="6"/>
  <c r="H81" i="6"/>
  <c r="Y80" i="6"/>
  <c r="X80" i="6"/>
  <c r="V80" i="6"/>
  <c r="U80" i="6"/>
  <c r="Q80" i="6"/>
  <c r="N80" i="6"/>
  <c r="K80" i="6"/>
  <c r="H80" i="6"/>
  <c r="X79" i="6"/>
  <c r="Y79" i="6" s="1"/>
  <c r="U79" i="6"/>
  <c r="V79" i="6" s="1"/>
  <c r="Q79" i="6"/>
  <c r="N79" i="6"/>
  <c r="K79" i="6"/>
  <c r="H79" i="6"/>
  <c r="X78" i="6"/>
  <c r="Y78" i="6" s="1"/>
  <c r="U78" i="6"/>
  <c r="V78" i="6" s="1"/>
  <c r="Q78" i="6"/>
  <c r="N78" i="6"/>
  <c r="K78" i="6"/>
  <c r="H78" i="6"/>
  <c r="X77" i="6"/>
  <c r="Y77" i="6" s="1"/>
  <c r="U77" i="6"/>
  <c r="V77" i="6" s="1"/>
  <c r="Q77" i="6"/>
  <c r="N77" i="6"/>
  <c r="K77" i="6"/>
  <c r="H77" i="6"/>
  <c r="X76" i="6"/>
  <c r="Y76" i="6" s="1"/>
  <c r="U76" i="6"/>
  <c r="V76" i="6" s="1"/>
  <c r="Q76" i="6"/>
  <c r="N76" i="6"/>
  <c r="K76" i="6"/>
  <c r="H76" i="6"/>
  <c r="Y75" i="6"/>
  <c r="X75" i="6"/>
  <c r="U75" i="6"/>
  <c r="V75" i="6" s="1"/>
  <c r="Q75" i="6"/>
  <c r="N75" i="6"/>
  <c r="K75" i="6"/>
  <c r="H75" i="6"/>
  <c r="X74" i="6"/>
  <c r="Y74" i="6" s="1"/>
  <c r="U74" i="6"/>
  <c r="V74" i="6" s="1"/>
  <c r="Q74" i="6"/>
  <c r="N74" i="6"/>
  <c r="K74" i="6"/>
  <c r="H74" i="6"/>
  <c r="X73" i="6"/>
  <c r="Y73" i="6" s="1"/>
  <c r="U73" i="6"/>
  <c r="V73" i="6" s="1"/>
  <c r="Q73" i="6"/>
  <c r="N73" i="6"/>
  <c r="K73" i="6"/>
  <c r="H73" i="6"/>
  <c r="X72" i="6"/>
  <c r="Y72" i="6" s="1"/>
  <c r="U72" i="6"/>
  <c r="V72" i="6" s="1"/>
  <c r="Q72" i="6"/>
  <c r="N72" i="6"/>
  <c r="K72" i="6"/>
  <c r="H72" i="6"/>
  <c r="X71" i="6"/>
  <c r="Y71" i="6" s="1"/>
  <c r="U71" i="6"/>
  <c r="V71" i="6" s="1"/>
  <c r="Q71" i="6"/>
  <c r="N71" i="6"/>
  <c r="K71" i="6"/>
  <c r="H71" i="6"/>
  <c r="X70" i="6"/>
  <c r="Y70" i="6" s="1"/>
  <c r="U70" i="6"/>
  <c r="V70" i="6" s="1"/>
  <c r="Q70" i="6"/>
  <c r="N70" i="6"/>
  <c r="K70" i="6"/>
  <c r="H70" i="6"/>
  <c r="X69" i="6"/>
  <c r="Y69" i="6" s="1"/>
  <c r="U69" i="6"/>
  <c r="V69" i="6" s="1"/>
  <c r="Q69" i="6"/>
  <c r="N69" i="6"/>
  <c r="K69" i="6"/>
  <c r="H69" i="6"/>
  <c r="X68" i="6"/>
  <c r="Y68" i="6" s="1"/>
  <c r="U68" i="6"/>
  <c r="V68" i="6" s="1"/>
  <c r="Q68" i="6"/>
  <c r="N68" i="6"/>
  <c r="K68" i="6"/>
  <c r="H68" i="6"/>
  <c r="X67" i="6"/>
  <c r="Y67" i="6" s="1"/>
  <c r="U67" i="6"/>
  <c r="V67" i="6" s="1"/>
  <c r="Q67" i="6"/>
  <c r="N67" i="6"/>
  <c r="K67" i="6"/>
  <c r="H67" i="6"/>
  <c r="AD60" i="6"/>
  <c r="P53" i="6"/>
  <c r="M53" i="6"/>
  <c r="AA52" i="6"/>
  <c r="R105" i="6" l="1"/>
  <c r="R109" i="6"/>
  <c r="R89" i="6"/>
  <c r="R97" i="6"/>
  <c r="R121" i="6"/>
  <c r="R132" i="6"/>
  <c r="R136" i="6"/>
  <c r="R140" i="6"/>
  <c r="R144" i="6"/>
  <c r="R148" i="6"/>
  <c r="O85" i="6"/>
  <c r="R85" i="6"/>
  <c r="O93" i="6"/>
  <c r="R93" i="6"/>
  <c r="O101" i="6"/>
  <c r="R101" i="6"/>
  <c r="O113" i="6"/>
  <c r="R113" i="6"/>
  <c r="O117" i="6"/>
  <c r="R117" i="6"/>
  <c r="O70" i="6"/>
  <c r="R70" i="6"/>
  <c r="R71" i="6"/>
  <c r="O73" i="6"/>
  <c r="R75" i="6"/>
  <c r="O77" i="6"/>
  <c r="R77" i="6"/>
  <c r="R78" i="6"/>
  <c r="R81" i="6"/>
  <c r="O82" i="6"/>
  <c r="O86" i="6"/>
  <c r="R86" i="6"/>
  <c r="O90" i="6"/>
  <c r="R90" i="6"/>
  <c r="O94" i="6"/>
  <c r="R94" i="6"/>
  <c r="O98" i="6"/>
  <c r="R98" i="6"/>
  <c r="O102" i="6"/>
  <c r="R102" i="6"/>
  <c r="O106" i="6"/>
  <c r="R106" i="6"/>
  <c r="O110" i="6"/>
  <c r="R110" i="6"/>
  <c r="O114" i="6"/>
  <c r="R114" i="6"/>
  <c r="O118" i="6"/>
  <c r="R118" i="6"/>
  <c r="O122" i="6"/>
  <c r="R122" i="6"/>
  <c r="O131" i="6"/>
  <c r="O135" i="6"/>
  <c r="O139" i="6"/>
  <c r="O143" i="6"/>
  <c r="O147" i="6"/>
  <c r="O71" i="6"/>
  <c r="R73" i="6"/>
  <c r="O75" i="6"/>
  <c r="O78" i="6"/>
  <c r="R82" i="6"/>
  <c r="O129" i="6"/>
  <c r="R131" i="6"/>
  <c r="R135" i="6"/>
  <c r="R139" i="6"/>
  <c r="R143" i="6"/>
  <c r="R147" i="6"/>
  <c r="O67" i="6"/>
  <c r="R67" i="6"/>
  <c r="O68" i="6"/>
  <c r="R68" i="6"/>
  <c r="O69" i="6"/>
  <c r="R69" i="6"/>
  <c r="O72" i="6"/>
  <c r="R72" i="6"/>
  <c r="O74" i="6"/>
  <c r="R74" i="6"/>
  <c r="O76" i="6"/>
  <c r="R76" i="6"/>
  <c r="O79" i="6"/>
  <c r="R79" i="6"/>
  <c r="O80" i="6"/>
  <c r="R80" i="6"/>
  <c r="O83" i="6"/>
  <c r="R83" i="6"/>
  <c r="O84" i="6"/>
  <c r="R84" i="6"/>
  <c r="O87" i="6"/>
  <c r="R87" i="6"/>
  <c r="O88" i="6"/>
  <c r="R88" i="6"/>
  <c r="O91" i="6"/>
  <c r="R91" i="6"/>
  <c r="O92" i="6"/>
  <c r="R92" i="6"/>
  <c r="O95" i="6"/>
  <c r="R95" i="6"/>
  <c r="O96" i="6"/>
  <c r="R96" i="6"/>
  <c r="O99" i="6"/>
  <c r="R99" i="6"/>
  <c r="O100" i="6"/>
  <c r="R100" i="6"/>
  <c r="O103" i="6"/>
  <c r="R103" i="6"/>
  <c r="O104" i="6"/>
  <c r="R104" i="6"/>
  <c r="O107" i="6"/>
  <c r="R107" i="6"/>
  <c r="O108" i="6"/>
  <c r="R108" i="6"/>
  <c r="O111" i="6"/>
  <c r="R111" i="6"/>
  <c r="O112" i="6"/>
  <c r="R112" i="6"/>
  <c r="O115" i="6"/>
  <c r="R115" i="6"/>
  <c r="O116" i="6"/>
  <c r="R116" i="6"/>
  <c r="O119" i="6"/>
  <c r="R119" i="6"/>
  <c r="O120" i="6"/>
  <c r="R120" i="6"/>
  <c r="O123" i="6"/>
  <c r="R123" i="6"/>
  <c r="O125" i="6"/>
  <c r="R125" i="6"/>
  <c r="O127" i="6"/>
  <c r="R127" i="6"/>
  <c r="R129" i="6"/>
  <c r="O133" i="6"/>
  <c r="R133" i="6"/>
  <c r="O137" i="6"/>
  <c r="R137" i="6"/>
  <c r="O141" i="6"/>
  <c r="R141" i="6"/>
  <c r="O145" i="6"/>
  <c r="R145" i="6"/>
  <c r="O149" i="6"/>
  <c r="R149" i="6"/>
  <c r="AC33" i="1" l="1"/>
  <c r="AB13" i="1" l="1"/>
  <c r="AE125" i="1" l="1"/>
  <c r="AG33" i="1"/>
  <c r="AF33" i="1"/>
  <c r="V121" i="1" l="1"/>
  <c r="W121" i="1"/>
  <c r="W120" i="1"/>
  <c r="W119" i="1"/>
  <c r="W118" i="1"/>
  <c r="W117" i="1"/>
  <c r="W116" i="1"/>
  <c r="W115" i="1"/>
  <c r="W114" i="1"/>
  <c r="W113" i="1"/>
  <c r="W112" i="1"/>
  <c r="W111" i="1"/>
  <c r="W110" i="1"/>
  <c r="AA110" i="1" l="1"/>
  <c r="V110" i="1"/>
  <c r="AC110" i="1" s="1"/>
  <c r="AA112" i="1"/>
  <c r="V112" i="1"/>
  <c r="AC112" i="1" s="1"/>
  <c r="AA114" i="1"/>
  <c r="V114" i="1"/>
  <c r="AC114" i="1" s="1"/>
  <c r="AA116" i="1"/>
  <c r="V116" i="1"/>
  <c r="AC116" i="1" s="1"/>
  <c r="AA118" i="1"/>
  <c r="V118" i="1"/>
  <c r="X118" i="1" s="1"/>
  <c r="AC118" i="1" s="1"/>
  <c r="AA120" i="1"/>
  <c r="V120" i="1"/>
  <c r="X120" i="1" s="1"/>
  <c r="AC120" i="1" s="1"/>
  <c r="AA111" i="1"/>
  <c r="V111" i="1"/>
  <c r="AC111" i="1" s="1"/>
  <c r="AA113" i="1"/>
  <c r="V113" i="1"/>
  <c r="AC113" i="1" s="1"/>
  <c r="AA115" i="1"/>
  <c r="V115" i="1"/>
  <c r="AC115" i="1" s="1"/>
  <c r="AA117" i="1"/>
  <c r="V117" i="1"/>
  <c r="AA119" i="1"/>
  <c r="V119" i="1"/>
  <c r="X119" i="1" s="1"/>
  <c r="AC119" i="1" s="1"/>
  <c r="AC121" i="1"/>
  <c r="X117" i="1" l="1"/>
  <c r="AC117" i="1" s="1"/>
  <c r="K91" i="5"/>
  <c r="W103" i="5" l="1"/>
  <c r="S103" i="5"/>
  <c r="J26" i="5"/>
  <c r="J27" i="5"/>
  <c r="J28" i="5"/>
  <c r="J29" i="5"/>
  <c r="J30" i="5"/>
  <c r="J31" i="5"/>
  <c r="J32" i="5"/>
  <c r="J33" i="5"/>
  <c r="J34" i="5"/>
  <c r="J35" i="5"/>
  <c r="J36" i="5"/>
  <c r="J37" i="5"/>
  <c r="J38" i="5"/>
  <c r="J39" i="5"/>
  <c r="J40" i="5"/>
  <c r="J41" i="5"/>
  <c r="J42" i="5"/>
  <c r="J43" i="5"/>
  <c r="J44" i="5"/>
  <c r="J45" i="5"/>
  <c r="J46" i="5"/>
  <c r="J47" i="5"/>
  <c r="J48" i="5"/>
  <c r="J49" i="5"/>
  <c r="J50" i="5"/>
  <c r="J51" i="5"/>
  <c r="J52" i="5"/>
  <c r="J53" i="5"/>
  <c r="J54" i="5"/>
  <c r="J55" i="5"/>
  <c r="J56" i="5"/>
  <c r="J57" i="5"/>
  <c r="J58" i="5"/>
  <c r="J59" i="5"/>
  <c r="J60" i="5"/>
  <c r="J61" i="5"/>
  <c r="J62" i="5"/>
  <c r="J63" i="5"/>
  <c r="J64" i="5"/>
  <c r="J65" i="5"/>
  <c r="J66" i="5"/>
  <c r="J67" i="5"/>
  <c r="J68" i="5"/>
  <c r="J69" i="5"/>
  <c r="J70" i="5"/>
  <c r="J71" i="5"/>
  <c r="J72" i="5"/>
  <c r="J73" i="5"/>
  <c r="J74" i="5"/>
  <c r="J75" i="5"/>
  <c r="J76" i="5"/>
  <c r="J77" i="5"/>
  <c r="J78" i="5"/>
  <c r="J79" i="5"/>
  <c r="J92" i="5"/>
  <c r="J93" i="5"/>
  <c r="J94" i="5"/>
  <c r="J95" i="5"/>
  <c r="J96" i="5"/>
  <c r="J97" i="5"/>
  <c r="J98" i="5"/>
  <c r="J99" i="5"/>
  <c r="J100" i="5"/>
  <c r="J101" i="5"/>
  <c r="J102" i="5"/>
  <c r="J103" i="5"/>
  <c r="J25" i="5"/>
  <c r="N103" i="5"/>
  <c r="AA121" i="1" l="1"/>
  <c r="AH32" i="1"/>
  <c r="AE28" i="1"/>
  <c r="AE33" i="1" l="1"/>
  <c r="AH33" i="1"/>
  <c r="U44" i="5" l="1"/>
  <c r="U45" i="5"/>
  <c r="U46" i="5"/>
  <c r="U47" i="5"/>
  <c r="U48" i="5"/>
  <c r="U49" i="5"/>
  <c r="U50" i="5"/>
  <c r="U51" i="5"/>
  <c r="U52" i="5"/>
  <c r="U53" i="5"/>
  <c r="U54" i="5"/>
  <c r="U55" i="5"/>
  <c r="U43" i="5"/>
  <c r="H93" i="5"/>
  <c r="H94" i="5"/>
  <c r="H95" i="5"/>
  <c r="H8" i="5" s="1"/>
  <c r="H96" i="5"/>
  <c r="H97" i="5"/>
  <c r="H98" i="5"/>
  <c r="H99" i="5"/>
  <c r="H12" i="5" s="1"/>
  <c r="H100" i="5"/>
  <c r="H101" i="5"/>
  <c r="H102" i="5"/>
  <c r="H103" i="5"/>
  <c r="H92" i="5"/>
  <c r="H81" i="5"/>
  <c r="H82" i="5"/>
  <c r="H83" i="5"/>
  <c r="H84" i="5"/>
  <c r="H85" i="5"/>
  <c r="H86" i="5"/>
  <c r="H87" i="5"/>
  <c r="H88" i="5"/>
  <c r="H89" i="5"/>
  <c r="H90" i="5"/>
  <c r="H91" i="5"/>
  <c r="H80" i="5"/>
  <c r="H69" i="5"/>
  <c r="H70" i="5"/>
  <c r="H71" i="5"/>
  <c r="H72" i="5"/>
  <c r="H73" i="5"/>
  <c r="H74" i="5"/>
  <c r="H75" i="5"/>
  <c r="H76" i="5"/>
  <c r="H77" i="5"/>
  <c r="H78" i="5"/>
  <c r="H79" i="5"/>
  <c r="H68" i="5"/>
  <c r="H57" i="5"/>
  <c r="H58" i="5"/>
  <c r="H59" i="5"/>
  <c r="H60" i="5"/>
  <c r="H61" i="5"/>
  <c r="H62" i="5"/>
  <c r="H63" i="5"/>
  <c r="H64" i="5"/>
  <c r="H65" i="5"/>
  <c r="H66" i="5"/>
  <c r="H67" i="5"/>
  <c r="H56" i="5"/>
  <c r="H45" i="5"/>
  <c r="H46" i="5"/>
  <c r="H47" i="5"/>
  <c r="H48" i="5"/>
  <c r="H49" i="5"/>
  <c r="H50" i="5"/>
  <c r="H51" i="5"/>
  <c r="H52" i="5"/>
  <c r="H53" i="5"/>
  <c r="H54" i="5"/>
  <c r="H55" i="5"/>
  <c r="H44" i="5"/>
  <c r="H33" i="5"/>
  <c r="H34" i="5"/>
  <c r="H35" i="5"/>
  <c r="H36" i="5"/>
  <c r="H37" i="5"/>
  <c r="H38" i="5"/>
  <c r="H39" i="5"/>
  <c r="H40" i="5"/>
  <c r="H41" i="5"/>
  <c r="H42" i="5"/>
  <c r="H43" i="5"/>
  <c r="H32" i="5"/>
  <c r="H23" i="5"/>
  <c r="H24" i="5"/>
  <c r="H25" i="5"/>
  <c r="H26" i="5"/>
  <c r="H27" i="5"/>
  <c r="H28" i="5"/>
  <c r="H29" i="5"/>
  <c r="H30" i="5"/>
  <c r="H31" i="5"/>
  <c r="H21" i="5"/>
  <c r="H22" i="5"/>
  <c r="H20" i="5"/>
  <c r="H16" i="5"/>
  <c r="G103" i="5"/>
  <c r="H14" i="5"/>
  <c r="H10" i="5"/>
  <c r="G91" i="5"/>
  <c r="G79" i="5"/>
  <c r="G67" i="5"/>
  <c r="G55" i="5"/>
  <c r="G43" i="5"/>
  <c r="G31" i="5"/>
  <c r="Y69" i="5"/>
  <c r="Y70" i="5"/>
  <c r="Y71" i="5"/>
  <c r="Y72" i="5"/>
  <c r="Y73" i="5"/>
  <c r="Y74" i="5"/>
  <c r="Y75" i="5"/>
  <c r="Y76" i="5"/>
  <c r="Y77" i="5"/>
  <c r="Y78" i="5"/>
  <c r="Y79" i="5"/>
  <c r="Y68" i="5"/>
  <c r="Y57" i="5"/>
  <c r="Y58" i="5"/>
  <c r="Y59" i="5"/>
  <c r="Y60" i="5"/>
  <c r="Y61" i="5"/>
  <c r="Y62" i="5"/>
  <c r="Y63" i="5"/>
  <c r="Y64" i="5"/>
  <c r="Y65" i="5"/>
  <c r="Y66" i="5"/>
  <c r="Y67" i="5"/>
  <c r="Y56" i="5"/>
  <c r="Y45" i="5"/>
  <c r="Y46" i="5"/>
  <c r="Y47" i="5"/>
  <c r="Y48" i="5"/>
  <c r="Y49" i="5"/>
  <c r="Y50" i="5"/>
  <c r="Y51" i="5"/>
  <c r="Y52" i="5"/>
  <c r="Y53" i="5"/>
  <c r="Y54" i="5"/>
  <c r="Y55" i="5"/>
  <c r="Y44" i="5"/>
  <c r="Y33" i="5"/>
  <c r="Y34" i="5"/>
  <c r="Y35" i="5"/>
  <c r="Y36" i="5"/>
  <c r="Y37" i="5"/>
  <c r="Y38" i="5"/>
  <c r="Y39" i="5"/>
  <c r="Y40" i="5"/>
  <c r="Y41" i="5"/>
  <c r="Y42" i="5"/>
  <c r="Y43" i="5"/>
  <c r="Y32" i="5"/>
  <c r="X62" i="5"/>
  <c r="X63" i="5"/>
  <c r="X64" i="5"/>
  <c r="X65" i="5"/>
  <c r="X66" i="5"/>
  <c r="X67" i="5"/>
  <c r="X68" i="5"/>
  <c r="X69" i="5"/>
  <c r="X70" i="5"/>
  <c r="X71" i="5"/>
  <c r="X72" i="5"/>
  <c r="X61" i="5"/>
  <c r="X50" i="5"/>
  <c r="X51" i="5"/>
  <c r="X52" i="5"/>
  <c r="X53" i="5"/>
  <c r="X54" i="5"/>
  <c r="X55" i="5"/>
  <c r="X56" i="5"/>
  <c r="X57" i="5"/>
  <c r="X58" i="5"/>
  <c r="X59" i="5"/>
  <c r="X60" i="5"/>
  <c r="X49" i="5"/>
  <c r="X38" i="5"/>
  <c r="X39" i="5"/>
  <c r="X40" i="5"/>
  <c r="X41" i="5"/>
  <c r="X42" i="5"/>
  <c r="X43" i="5"/>
  <c r="X44" i="5"/>
  <c r="X45" i="5"/>
  <c r="X46" i="5"/>
  <c r="X47" i="5"/>
  <c r="X48" i="5"/>
  <c r="X37" i="5"/>
  <c r="X26" i="5"/>
  <c r="X27" i="5"/>
  <c r="X28" i="5"/>
  <c r="X29" i="5"/>
  <c r="X30" i="5"/>
  <c r="X31" i="5"/>
  <c r="X32" i="5"/>
  <c r="X33" i="5"/>
  <c r="X34" i="5"/>
  <c r="X35" i="5"/>
  <c r="X36" i="5"/>
  <c r="X25" i="5"/>
  <c r="U69" i="5"/>
  <c r="U70" i="5"/>
  <c r="U71" i="5"/>
  <c r="U72" i="5"/>
  <c r="U73" i="5"/>
  <c r="U74" i="5"/>
  <c r="U75" i="5"/>
  <c r="U76" i="5"/>
  <c r="U77" i="5"/>
  <c r="U78" i="5"/>
  <c r="U79" i="5"/>
  <c r="U68" i="5"/>
  <c r="U57" i="5"/>
  <c r="U58" i="5"/>
  <c r="U59" i="5"/>
  <c r="U60" i="5"/>
  <c r="U61" i="5"/>
  <c r="U62" i="5"/>
  <c r="U63" i="5"/>
  <c r="U64" i="5"/>
  <c r="U65" i="5"/>
  <c r="U66" i="5"/>
  <c r="U67" i="5"/>
  <c r="U56" i="5"/>
  <c r="U33" i="5"/>
  <c r="U34" i="5"/>
  <c r="U7" i="5" s="1"/>
  <c r="U35" i="5"/>
  <c r="U36" i="5"/>
  <c r="U9" i="5" s="1"/>
  <c r="U37" i="5"/>
  <c r="U38" i="5"/>
  <c r="U11" i="5" s="1"/>
  <c r="U39" i="5"/>
  <c r="U12" i="5" s="1"/>
  <c r="U40" i="5"/>
  <c r="U13" i="5" s="1"/>
  <c r="U41" i="5"/>
  <c r="U14" i="5" s="1"/>
  <c r="U42" i="5"/>
  <c r="U15" i="5" s="1"/>
  <c r="U32" i="5"/>
  <c r="T62" i="5"/>
  <c r="T63" i="5"/>
  <c r="T64" i="5"/>
  <c r="T65" i="5"/>
  <c r="T66" i="5"/>
  <c r="T67" i="5"/>
  <c r="T68" i="5"/>
  <c r="T69" i="5"/>
  <c r="T70" i="5"/>
  <c r="T71" i="5"/>
  <c r="T72" i="5"/>
  <c r="T61" i="5"/>
  <c r="T50" i="5"/>
  <c r="T51" i="5"/>
  <c r="T52" i="5"/>
  <c r="T53" i="5"/>
  <c r="T54" i="5"/>
  <c r="T55" i="5"/>
  <c r="T56" i="5"/>
  <c r="T57" i="5"/>
  <c r="T58" i="5"/>
  <c r="T59" i="5"/>
  <c r="T60" i="5"/>
  <c r="T49" i="5"/>
  <c r="T38" i="5"/>
  <c r="T39" i="5"/>
  <c r="T40" i="5"/>
  <c r="T41" i="5"/>
  <c r="T42" i="5"/>
  <c r="T43" i="5"/>
  <c r="T44" i="5"/>
  <c r="T45" i="5"/>
  <c r="T46" i="5"/>
  <c r="T47" i="5"/>
  <c r="T48" i="5"/>
  <c r="T37" i="5"/>
  <c r="T26" i="5"/>
  <c r="T27" i="5"/>
  <c r="T28" i="5"/>
  <c r="T29" i="5"/>
  <c r="T30" i="5"/>
  <c r="T31" i="5"/>
  <c r="T32" i="5"/>
  <c r="T33" i="5"/>
  <c r="T34" i="5"/>
  <c r="T35" i="5"/>
  <c r="T36" i="5"/>
  <c r="T25" i="5"/>
  <c r="W79" i="5"/>
  <c r="W72" i="5"/>
  <c r="W67" i="5"/>
  <c r="W60" i="5"/>
  <c r="W55" i="5"/>
  <c r="W48" i="5"/>
  <c r="W43" i="5"/>
  <c r="W36" i="5"/>
  <c r="S79" i="5"/>
  <c r="S72" i="5"/>
  <c r="S67" i="5"/>
  <c r="S60" i="5"/>
  <c r="S55" i="5"/>
  <c r="S48" i="5"/>
  <c r="S43" i="5"/>
  <c r="S36" i="5"/>
  <c r="P45" i="5"/>
  <c r="P46" i="5"/>
  <c r="P47" i="5"/>
  <c r="P48" i="5"/>
  <c r="P49" i="5"/>
  <c r="P50" i="5"/>
  <c r="P51" i="5"/>
  <c r="P52" i="5"/>
  <c r="P53" i="5"/>
  <c r="P54" i="5"/>
  <c r="P55" i="5"/>
  <c r="P44" i="5"/>
  <c r="P69" i="5"/>
  <c r="P70" i="5"/>
  <c r="P71" i="5"/>
  <c r="P72" i="5"/>
  <c r="P73" i="5"/>
  <c r="P74" i="5"/>
  <c r="P75" i="5"/>
  <c r="P76" i="5"/>
  <c r="P77" i="5"/>
  <c r="P78" i="5"/>
  <c r="P79" i="5"/>
  <c r="P68" i="5"/>
  <c r="P57" i="5"/>
  <c r="P58" i="5"/>
  <c r="P59" i="5"/>
  <c r="P60" i="5"/>
  <c r="P61" i="5"/>
  <c r="P62" i="5"/>
  <c r="P63" i="5"/>
  <c r="P64" i="5"/>
  <c r="P65" i="5"/>
  <c r="P66" i="5"/>
  <c r="P67" i="5"/>
  <c r="P56" i="5"/>
  <c r="O62" i="5"/>
  <c r="O63" i="5"/>
  <c r="O64" i="5"/>
  <c r="O65" i="5"/>
  <c r="O66" i="5"/>
  <c r="O67" i="5"/>
  <c r="O68" i="5"/>
  <c r="O69" i="5"/>
  <c r="O70" i="5"/>
  <c r="O71" i="5"/>
  <c r="O72" i="5"/>
  <c r="O61" i="5"/>
  <c r="O50" i="5"/>
  <c r="O51" i="5"/>
  <c r="O52" i="5"/>
  <c r="O53" i="5"/>
  <c r="O54" i="5"/>
  <c r="O55" i="5"/>
  <c r="O56" i="5"/>
  <c r="O57" i="5"/>
  <c r="O58" i="5"/>
  <c r="O59" i="5"/>
  <c r="O60" i="5"/>
  <c r="O49" i="5"/>
  <c r="O38" i="5"/>
  <c r="O39" i="5"/>
  <c r="O40" i="5"/>
  <c r="O41" i="5"/>
  <c r="O42" i="5"/>
  <c r="O43" i="5"/>
  <c r="O44" i="5"/>
  <c r="O45" i="5"/>
  <c r="O46" i="5"/>
  <c r="O47" i="5"/>
  <c r="O48" i="5"/>
  <c r="O37" i="5"/>
  <c r="P37" i="5"/>
  <c r="P38" i="5"/>
  <c r="P39" i="5"/>
  <c r="P40" i="5"/>
  <c r="P41" i="5"/>
  <c r="P42" i="5"/>
  <c r="P43" i="5"/>
  <c r="P33" i="5"/>
  <c r="P34" i="5"/>
  <c r="P35" i="5"/>
  <c r="P36" i="5"/>
  <c r="O32" i="5"/>
  <c r="O33" i="5"/>
  <c r="O34" i="5"/>
  <c r="O35" i="5"/>
  <c r="O36" i="5"/>
  <c r="P32" i="5"/>
  <c r="O26" i="5"/>
  <c r="O27" i="5"/>
  <c r="O28" i="5"/>
  <c r="O29" i="5"/>
  <c r="O30" i="5"/>
  <c r="O31" i="5"/>
  <c r="O25" i="5"/>
  <c r="N79" i="5"/>
  <c r="N67" i="5"/>
  <c r="N55" i="5"/>
  <c r="N43" i="5"/>
  <c r="N72" i="5"/>
  <c r="N60" i="5"/>
  <c r="N48" i="5"/>
  <c r="N36" i="5"/>
  <c r="E93" i="5"/>
  <c r="E94" i="5"/>
  <c r="AB94" i="5" s="1"/>
  <c r="E95" i="5"/>
  <c r="E96" i="5"/>
  <c r="AB96" i="5" s="1"/>
  <c r="E97" i="5"/>
  <c r="E98" i="5"/>
  <c r="AB98" i="5" s="1"/>
  <c r="E99" i="5"/>
  <c r="E100" i="5"/>
  <c r="AB100" i="5" s="1"/>
  <c r="E101" i="5"/>
  <c r="E102" i="5"/>
  <c r="AB102" i="5" s="1"/>
  <c r="E103" i="5"/>
  <c r="E92" i="5"/>
  <c r="AB92" i="5" s="1"/>
  <c r="E81" i="5"/>
  <c r="E82" i="5"/>
  <c r="AB82" i="5" s="1"/>
  <c r="E83" i="5"/>
  <c r="E84" i="5"/>
  <c r="AB84" i="5" s="1"/>
  <c r="E85" i="5"/>
  <c r="E86" i="5"/>
  <c r="AB86" i="5" s="1"/>
  <c r="E87" i="5"/>
  <c r="E88" i="5"/>
  <c r="AB88" i="5" s="1"/>
  <c r="E89" i="5"/>
  <c r="E90" i="5"/>
  <c r="AB90" i="5" s="1"/>
  <c r="E91" i="5"/>
  <c r="E80" i="5"/>
  <c r="AB80" i="5" s="1"/>
  <c r="E69" i="5"/>
  <c r="E70" i="5"/>
  <c r="AB70" i="5" s="1"/>
  <c r="E71" i="5"/>
  <c r="E72" i="5"/>
  <c r="AB72" i="5" s="1"/>
  <c r="E73" i="5"/>
  <c r="E74" i="5"/>
  <c r="AB74" i="5" s="1"/>
  <c r="E75" i="5"/>
  <c r="E76" i="5"/>
  <c r="AB76" i="5" s="1"/>
  <c r="E77" i="5"/>
  <c r="E78" i="5"/>
  <c r="AB78" i="5" s="1"/>
  <c r="E79" i="5"/>
  <c r="E68" i="5"/>
  <c r="AB68" i="5" s="1"/>
  <c r="E57" i="5"/>
  <c r="E58" i="5"/>
  <c r="AB58" i="5" s="1"/>
  <c r="E59" i="5"/>
  <c r="E60" i="5"/>
  <c r="AB60" i="5" s="1"/>
  <c r="E61" i="5"/>
  <c r="E62" i="5"/>
  <c r="AB62" i="5" s="1"/>
  <c r="E63" i="5"/>
  <c r="E64" i="5"/>
  <c r="AB64" i="5" s="1"/>
  <c r="E65" i="5"/>
  <c r="E66" i="5"/>
  <c r="AB66" i="5" s="1"/>
  <c r="E67" i="5"/>
  <c r="E56" i="5"/>
  <c r="AB56" i="5" s="1"/>
  <c r="E45" i="5"/>
  <c r="E46" i="5"/>
  <c r="AB46" i="5" s="1"/>
  <c r="E47" i="5"/>
  <c r="E48" i="5"/>
  <c r="AB48" i="5" s="1"/>
  <c r="E49" i="5"/>
  <c r="E50" i="5"/>
  <c r="AB50" i="5" s="1"/>
  <c r="E51" i="5"/>
  <c r="E52" i="5"/>
  <c r="AB52" i="5" s="1"/>
  <c r="E53" i="5"/>
  <c r="E54" i="5"/>
  <c r="AB54" i="5" s="1"/>
  <c r="E55" i="5"/>
  <c r="E44" i="5"/>
  <c r="AB44" i="5" s="1"/>
  <c r="E33" i="5"/>
  <c r="E34" i="5"/>
  <c r="AB34" i="5" s="1"/>
  <c r="E35" i="5"/>
  <c r="E36" i="5"/>
  <c r="AB36" i="5" s="1"/>
  <c r="E37" i="5"/>
  <c r="E38" i="5"/>
  <c r="AB38" i="5" s="1"/>
  <c r="E39" i="5"/>
  <c r="E40" i="5"/>
  <c r="AB40" i="5" s="1"/>
  <c r="E41" i="5"/>
  <c r="E42" i="5"/>
  <c r="AB42" i="5" s="1"/>
  <c r="E43" i="5"/>
  <c r="E32" i="5"/>
  <c r="AB32" i="5" s="1"/>
  <c r="E21" i="5"/>
  <c r="E22" i="5"/>
  <c r="E23" i="5"/>
  <c r="E24" i="5"/>
  <c r="E25" i="5"/>
  <c r="E26" i="5"/>
  <c r="AB26" i="5" s="1"/>
  <c r="E27" i="5"/>
  <c r="E28" i="5"/>
  <c r="AB28" i="5" s="1"/>
  <c r="E29" i="5"/>
  <c r="E30" i="5"/>
  <c r="AB30" i="5" s="1"/>
  <c r="E31" i="5"/>
  <c r="E20" i="5"/>
  <c r="D103" i="5"/>
  <c r="D91" i="5"/>
  <c r="D79" i="5"/>
  <c r="D67" i="5"/>
  <c r="D55" i="5"/>
  <c r="D43" i="5"/>
  <c r="D31" i="5"/>
  <c r="AB31" i="5" l="1"/>
  <c r="AB29" i="5"/>
  <c r="AB27" i="5"/>
  <c r="AB25" i="5"/>
  <c r="AB43" i="5"/>
  <c r="AB41" i="5"/>
  <c r="AB39" i="5"/>
  <c r="AB37" i="5"/>
  <c r="AB35" i="5"/>
  <c r="AB33" i="5"/>
  <c r="AB55" i="5"/>
  <c r="AB53" i="5"/>
  <c r="AB51" i="5"/>
  <c r="AB49" i="5"/>
  <c r="AB47" i="5"/>
  <c r="AB45" i="5"/>
  <c r="AB67" i="5"/>
  <c r="AB65" i="5"/>
  <c r="AB63" i="5"/>
  <c r="AB61" i="5"/>
  <c r="AB59" i="5"/>
  <c r="AB57" i="5"/>
  <c r="AB79" i="5"/>
  <c r="AB77" i="5"/>
  <c r="AB75" i="5"/>
  <c r="AB73" i="5"/>
  <c r="AB71" i="5"/>
  <c r="AB69" i="5"/>
  <c r="AB91" i="5"/>
  <c r="AB89" i="5"/>
  <c r="V89" i="5" s="1"/>
  <c r="AB87" i="5"/>
  <c r="AB85" i="5"/>
  <c r="V85" i="5" s="1"/>
  <c r="AB83" i="5"/>
  <c r="AB81" i="5"/>
  <c r="V81" i="5" s="1"/>
  <c r="AB103" i="5"/>
  <c r="AB101" i="5"/>
  <c r="AB14" i="5" s="1"/>
  <c r="AB99" i="5"/>
  <c r="AB97" i="5"/>
  <c r="AB10" i="5" s="1"/>
  <c r="AB95" i="5"/>
  <c r="AB93" i="5"/>
  <c r="AB6" i="5" s="1"/>
  <c r="H6" i="5"/>
  <c r="V91" i="5"/>
  <c r="R91" i="5"/>
  <c r="M91" i="5"/>
  <c r="R89" i="5"/>
  <c r="V87" i="5"/>
  <c r="R87" i="5"/>
  <c r="M87" i="5"/>
  <c r="R85" i="5"/>
  <c r="V83" i="5"/>
  <c r="R83" i="5"/>
  <c r="M83" i="5"/>
  <c r="R81" i="5"/>
  <c r="AB16" i="5"/>
  <c r="AB12" i="5"/>
  <c r="AB8" i="5"/>
  <c r="V80" i="5"/>
  <c r="R80" i="5"/>
  <c r="M80" i="5"/>
  <c r="V90" i="5"/>
  <c r="R90" i="5"/>
  <c r="M90" i="5"/>
  <c r="V88" i="5"/>
  <c r="R88" i="5"/>
  <c r="M88" i="5"/>
  <c r="V86" i="5"/>
  <c r="R86" i="5"/>
  <c r="M86" i="5"/>
  <c r="V84" i="5"/>
  <c r="R84" i="5"/>
  <c r="M84" i="5"/>
  <c r="V82" i="5"/>
  <c r="R82" i="5"/>
  <c r="M82" i="5"/>
  <c r="AB5" i="5"/>
  <c r="AB15" i="5"/>
  <c r="AB13" i="5"/>
  <c r="AB11" i="5"/>
  <c r="AB9" i="5"/>
  <c r="AB7" i="5"/>
  <c r="H5" i="5"/>
  <c r="H15" i="5"/>
  <c r="H13" i="5"/>
  <c r="H11" i="5"/>
  <c r="H9" i="5"/>
  <c r="H7" i="5"/>
  <c r="E16" i="5"/>
  <c r="E14" i="5"/>
  <c r="E12" i="5"/>
  <c r="E10" i="5"/>
  <c r="E8" i="5"/>
  <c r="E6" i="5"/>
  <c r="O9" i="5"/>
  <c r="O7" i="5"/>
  <c r="O5" i="5"/>
  <c r="O17" i="5" s="1"/>
  <c r="O15" i="5"/>
  <c r="O13" i="5"/>
  <c r="O11" i="5"/>
  <c r="P16" i="5"/>
  <c r="P14" i="5"/>
  <c r="P12" i="5"/>
  <c r="P10" i="5"/>
  <c r="P8" i="5"/>
  <c r="P6" i="5"/>
  <c r="T9" i="5"/>
  <c r="T7" i="5"/>
  <c r="T5" i="5"/>
  <c r="T15" i="5"/>
  <c r="T13" i="5"/>
  <c r="T11" i="5"/>
  <c r="U5" i="5"/>
  <c r="X10" i="5"/>
  <c r="X8" i="5"/>
  <c r="X6" i="5"/>
  <c r="X16" i="5"/>
  <c r="X14" i="5"/>
  <c r="X12" i="5"/>
  <c r="Y5" i="5"/>
  <c r="Y15" i="5"/>
  <c r="Y13" i="5"/>
  <c r="Y11" i="5"/>
  <c r="Y9" i="5"/>
  <c r="Y7" i="5"/>
  <c r="E5" i="5"/>
  <c r="E15" i="5"/>
  <c r="E13" i="5"/>
  <c r="E11" i="5"/>
  <c r="E9" i="5"/>
  <c r="E7" i="5"/>
  <c r="O10" i="5"/>
  <c r="O8" i="5"/>
  <c r="O6" i="5"/>
  <c r="O16" i="5"/>
  <c r="O14" i="5"/>
  <c r="O12" i="5"/>
  <c r="P5" i="5"/>
  <c r="P15" i="5"/>
  <c r="P13" i="5"/>
  <c r="P11" i="5"/>
  <c r="P9" i="5"/>
  <c r="P7" i="5"/>
  <c r="T10" i="5"/>
  <c r="T8" i="5"/>
  <c r="T6" i="5"/>
  <c r="T16" i="5"/>
  <c r="T14" i="5"/>
  <c r="T12" i="5"/>
  <c r="X9" i="5"/>
  <c r="X7" i="5"/>
  <c r="X5" i="5"/>
  <c r="X15" i="5"/>
  <c r="X13" i="5"/>
  <c r="X11" i="5"/>
  <c r="Y16" i="5"/>
  <c r="Y14" i="5"/>
  <c r="Y12" i="5"/>
  <c r="Y10" i="5"/>
  <c r="Y8" i="5"/>
  <c r="Y6" i="5"/>
  <c r="U10" i="5"/>
  <c r="U8" i="5"/>
  <c r="U6" i="5"/>
  <c r="E17" i="5"/>
  <c r="P17" i="5"/>
  <c r="U16" i="5"/>
  <c r="H17" i="5"/>
  <c r="M81" i="5" l="1"/>
  <c r="M85" i="5"/>
  <c r="J85" i="5" s="1"/>
  <c r="M89" i="5"/>
  <c r="X17" i="5"/>
  <c r="T17" i="5"/>
  <c r="J12" i="5"/>
  <c r="J16" i="5"/>
  <c r="J8" i="5"/>
  <c r="J13" i="5"/>
  <c r="J5" i="5"/>
  <c r="J9" i="5"/>
  <c r="J14" i="5"/>
  <c r="J6" i="5"/>
  <c r="J10" i="5"/>
  <c r="J11" i="5"/>
  <c r="J15" i="5"/>
  <c r="J7" i="5"/>
  <c r="J82" i="5"/>
  <c r="J86" i="5"/>
  <c r="J90" i="5"/>
  <c r="J81" i="5"/>
  <c r="J89" i="5"/>
  <c r="AB17" i="5"/>
  <c r="J84" i="5"/>
  <c r="J88" i="5"/>
  <c r="J80" i="5"/>
  <c r="J83" i="5"/>
  <c r="J87" i="5"/>
  <c r="J91" i="5"/>
  <c r="Y17" i="5"/>
  <c r="U17" i="5"/>
  <c r="J17" i="5" l="1"/>
  <c r="T109" i="1"/>
  <c r="W109" i="1" s="1"/>
  <c r="S109" i="1"/>
  <c r="V109" i="1"/>
  <c r="X109" i="1" s="1"/>
  <c r="AC109" i="1" s="1"/>
  <c r="AA109" i="1"/>
  <c r="S107" i="1" l="1"/>
  <c r="V107" i="1" s="1"/>
  <c r="T107" i="1"/>
  <c r="W107" i="1" s="1"/>
  <c r="AA107" i="1"/>
  <c r="T108" i="1"/>
  <c r="W108" i="1" s="1"/>
  <c r="S108" i="1"/>
  <c r="V108" i="1" s="1"/>
  <c r="AA108" i="1"/>
  <c r="X108" i="1" l="1"/>
  <c r="AC108" i="1" s="1"/>
  <c r="T106" i="1"/>
  <c r="W106" i="1" s="1"/>
  <c r="S106" i="1"/>
  <c r="V106" i="1" s="1"/>
  <c r="AA106" i="1"/>
  <c r="X107" i="1"/>
  <c r="AC107" i="1" s="1"/>
  <c r="X106" i="1" l="1"/>
  <c r="AC106" i="1" s="1"/>
  <c r="T105" i="1"/>
  <c r="W105" i="1" s="1"/>
  <c r="S105" i="1"/>
  <c r="V105" i="1" s="1"/>
  <c r="AA105" i="1"/>
  <c r="X105" i="1" l="1"/>
  <c r="AC105" i="1" s="1"/>
  <c r="S104" i="1"/>
  <c r="V104" i="1" s="1"/>
  <c r="T104" i="1"/>
  <c r="W104" i="1" s="1"/>
  <c r="AA104" i="1"/>
  <c r="AA103" i="1" l="1"/>
  <c r="S103" i="1"/>
  <c r="V103" i="1" s="1"/>
  <c r="T103" i="1"/>
  <c r="W103" i="1" s="1"/>
  <c r="X104" i="1"/>
  <c r="AC104" i="1" s="1"/>
  <c r="S102" i="1" l="1"/>
  <c r="V102" i="1" s="1"/>
  <c r="T102" i="1"/>
  <c r="W102" i="1" s="1"/>
  <c r="AA102" i="1"/>
  <c r="X103" i="1"/>
  <c r="AC103" i="1" s="1"/>
  <c r="S101" i="1" l="1"/>
  <c r="V101" i="1" s="1"/>
  <c r="T101" i="1"/>
  <c r="W101" i="1" s="1"/>
  <c r="AA101" i="1"/>
  <c r="X102" i="1"/>
  <c r="AC102" i="1" s="1"/>
  <c r="T100" i="1" l="1"/>
  <c r="W100" i="1" s="1"/>
  <c r="S100" i="1"/>
  <c r="V100" i="1" s="1"/>
  <c r="X100" i="1" s="1"/>
  <c r="AC100" i="1" s="1"/>
  <c r="AA100" i="1"/>
  <c r="X101" i="1"/>
  <c r="AC101" i="1" s="1"/>
  <c r="T99" i="1" l="1"/>
  <c r="W99" i="1" s="1"/>
  <c r="AA99" i="1"/>
  <c r="S99" i="1"/>
  <c r="V99" i="1" s="1"/>
  <c r="X99" i="1" s="1"/>
  <c r="AC99" i="1" s="1"/>
  <c r="T98" i="1" l="1"/>
  <c r="W98" i="1" s="1"/>
  <c r="S98" i="1"/>
  <c r="V98" i="1" s="1"/>
  <c r="X98" i="1" s="1"/>
  <c r="AC98" i="1" s="1"/>
  <c r="AA98" i="1"/>
  <c r="AA97" i="1" l="1"/>
  <c r="T97" i="1"/>
  <c r="W97" i="1" s="1"/>
  <c r="S97" i="1"/>
  <c r="V97" i="1" s="1"/>
  <c r="X97" i="1" l="1"/>
  <c r="AC97" i="1" s="1"/>
  <c r="T96" i="1"/>
  <c r="W96" i="1" s="1"/>
  <c r="S96" i="1"/>
  <c r="V96" i="1" s="1"/>
  <c r="AA96" i="1"/>
  <c r="X96" i="1" l="1"/>
  <c r="AC96" i="1" s="1"/>
  <c r="AA95" i="1"/>
  <c r="T95" i="1"/>
  <c r="W95" i="1" s="1"/>
  <c r="S95" i="1"/>
  <c r="V95" i="1" s="1"/>
  <c r="X95" i="1" l="1"/>
  <c r="AC95" i="1" s="1"/>
  <c r="T94" i="1"/>
  <c r="W94" i="1" s="1"/>
  <c r="S94" i="1"/>
  <c r="V94" i="1" s="1"/>
  <c r="AA94" i="1"/>
  <c r="X94" i="1" l="1"/>
  <c r="AC94" i="1" s="1"/>
  <c r="AA93" i="1"/>
  <c r="S93" i="1"/>
  <c r="V93" i="1" s="1"/>
  <c r="T93" i="1"/>
  <c r="W93" i="1" s="1"/>
  <c r="AA92" i="1" l="1"/>
  <c r="T92" i="1"/>
  <c r="W92" i="1" s="1"/>
  <c r="S92" i="1"/>
  <c r="V92" i="1" s="1"/>
  <c r="X93" i="1"/>
  <c r="AC93" i="1" s="1"/>
  <c r="X92" i="1" l="1"/>
  <c r="AC92" i="1" s="1"/>
  <c r="AA91" i="1"/>
  <c r="T91" i="1"/>
  <c r="W91" i="1" s="1"/>
  <c r="S91" i="1"/>
  <c r="V91" i="1" s="1"/>
  <c r="AA90" i="1" l="1"/>
  <c r="T90" i="1"/>
  <c r="W90" i="1" s="1"/>
  <c r="S90" i="1"/>
  <c r="V90" i="1" s="1"/>
  <c r="X91" i="1"/>
  <c r="AC91" i="1" s="1"/>
  <c r="T89" i="1" l="1"/>
  <c r="W89" i="1" s="1"/>
  <c r="S89" i="1"/>
  <c r="V89" i="1" s="1"/>
  <c r="X89" i="1" s="1"/>
  <c r="AC89" i="1" s="1"/>
  <c r="AA89" i="1"/>
  <c r="X90" i="1"/>
  <c r="AC90" i="1" s="1"/>
  <c r="AA88" i="1" l="1"/>
  <c r="T88" i="1"/>
  <c r="W88" i="1" s="1"/>
  <c r="S88" i="1"/>
  <c r="V88" i="1" s="1"/>
  <c r="S87" i="1" l="1"/>
  <c r="V87" i="1" s="1"/>
  <c r="T87" i="1"/>
  <c r="W87" i="1" s="1"/>
  <c r="AA87" i="1"/>
  <c r="X88" i="1"/>
  <c r="AC88" i="1" s="1"/>
  <c r="AA86" i="1" l="1"/>
  <c r="T86" i="1"/>
  <c r="W86" i="1" s="1"/>
  <c r="S86" i="1"/>
  <c r="V86" i="1" s="1"/>
  <c r="X87" i="1"/>
  <c r="AC87" i="1" s="1"/>
  <c r="T85" i="1" l="1"/>
  <c r="W85" i="1" s="1"/>
  <c r="S85" i="1"/>
  <c r="V85" i="1" s="1"/>
  <c r="X85" i="1" s="1"/>
  <c r="AC85" i="1" s="1"/>
  <c r="AA85" i="1"/>
  <c r="X86" i="1"/>
  <c r="AC86" i="1" s="1"/>
  <c r="T84" i="1" l="1"/>
  <c r="W84" i="1" s="1"/>
  <c r="AA84" i="1"/>
  <c r="S84" i="1"/>
  <c r="V84" i="1" s="1"/>
  <c r="X84" i="1" s="1"/>
  <c r="AC84" i="1" s="1"/>
  <c r="T83" i="1" l="1"/>
  <c r="W83" i="1" s="1"/>
  <c r="AA83" i="1"/>
  <c r="S83" i="1"/>
  <c r="V83" i="1" s="1"/>
  <c r="X83" i="1" s="1"/>
  <c r="AC83" i="1" s="1"/>
  <c r="AA82" i="1" l="1"/>
  <c r="T82" i="1"/>
  <c r="W82" i="1" s="1"/>
  <c r="S82" i="1"/>
  <c r="V82" i="1" s="1"/>
  <c r="X82" i="1" l="1"/>
  <c r="AC82" i="1" s="1"/>
  <c r="T81" i="1"/>
  <c r="W81" i="1" s="1"/>
  <c r="S81" i="1"/>
  <c r="V81" i="1" s="1"/>
  <c r="AA81" i="1"/>
  <c r="X81" i="1" l="1"/>
  <c r="AC81" i="1" s="1"/>
  <c r="AA80" i="1"/>
  <c r="T80" i="1"/>
  <c r="W80" i="1" s="1"/>
  <c r="S80" i="1"/>
  <c r="V80" i="1" s="1"/>
  <c r="X80" i="1" s="1"/>
  <c r="AC80" i="1" s="1"/>
  <c r="T79" i="1" l="1"/>
  <c r="W79" i="1" s="1"/>
  <c r="S79" i="1"/>
  <c r="V79" i="1" s="1"/>
  <c r="X79" i="1" s="1"/>
  <c r="AC79" i="1" s="1"/>
  <c r="AA79" i="1"/>
  <c r="S78" i="1" l="1"/>
  <c r="V78" i="1" s="1"/>
  <c r="T78" i="1"/>
  <c r="W78" i="1" s="1"/>
  <c r="AA78" i="1"/>
  <c r="T77" i="1" l="1"/>
  <c r="W77" i="1" s="1"/>
  <c r="AA77" i="1"/>
  <c r="S77" i="1"/>
  <c r="V77" i="1" s="1"/>
  <c r="X77" i="1" s="1"/>
  <c r="AC77" i="1" s="1"/>
  <c r="X78" i="1"/>
  <c r="AC78" i="1" s="1"/>
  <c r="AA76" i="1" l="1"/>
  <c r="T76" i="1"/>
  <c r="W76" i="1" s="1"/>
  <c r="S76" i="1"/>
  <c r="V76" i="1" s="1"/>
  <c r="X76" i="1" l="1"/>
  <c r="AC76" i="1" s="1"/>
  <c r="T75" i="1"/>
  <c r="W75" i="1" s="1"/>
  <c r="AA75" i="1"/>
  <c r="S75" i="1"/>
  <c r="V75" i="1" s="1"/>
  <c r="X75" i="1" s="1"/>
  <c r="AC75" i="1" s="1"/>
  <c r="T74" i="1" l="1"/>
  <c r="W74" i="1" s="1"/>
  <c r="AA74" i="1"/>
  <c r="S74" i="1"/>
  <c r="V74" i="1" s="1"/>
  <c r="X74" i="1" s="1"/>
  <c r="AC74" i="1" s="1"/>
  <c r="AA73" i="1" l="1"/>
  <c r="T73" i="1"/>
  <c r="W73" i="1" s="1"/>
  <c r="S73" i="1"/>
  <c r="V73" i="1" s="1"/>
  <c r="AA72" i="1" l="1"/>
  <c r="S72" i="1"/>
  <c r="V72" i="1" s="1"/>
  <c r="X72" i="1" s="1"/>
  <c r="AC72" i="1" s="1"/>
  <c r="T72" i="1"/>
  <c r="W72" i="1" s="1"/>
  <c r="X73" i="1"/>
  <c r="AC73" i="1" s="1"/>
  <c r="AA71" i="1" l="1"/>
  <c r="T71" i="1"/>
  <c r="W71" i="1" s="1"/>
  <c r="S71" i="1"/>
  <c r="V71" i="1" s="1"/>
  <c r="T70" i="1" l="1"/>
  <c r="W70" i="1" s="1"/>
  <c r="AA70" i="1"/>
  <c r="S70" i="1"/>
  <c r="V70" i="1" s="1"/>
  <c r="X70" i="1" s="1"/>
  <c r="AC70" i="1" s="1"/>
  <c r="X71" i="1"/>
  <c r="AC71" i="1" s="1"/>
  <c r="T69" i="1" l="1"/>
  <c r="W69" i="1" s="1"/>
  <c r="AA69" i="1"/>
  <c r="S69" i="1"/>
  <c r="V69" i="1" s="1"/>
  <c r="X69" i="1" s="1"/>
  <c r="AC69" i="1" s="1"/>
  <c r="T68" i="1" l="1"/>
  <c r="W68" i="1" s="1"/>
  <c r="AA68" i="1"/>
  <c r="S68" i="1"/>
  <c r="V68" i="1" s="1"/>
  <c r="X68" i="1" s="1"/>
  <c r="AC68" i="1" s="1"/>
  <c r="T67" i="1" l="1"/>
  <c r="W67" i="1" s="1"/>
  <c r="AA67" i="1"/>
  <c r="S67" i="1"/>
  <c r="V67" i="1" s="1"/>
  <c r="X67" i="1" s="1"/>
  <c r="AC67" i="1" s="1"/>
  <c r="S66" i="1" l="1"/>
  <c r="V66" i="1" s="1"/>
  <c r="T66" i="1"/>
  <c r="W66" i="1" s="1"/>
  <c r="AA66" i="1"/>
  <c r="AA65" i="1" l="1"/>
  <c r="T65" i="1"/>
  <c r="W65" i="1" s="1"/>
  <c r="S65" i="1"/>
  <c r="V65" i="1" s="1"/>
  <c r="X66" i="1"/>
  <c r="AC66" i="1" s="1"/>
  <c r="AA64" i="1" l="1"/>
  <c r="T64" i="1"/>
  <c r="W64" i="1" s="1"/>
  <c r="S64" i="1"/>
  <c r="V64" i="1" s="1"/>
  <c r="X65" i="1"/>
  <c r="AC65" i="1" s="1"/>
  <c r="T63" i="1" l="1"/>
  <c r="W63" i="1" s="1"/>
  <c r="AA63" i="1"/>
  <c r="S63" i="1"/>
  <c r="V63" i="1" s="1"/>
  <c r="X63" i="1" s="1"/>
  <c r="AC63" i="1" s="1"/>
  <c r="X64" i="1"/>
  <c r="AC64" i="1" s="1"/>
  <c r="T62" i="1" l="1"/>
  <c r="W62" i="1" s="1"/>
  <c r="AA62" i="1"/>
  <c r="S62" i="1"/>
  <c r="V62" i="1" s="1"/>
  <c r="X62" i="1" s="1"/>
  <c r="AC62" i="1" s="1"/>
  <c r="AA61" i="1" l="1"/>
  <c r="T61" i="1"/>
  <c r="W61" i="1" s="1"/>
  <c r="S61" i="1"/>
  <c r="V61" i="1" s="1"/>
  <c r="AA60" i="1" l="1"/>
  <c r="S60" i="1"/>
  <c r="V60" i="1" s="1"/>
  <c r="T60" i="1"/>
  <c r="W60" i="1" s="1"/>
  <c r="X61" i="1"/>
  <c r="AC61" i="1" s="1"/>
  <c r="AA59" i="1" l="1"/>
  <c r="T59" i="1"/>
  <c r="W59" i="1" s="1"/>
  <c r="S59" i="1"/>
  <c r="V59" i="1" s="1"/>
  <c r="X60" i="1"/>
  <c r="AC60" i="1" s="1"/>
  <c r="T58" i="1" l="1"/>
  <c r="W58" i="1" s="1"/>
  <c r="AA58" i="1"/>
  <c r="S58" i="1"/>
  <c r="V58" i="1" s="1"/>
  <c r="X58" i="1" s="1"/>
  <c r="AC58" i="1" s="1"/>
  <c r="X59" i="1"/>
  <c r="AC59" i="1" s="1"/>
  <c r="T57" i="1" l="1"/>
  <c r="W57" i="1" s="1"/>
  <c r="AA57" i="1"/>
  <c r="S57" i="1"/>
  <c r="V57" i="1" s="1"/>
  <c r="X57" i="1" s="1"/>
  <c r="AC57" i="1" s="1"/>
  <c r="T56" i="1" l="1"/>
  <c r="W56" i="1" s="1"/>
  <c r="AA56" i="1"/>
  <c r="S56" i="1"/>
  <c r="V56" i="1" s="1"/>
  <c r="X56" i="1" s="1"/>
  <c r="AC56" i="1" s="1"/>
  <c r="T55" i="1" l="1"/>
  <c r="W55" i="1" s="1"/>
  <c r="AA55" i="1"/>
  <c r="S55" i="1"/>
  <c r="V55" i="1" s="1"/>
  <c r="X55" i="1" s="1"/>
  <c r="AC55" i="1" s="1"/>
  <c r="S54" i="1" l="1"/>
  <c r="V54" i="1" s="1"/>
  <c r="T54" i="1"/>
  <c r="W54" i="1" s="1"/>
  <c r="AA54" i="1"/>
  <c r="AA53" i="1" l="1"/>
  <c r="T53" i="1"/>
  <c r="W53" i="1" s="1"/>
  <c r="S53" i="1"/>
  <c r="V53" i="1" s="1"/>
  <c r="X54" i="1"/>
  <c r="AC54" i="1" s="1"/>
  <c r="AA52" i="1" l="1"/>
  <c r="T52" i="1"/>
  <c r="W52" i="1" s="1"/>
  <c r="S52" i="1"/>
  <c r="V52" i="1" s="1"/>
  <c r="X53" i="1"/>
  <c r="AC53" i="1" s="1"/>
  <c r="T51" i="1" l="1"/>
  <c r="W51" i="1" s="1"/>
  <c r="AA51" i="1"/>
  <c r="S51" i="1"/>
  <c r="V51" i="1" s="1"/>
  <c r="X51" i="1" s="1"/>
  <c r="AC51" i="1" s="1"/>
  <c r="X52" i="1"/>
  <c r="AC52" i="1" s="1"/>
  <c r="T50" i="1" l="1"/>
  <c r="W50" i="1" s="1"/>
  <c r="AA50" i="1"/>
  <c r="S50" i="1"/>
  <c r="V50" i="1" s="1"/>
  <c r="X50" i="1" s="1"/>
  <c r="AC50" i="1" s="1"/>
  <c r="AA49" i="1" l="1"/>
  <c r="T49" i="1"/>
  <c r="W49" i="1" s="1"/>
  <c r="S49" i="1"/>
  <c r="V49" i="1" s="1"/>
  <c r="AA48" i="1" l="1"/>
  <c r="S48" i="1"/>
  <c r="V48" i="1" s="1"/>
  <c r="X48" i="1" s="1"/>
  <c r="AC48" i="1" s="1"/>
  <c r="T48" i="1"/>
  <c r="W48" i="1" s="1"/>
  <c r="X49" i="1"/>
  <c r="AC49" i="1" s="1"/>
  <c r="AA47" i="1" l="1"/>
  <c r="T47" i="1"/>
  <c r="W47" i="1" s="1"/>
  <c r="S47" i="1"/>
  <c r="V47" i="1" s="1"/>
  <c r="AA46" i="1" l="1"/>
  <c r="S46" i="1"/>
  <c r="V46" i="1" s="1"/>
  <c r="X46" i="1" s="1"/>
  <c r="AC46" i="1" s="1"/>
  <c r="T46" i="1"/>
  <c r="W46" i="1" s="1"/>
  <c r="X47" i="1"/>
  <c r="AC47" i="1" s="1"/>
  <c r="T45" i="1" l="1"/>
  <c r="W45" i="1" s="1"/>
  <c r="AA45" i="1"/>
  <c r="S45" i="1"/>
  <c r="V45" i="1" s="1"/>
  <c r="X45" i="1" s="1"/>
  <c r="AC45" i="1" s="1"/>
  <c r="T44" i="1" l="1"/>
  <c r="W44" i="1" s="1"/>
  <c r="AA44" i="1"/>
  <c r="S44" i="1"/>
  <c r="V44" i="1" s="1"/>
  <c r="X44" i="1" s="1"/>
  <c r="AC44" i="1" s="1"/>
  <c r="AA43" i="1" l="1"/>
  <c r="T43" i="1"/>
  <c r="W43" i="1" s="1"/>
  <c r="S43" i="1"/>
  <c r="V43" i="1" s="1"/>
  <c r="AA42" i="1" l="1"/>
  <c r="S42" i="1"/>
  <c r="V42" i="1" s="1"/>
  <c r="T42" i="1"/>
  <c r="W42" i="1" s="1"/>
  <c r="X43" i="1"/>
  <c r="AC43" i="1" s="1"/>
  <c r="X42" i="1" l="1"/>
  <c r="AC42" i="1" s="1"/>
  <c r="AA41" i="1"/>
  <c r="T41" i="1"/>
  <c r="W41" i="1" s="1"/>
  <c r="S41" i="1"/>
  <c r="V41" i="1" s="1"/>
  <c r="AA40" i="1" l="1"/>
  <c r="S40" i="1"/>
  <c r="V40" i="1" s="1"/>
  <c r="T40" i="1"/>
  <c r="W40" i="1" s="1"/>
  <c r="X41" i="1"/>
  <c r="AC41" i="1" s="1"/>
  <c r="X40" i="1" l="1"/>
  <c r="AC40" i="1" s="1"/>
  <c r="T39" i="1"/>
  <c r="W39" i="1" s="1"/>
  <c r="AA39" i="1"/>
  <c r="S39" i="1"/>
  <c r="V39" i="1" s="1"/>
  <c r="X39" i="1" s="1"/>
  <c r="AC39" i="1" s="1"/>
  <c r="T38" i="1" l="1"/>
  <c r="W38" i="1" s="1"/>
  <c r="S38" i="1"/>
  <c r="V38" i="1" s="1"/>
  <c r="AA38" i="1"/>
  <c r="X38" i="1" l="1"/>
  <c r="AC38" i="1" s="1"/>
  <c r="T37" i="1"/>
  <c r="W37" i="1" s="1"/>
  <c r="AA37" i="1"/>
  <c r="S37" i="1"/>
  <c r="V37" i="1" s="1"/>
  <c r="X37" i="1" s="1"/>
  <c r="AC37" i="1" s="1"/>
  <c r="T36" i="1" l="1"/>
  <c r="W36" i="1" s="1"/>
  <c r="AA36" i="1"/>
  <c r="S36" i="1"/>
  <c r="V36" i="1" s="1"/>
  <c r="X36" i="1" s="1"/>
  <c r="AC36" i="1" s="1"/>
  <c r="AA35" i="1" l="1"/>
  <c r="T35" i="1"/>
  <c r="W35" i="1" s="1"/>
  <c r="S35" i="1"/>
  <c r="V35" i="1" s="1"/>
  <c r="T34" i="1" l="1"/>
  <c r="W34" i="1" s="1"/>
  <c r="S34" i="1"/>
  <c r="V34" i="1" s="1"/>
  <c r="AA34" i="1"/>
  <c r="X35" i="1"/>
  <c r="AC35" i="1" s="1"/>
  <c r="X34" i="1" l="1"/>
  <c r="AC34" i="1" s="1"/>
  <c r="L55" i="1" s="1"/>
</calcChain>
</file>

<file path=xl/sharedStrings.xml><?xml version="1.0" encoding="utf-8"?>
<sst xmlns="http://schemas.openxmlformats.org/spreadsheetml/2006/main" count="3611" uniqueCount="846">
  <si>
    <t>ぱいじん(飛灰)</t>
  </si>
  <si>
    <t>Cs134</t>
  </si>
  <si>
    <t>Cs137</t>
  </si>
  <si>
    <t>焼却灰(主灰)※</t>
    <phoneticPr fontId="8"/>
  </si>
  <si>
    <t>年度</t>
    <rPh sb="0" eb="2">
      <t>ネンド</t>
    </rPh>
    <phoneticPr fontId="11"/>
  </si>
  <si>
    <t>年度
(H17以降)</t>
    <rPh sb="0" eb="2">
      <t>ネンド</t>
    </rPh>
    <phoneticPr fontId="8"/>
  </si>
  <si>
    <t>市町村コード</t>
    <rPh sb="0" eb="3">
      <t>シチョウソン</t>
    </rPh>
    <phoneticPr fontId="8"/>
  </si>
  <si>
    <t>市町村</t>
    <rPh sb="0" eb="3">
      <t>シチョウソン</t>
    </rPh>
    <phoneticPr fontId="8"/>
  </si>
  <si>
    <t>総人口
A</t>
    <rPh sb="0" eb="3">
      <t>ソウジンコウ</t>
    </rPh>
    <phoneticPr fontId="8"/>
  </si>
  <si>
    <t>計画収集人口
Ｂ</t>
    <rPh sb="0" eb="2">
      <t>ケイカク</t>
    </rPh>
    <rPh sb="2" eb="4">
      <t>シュウシュウ</t>
    </rPh>
    <rPh sb="4" eb="6">
      <t>ジンコウ</t>
    </rPh>
    <phoneticPr fontId="8"/>
  </si>
  <si>
    <t>計画収集量  D</t>
    <rPh sb="0" eb="2">
      <t>ケイカク</t>
    </rPh>
    <rPh sb="2" eb="4">
      <t>シュウシュウ</t>
    </rPh>
    <rPh sb="4" eb="5">
      <t>リョウ</t>
    </rPh>
    <phoneticPr fontId="8"/>
  </si>
  <si>
    <t>焼却以外の中間処理量 H</t>
    <rPh sb="0" eb="2">
      <t>ショウキャク</t>
    </rPh>
    <rPh sb="2" eb="4">
      <t>イガイ</t>
    </rPh>
    <rPh sb="5" eb="7">
      <t>チュウカン</t>
    </rPh>
    <rPh sb="7" eb="9">
      <t>ショリ</t>
    </rPh>
    <rPh sb="9" eb="10">
      <t>リョウ</t>
    </rPh>
    <phoneticPr fontId="8"/>
  </si>
  <si>
    <t>直接資源化量  I</t>
    <rPh sb="0" eb="2">
      <t>チョクセツ</t>
    </rPh>
    <rPh sb="2" eb="4">
      <t>シゲン</t>
    </rPh>
    <rPh sb="4" eb="5">
      <t>カ</t>
    </rPh>
    <rPh sb="5" eb="6">
      <t>リョウ</t>
    </rPh>
    <phoneticPr fontId="8"/>
  </si>
  <si>
    <t>ごみ処理量 X=F+G+H+I</t>
    <rPh sb="2" eb="4">
      <t>ショリ</t>
    </rPh>
    <rPh sb="4" eb="5">
      <t>リョウ</t>
    </rPh>
    <phoneticPr fontId="8"/>
  </si>
  <si>
    <t>減量処理率 N=(F+H+I)/X</t>
    <rPh sb="0" eb="2">
      <t>ショリ</t>
    </rPh>
    <rPh sb="2" eb="3">
      <t>リツ</t>
    </rPh>
    <phoneticPr fontId="8"/>
  </si>
  <si>
    <t>リサイクル率 R=(I+J+E)/(X+E)</t>
    <rPh sb="3" eb="4">
      <t>リツ</t>
    </rPh>
    <phoneticPr fontId="8"/>
  </si>
  <si>
    <t>焼却残渣量 K</t>
    <rPh sb="0" eb="2">
      <t>ショウキャク</t>
    </rPh>
    <rPh sb="2" eb="4">
      <t>ザンサ</t>
    </rPh>
    <rPh sb="4" eb="5">
      <t>リョウ</t>
    </rPh>
    <phoneticPr fontId="8"/>
  </si>
  <si>
    <t>処理残渣量 L</t>
    <rPh sb="0" eb="2">
      <t>ショリ</t>
    </rPh>
    <rPh sb="2" eb="4">
      <t>ザンサ</t>
    </rPh>
    <rPh sb="4" eb="5">
      <t>リョウ</t>
    </rPh>
    <phoneticPr fontId="8"/>
  </si>
  <si>
    <t>最終処分量 M=G+K+L</t>
    <rPh sb="0" eb="2">
      <t>サイシュウ</t>
    </rPh>
    <rPh sb="2" eb="4">
      <t>ショブン</t>
    </rPh>
    <rPh sb="4" eb="5">
      <t>リョウ</t>
    </rPh>
    <phoneticPr fontId="8"/>
  </si>
  <si>
    <t>備考</t>
    <rPh sb="0" eb="2">
      <t>ビコウ</t>
    </rPh>
    <phoneticPr fontId="8"/>
  </si>
  <si>
    <t>平成10年度</t>
  </si>
  <si>
    <t>平成11年度</t>
  </si>
  <si>
    <t>平成12年度</t>
  </si>
  <si>
    <t>平成13年度</t>
  </si>
  <si>
    <t>平成14年度</t>
  </si>
  <si>
    <t>平成15年度</t>
  </si>
  <si>
    <t>平成16年度</t>
  </si>
  <si>
    <t>平成17年度</t>
  </si>
  <si>
    <t>平成18年度</t>
  </si>
  <si>
    <t>平成19年度</t>
  </si>
  <si>
    <t>平成20年度</t>
  </si>
  <si>
    <t>平成21年度</t>
  </si>
  <si>
    <t>平成22年度</t>
  </si>
  <si>
    <t>平成23年度</t>
  </si>
  <si>
    <t>平成26年度</t>
  </si>
  <si>
    <t>平成27年度</t>
  </si>
  <si>
    <t>平成28年度</t>
  </si>
  <si>
    <t>ごみ総排出量  C=D+直接搬入量+E</t>
    <rPh sb="2" eb="3">
      <t>ソウ</t>
    </rPh>
    <rPh sb="3" eb="5">
      <t>ハイシュツ</t>
    </rPh>
    <rPh sb="5" eb="6">
      <t>リョウ</t>
    </rPh>
    <rPh sb="12" eb="14">
      <t>チョクセツ</t>
    </rPh>
    <rPh sb="14" eb="16">
      <t>ハンニュウ</t>
    </rPh>
    <rPh sb="16" eb="17">
      <t>リョウ</t>
    </rPh>
    <phoneticPr fontId="8"/>
  </si>
  <si>
    <t>230(115tx2炉〉</t>
  </si>
  <si>
    <t>宮城東部</t>
    <rPh sb="0" eb="2">
      <t>ミヤギ</t>
    </rPh>
    <rPh sb="2" eb="4">
      <t>トウブ</t>
    </rPh>
    <phoneticPr fontId="8"/>
  </si>
  <si>
    <t>180(90tx2炉〉</t>
  </si>
  <si>
    <t>今泉</t>
    <rPh sb="0" eb="2">
      <t>イマイズミ</t>
    </rPh>
    <phoneticPr fontId="8"/>
  </si>
  <si>
    <t>葛岡</t>
    <rPh sb="0" eb="2">
      <t>クズオカ</t>
    </rPh>
    <phoneticPr fontId="8"/>
  </si>
  <si>
    <t>松森</t>
    <rPh sb="0" eb="2">
      <t>マツモリ</t>
    </rPh>
    <phoneticPr fontId="8"/>
  </si>
  <si>
    <t>600(200tx3炉)</t>
  </si>
  <si>
    <t>600(300tx2炉〉</t>
  </si>
  <si>
    <t>600(200tx3炉〉</t>
  </si>
  <si>
    <t>石巻広域クリセ</t>
    <rPh sb="0" eb="2">
      <t>イシノマキ</t>
    </rPh>
    <rPh sb="2" eb="4">
      <t>コウイキ</t>
    </rPh>
    <phoneticPr fontId="14"/>
  </si>
  <si>
    <t>年間</t>
    <rPh sb="0" eb="2">
      <t>ネンカン</t>
    </rPh>
    <phoneticPr fontId="8"/>
  </si>
  <si>
    <t>割合</t>
    <rPh sb="0" eb="2">
      <t>ワリアイ</t>
    </rPh>
    <phoneticPr fontId="8"/>
  </si>
  <si>
    <t>4月</t>
    <rPh sb="1" eb="2">
      <t>ガツ</t>
    </rPh>
    <phoneticPr fontId="8"/>
  </si>
  <si>
    <t>5月</t>
  </si>
  <si>
    <t>6月</t>
  </si>
  <si>
    <t>7月</t>
  </si>
  <si>
    <t>8月</t>
  </si>
  <si>
    <t>9月</t>
  </si>
  <si>
    <t>10月</t>
  </si>
  <si>
    <t>11月</t>
  </si>
  <si>
    <t>12月</t>
  </si>
  <si>
    <t>1月</t>
  </si>
  <si>
    <t>2月</t>
  </si>
  <si>
    <t>3月</t>
  </si>
  <si>
    <t>計</t>
    <rPh sb="0" eb="1">
      <t>ケイ</t>
    </rPh>
    <phoneticPr fontId="8"/>
  </si>
  <si>
    <t>年間焼却量を月別に割り当てる係数</t>
    <rPh sb="0" eb="2">
      <t>ネンカン</t>
    </rPh>
    <rPh sb="2" eb="5">
      <t>ショウキャクリョウ</t>
    </rPh>
    <rPh sb="6" eb="8">
      <t>ツキベツ</t>
    </rPh>
    <rPh sb="9" eb="10">
      <t>ワ</t>
    </rPh>
    <rPh sb="11" eb="12">
      <t>ア</t>
    </rPh>
    <rPh sb="14" eb="16">
      <t>ケイスウ</t>
    </rPh>
    <phoneticPr fontId="8"/>
  </si>
  <si>
    <t>年間計</t>
    <rPh sb="0" eb="2">
      <t>ネンカン</t>
    </rPh>
    <rPh sb="2" eb="3">
      <t>ケイ</t>
    </rPh>
    <phoneticPr fontId="8"/>
  </si>
  <si>
    <t>一般廃棄物処理事業実態調査(環境省)</t>
    <rPh sb="0" eb="2">
      <t>イッパン</t>
    </rPh>
    <rPh sb="2" eb="5">
      <t>ハイキブツ</t>
    </rPh>
    <rPh sb="5" eb="7">
      <t>ショリ</t>
    </rPh>
    <rPh sb="7" eb="9">
      <t>ジギョウ</t>
    </rPh>
    <rPh sb="9" eb="11">
      <t>ジッタイ</t>
    </rPh>
    <rPh sb="11" eb="13">
      <t>チョウサ</t>
    </rPh>
    <rPh sb="14" eb="17">
      <t>カンキョウショウ</t>
    </rPh>
    <phoneticPr fontId="8"/>
  </si>
  <si>
    <t>焼却残さ量</t>
    <rPh sb="4" eb="5">
      <t>リョウ</t>
    </rPh>
    <phoneticPr fontId="5"/>
  </si>
  <si>
    <t>：淡緑色セルは計算式含む</t>
    <rPh sb="1" eb="2">
      <t>タン</t>
    </rPh>
    <rPh sb="7" eb="10">
      <t>ケイサンシキ</t>
    </rPh>
    <rPh sb="10" eb="11">
      <t>フク</t>
    </rPh>
    <phoneticPr fontId="14"/>
  </si>
  <si>
    <t>年月日</t>
    <rPh sb="0" eb="3">
      <t>ネンガッピ</t>
    </rPh>
    <phoneticPr fontId="5"/>
  </si>
  <si>
    <t>←半減期(年)</t>
    <rPh sb="1" eb="4">
      <t>ハンゲンキ</t>
    </rPh>
    <rPh sb="5" eb="6">
      <t>ネン</t>
    </rPh>
    <phoneticPr fontId="14"/>
  </si>
  <si>
    <t>I-131当日1から減衰</t>
    <rPh sb="5" eb="7">
      <t>トウジツ</t>
    </rPh>
    <rPh sb="10" eb="12">
      <t>ゲンスイ</t>
    </rPh>
    <phoneticPr fontId="5"/>
  </si>
  <si>
    <r>
      <rPr>
        <sz val="6.5"/>
        <color theme="1"/>
        <rFont val="Meiryo UI"/>
        <family val="3"/>
        <charset val="128"/>
      </rPr>
      <t>Cs134</t>
    </r>
    <r>
      <rPr>
        <sz val="8"/>
        <color theme="1"/>
        <rFont val="Meiryo UI"/>
        <family val="3"/>
        <charset val="128"/>
      </rPr>
      <t>当日1から減衰</t>
    </r>
    <phoneticPr fontId="5"/>
  </si>
  <si>
    <r>
      <rPr>
        <sz val="6.5"/>
        <color theme="1"/>
        <rFont val="Meiryo UI"/>
        <family val="3"/>
        <charset val="128"/>
      </rPr>
      <t>Cs137</t>
    </r>
    <r>
      <rPr>
        <sz val="8"/>
        <color theme="1"/>
        <rFont val="Meiryo UI"/>
        <family val="3"/>
        <charset val="128"/>
      </rPr>
      <t>当日1から減衰</t>
    </r>
    <phoneticPr fontId="5"/>
  </si>
  <si>
    <t xml:space="preserve">両Cs当日各1から減衰  </t>
    <rPh sb="0" eb="1">
      <t>リョウ</t>
    </rPh>
    <rPh sb="3" eb="5">
      <t>トウジツ</t>
    </rPh>
    <rPh sb="5" eb="6">
      <t>カク</t>
    </rPh>
    <rPh sb="9" eb="11">
      <t>ゲンスイ</t>
    </rPh>
    <phoneticPr fontId="5"/>
  </si>
  <si>
    <t>両Cs 1万から理論減衰</t>
    <rPh sb="0" eb="1">
      <t>リョウ</t>
    </rPh>
    <rPh sb="5" eb="6">
      <t>マン</t>
    </rPh>
    <rPh sb="8" eb="10">
      <t>リロン</t>
    </rPh>
    <rPh sb="10" eb="12">
      <t>ゲンスイ</t>
    </rPh>
    <phoneticPr fontId="5"/>
  </si>
  <si>
    <r>
      <rPr>
        <sz val="6.5"/>
        <color theme="1"/>
        <rFont val="Meiryo UI"/>
        <family val="3"/>
        <charset val="128"/>
      </rPr>
      <t>Cs134</t>
    </r>
    <r>
      <rPr>
        <sz val="8"/>
        <color theme="1"/>
        <rFont val="Meiryo UI"/>
        <family val="3"/>
        <charset val="128"/>
      </rPr>
      <t>当日500から減衰</t>
    </r>
    <rPh sb="5" eb="7">
      <t>トウジツ</t>
    </rPh>
    <rPh sb="12" eb="14">
      <t>ゲンスイ</t>
    </rPh>
    <phoneticPr fontId="5"/>
  </si>
  <si>
    <r>
      <rPr>
        <sz val="6.5"/>
        <color theme="1"/>
        <rFont val="Meiryo UI"/>
        <family val="3"/>
        <charset val="128"/>
      </rPr>
      <t>Cs137</t>
    </r>
    <r>
      <rPr>
        <sz val="8"/>
        <color theme="1"/>
        <rFont val="Meiryo UI"/>
        <family val="3"/>
        <charset val="128"/>
      </rPr>
      <t>当日500から減衰</t>
    </r>
    <rPh sb="5" eb="7">
      <t>トウジツ</t>
    </rPh>
    <rPh sb="12" eb="14">
      <t>ゲンスイ</t>
    </rPh>
    <phoneticPr fontId="5"/>
  </si>
  <si>
    <t>Cs月間量MBq(飛灰)</t>
    <rPh sb="2" eb="4">
      <t>ゲッカン</t>
    </rPh>
    <rPh sb="4" eb="5">
      <t>リョウ</t>
    </rPh>
    <rPh sb="9" eb="11">
      <t>ヒバイ</t>
    </rPh>
    <phoneticPr fontId="5"/>
  </si>
  <si>
    <t>Cs月間量MBq(主灰)</t>
    <rPh sb="2" eb="4">
      <t>ゲッカン</t>
    </rPh>
    <rPh sb="4" eb="5">
      <t>リョウ</t>
    </rPh>
    <rPh sb="9" eb="10">
      <t>シュ</t>
    </rPh>
    <rPh sb="10" eb="11">
      <t>ハイ</t>
    </rPh>
    <phoneticPr fontId="5"/>
  </si>
  <si>
    <t>主灰と飛灰中の月間Cs集積量(MBq)</t>
    <rPh sb="0" eb="1">
      <t>シュ</t>
    </rPh>
    <rPh sb="1" eb="2">
      <t>ハイ</t>
    </rPh>
    <rPh sb="3" eb="5">
      <t>ヒバイ</t>
    </rPh>
    <rPh sb="5" eb="6">
      <t>チュウ</t>
    </rPh>
    <rPh sb="7" eb="9">
      <t>ゲッカン</t>
    </rPh>
    <rPh sb="11" eb="13">
      <t>シュウセキ</t>
    </rPh>
    <rPh sb="13" eb="14">
      <t>リョウ</t>
    </rPh>
    <phoneticPr fontId="5"/>
  </si>
  <si>
    <t>ごみ焼却量 (t/月)</t>
    <rPh sb="2" eb="5">
      <t>ショウキャクリョウ</t>
    </rPh>
    <rPh sb="9" eb="10">
      <t>ツキ</t>
    </rPh>
    <phoneticPr fontId="5"/>
  </si>
  <si>
    <t>両Cs濃度 (Bq/kg)</t>
    <rPh sb="0" eb="1">
      <t>リョウ</t>
    </rPh>
    <rPh sb="3" eb="5">
      <t>ノウド</t>
    </rPh>
    <phoneticPr fontId="5"/>
  </si>
  <si>
    <t>GBq</t>
    <phoneticPr fontId="5"/>
  </si>
  <si>
    <t>(一般廃棄物と震災がれきの焼却に由来する分で､直接埋立や瓦礫分別土砂などは含まない)</t>
    <rPh sb="1" eb="3">
      <t>イッパン</t>
    </rPh>
    <rPh sb="3" eb="6">
      <t>ハイキブツ</t>
    </rPh>
    <rPh sb="7" eb="9">
      <t>シンサイ</t>
    </rPh>
    <rPh sb="13" eb="15">
      <t>ショウキャク</t>
    </rPh>
    <rPh sb="16" eb="18">
      <t>ユライ</t>
    </rPh>
    <rPh sb="20" eb="21">
      <t>ブン</t>
    </rPh>
    <rPh sb="23" eb="25">
      <t>チョクセツ</t>
    </rPh>
    <rPh sb="25" eb="27">
      <t>ウメタテ</t>
    </rPh>
    <rPh sb="28" eb="30">
      <t>ガレキ</t>
    </rPh>
    <rPh sb="30" eb="32">
      <t>ブンベツ</t>
    </rPh>
    <rPh sb="32" eb="34">
      <t>ドシャ</t>
    </rPh>
    <rPh sb="37" eb="38">
      <t>フク</t>
    </rPh>
    <phoneticPr fontId="5"/>
  </si>
  <si>
    <t>←　最終処分場での両Cs現在ストック量(MBq)</t>
    <phoneticPr fontId="5"/>
  </si>
  <si>
    <t>区分</t>
  </si>
  <si>
    <t>H30年度末まで最終処分された放射性セシウムの総量は今日現在､</t>
    <rPh sb="3" eb="6">
      <t>ネンドマツ</t>
    </rPh>
    <rPh sb="8" eb="10">
      <t>サイシュウ</t>
    </rPh>
    <rPh sb="10" eb="12">
      <t>ショブン</t>
    </rPh>
    <rPh sb="15" eb="18">
      <t>ホウシャセイ</t>
    </rPh>
    <rPh sb="23" eb="25">
      <t>ソウリョウ</t>
    </rPh>
    <phoneticPr fontId="5"/>
  </si>
  <si>
    <t>上表の宮城東部採用↓</t>
    <rPh sb="0" eb="2">
      <t>ジョウヒョウ</t>
    </rPh>
    <rPh sb="3" eb="5">
      <t>ミヤギ</t>
    </rPh>
    <rPh sb="5" eb="7">
      <t>トウブ</t>
    </rPh>
    <rPh sb="7" eb="9">
      <t>サイヨウ</t>
    </rPh>
    <phoneticPr fontId="5"/>
  </si>
  <si>
    <t>↓上表23列の比率採用</t>
    <rPh sb="1" eb="3">
      <t>ジョウヒョウ</t>
    </rPh>
    <rPh sb="5" eb="6">
      <t>レツ</t>
    </rPh>
    <rPh sb="7" eb="9">
      <t>ヒリツ</t>
    </rPh>
    <rPh sb="9" eb="11">
      <t>サイヨウ</t>
    </rPh>
    <phoneticPr fontId="5"/>
  </si>
  <si>
    <t>◇ 焼却灰中放射性Csの月間集積量推移と最終処分場での現存量</t>
    <rPh sb="2" eb="4">
      <t>ショウキャク</t>
    </rPh>
    <rPh sb="4" eb="5">
      <t>ハイ</t>
    </rPh>
    <rPh sb="5" eb="6">
      <t>チュウ</t>
    </rPh>
    <rPh sb="6" eb="9">
      <t>ホウシャセイ</t>
    </rPh>
    <rPh sb="12" eb="14">
      <t>ゲッカン</t>
    </rPh>
    <rPh sb="14" eb="16">
      <t>シュウセキ</t>
    </rPh>
    <rPh sb="16" eb="17">
      <t>リョウ</t>
    </rPh>
    <rPh sb="17" eb="19">
      <t>スイイ</t>
    </rPh>
    <rPh sb="20" eb="22">
      <t>サイシュウ</t>
    </rPh>
    <rPh sb="22" eb="25">
      <t>ショブンジョウ</t>
    </rPh>
    <rPh sb="27" eb="29">
      <t>ゲンゾン</t>
    </rPh>
    <rPh sb="29" eb="30">
      <t>リョウ</t>
    </rPh>
    <phoneticPr fontId="14"/>
  </si>
  <si>
    <t>昭和58年度</t>
  </si>
  <si>
    <t>分類なし</t>
  </si>
  <si>
    <t>昭和59年度</t>
  </si>
  <si>
    <t>昭和60年度</t>
  </si>
  <si>
    <t>昭和61年度</t>
  </si>
  <si>
    <t>昭和62年度</t>
  </si>
  <si>
    <t>昭和63年度</t>
  </si>
  <si>
    <t>平成01年度</t>
  </si>
  <si>
    <t>平成02年度</t>
  </si>
  <si>
    <t>平成03年度</t>
  </si>
  <si>
    <t>平成04年度</t>
  </si>
  <si>
    <t>平成05年度</t>
  </si>
  <si>
    <t>平成06年度</t>
  </si>
  <si>
    <t>平成07年度</t>
  </si>
  <si>
    <t>平成08年度</t>
  </si>
  <si>
    <t>平成09年度</t>
  </si>
  <si>
    <t>平成24年度</t>
  </si>
  <si>
    <t>平成25年度</t>
  </si>
  <si>
    <t>H10以降？集団回収量が新設されたが､ごみ総排出量に含まない､自家処理量はごみ総排出量に含む､ごみ総排出量 &lt; &gt; ごみ処理量</t>
    <rPh sb="3" eb="5">
      <t>イコウ</t>
    </rPh>
    <phoneticPr fontId="7"/>
  </si>
  <si>
    <t>H17以降：集団回収量が､ごみ総排出量に含む､自家処理量はごみ総排出量に含まない､単位：(人)､(t)､(％)､環境省の元値X,N,R,M欄</t>
    <rPh sb="3" eb="5">
      <t>イコウ</t>
    </rPh>
    <phoneticPr fontId="7"/>
  </si>
  <si>
    <t>不検出</t>
  </si>
  <si>
    <t xml:space="preserve">
区分</t>
  </si>
  <si>
    <t>仙台市合計</t>
    <rPh sb="0" eb="3">
      <t>センダイシ</t>
    </rPh>
    <rPh sb="3" eb="5">
      <t>ゴウケイ</t>
    </rPh>
    <phoneticPr fontId="8"/>
  </si>
  <si>
    <t>1800(200*6+300*2)</t>
  </si>
  <si>
    <t>1800(200*6+300*2)</t>
    <phoneticPr fontId="8"/>
  </si>
  <si>
    <t>3事業体平均</t>
    <rPh sb="1" eb="4">
      <t>ジギョウタイ</t>
    </rPh>
    <rPh sb="4" eb="6">
      <t>ヘイキン</t>
    </rPh>
    <phoneticPr fontId="8"/>
  </si>
  <si>
    <t>仙台市平均</t>
    <rPh sb="0" eb="3">
      <t>センダイシ</t>
    </rPh>
    <rPh sb="3" eb="5">
      <t>ヘイキン</t>
    </rPh>
    <phoneticPr fontId="8"/>
  </si>
  <si>
    <t>月別割合※</t>
    <rPh sb="0" eb="2">
      <t>ツキベツ</t>
    </rPh>
    <rPh sb="2" eb="4">
      <t>ワリアイ</t>
    </rPh>
    <phoneticPr fontId="14"/>
  </si>
  <si>
    <t>↓ シート"月値予測"から転記</t>
    <rPh sb="6" eb="7">
      <t>ツキ</t>
    </rPh>
    <rPh sb="7" eb="8">
      <t>チ</t>
    </rPh>
    <rPh sb="8" eb="10">
      <t>ヨソク</t>
    </rPh>
    <rPh sb="13" eb="15">
      <t>テンキ</t>
    </rPh>
    <phoneticPr fontId="5"/>
  </si>
  <si>
    <t>80(40tx2炉〉</t>
    <phoneticPr fontId="5"/>
  </si>
  <si>
    <t>焼却 t/年</t>
    <rPh sb="5" eb="6">
      <t>ネン</t>
    </rPh>
    <phoneticPr fontId="5"/>
  </si>
  <si>
    <t>平均</t>
    <rPh sb="0" eb="2">
      <t>ヘイキン</t>
    </rPh>
    <phoneticPr fontId="5"/>
  </si>
  <si>
    <t>月</t>
    <rPh sb="0" eb="1">
      <t>ツキ</t>
    </rPh>
    <phoneticPr fontId="5"/>
  </si>
  <si>
    <t>年度</t>
    <rPh sb="0" eb="2">
      <t>ネンド</t>
    </rPh>
    <phoneticPr fontId="5"/>
  </si>
  <si>
    <t>：飛灰発生率</t>
    <rPh sb="1" eb="2">
      <t>ヒ</t>
    </rPh>
    <rPh sb="2" eb="3">
      <t>バイ</t>
    </rPh>
    <rPh sb="3" eb="5">
      <t>ハッセイ</t>
    </rPh>
    <rPh sb="5" eb="6">
      <t>リツ</t>
    </rPh>
    <phoneticPr fontId="5"/>
  </si>
  <si>
    <t>：主灰発生率</t>
    <rPh sb="1" eb="2">
      <t>シュ</t>
    </rPh>
    <rPh sb="2" eb="3">
      <t>バイ</t>
    </rPh>
    <rPh sb="3" eb="5">
      <t>ハッセイ</t>
    </rPh>
    <rPh sb="5" eb="6">
      <t>リツ</t>
    </rPh>
    <phoneticPr fontId="5"/>
  </si>
  <si>
    <t>飛灰の量</t>
    <rPh sb="0" eb="2">
      <t>ヒバイ</t>
    </rPh>
    <rPh sb="3" eb="4">
      <t>リョウ</t>
    </rPh>
    <phoneticPr fontId="5"/>
  </si>
  <si>
    <t>濃度比(飛灰/主灰)</t>
    <rPh sb="0" eb="2">
      <t>ノウド</t>
    </rPh>
    <rPh sb="2" eb="3">
      <t>ヒ</t>
    </rPh>
    <rPh sb="4" eb="6">
      <t>ヒバイ</t>
    </rPh>
    <rPh sb="7" eb="8">
      <t>シュ</t>
    </rPh>
    <rPh sb="8" eb="9">
      <t>バイ</t>
    </rPh>
    <phoneticPr fontId="5"/>
  </si>
  <si>
    <t>宮城東部</t>
    <rPh sb="0" eb="2">
      <t>ミヤギ</t>
    </rPh>
    <rPh sb="2" eb="4">
      <t>トウブ</t>
    </rPh>
    <phoneticPr fontId="5"/>
  </si>
  <si>
    <t>黒川組</t>
    <rPh sb="0" eb="2">
      <t>クロカワ</t>
    </rPh>
    <rPh sb="2" eb="3">
      <t>クミ</t>
    </rPh>
    <phoneticPr fontId="5"/>
  </si>
  <si>
    <t>名取クリンセ</t>
    <rPh sb="0" eb="2">
      <t>ナトリ</t>
    </rPh>
    <phoneticPr fontId="5"/>
  </si>
  <si>
    <t>亘理清掃セ</t>
    <rPh sb="0" eb="2">
      <t>ワタリ</t>
    </rPh>
    <rPh sb="2" eb="4">
      <t>セイソウ</t>
    </rPh>
    <phoneticPr fontId="5"/>
  </si>
  <si>
    <t>気仙沼</t>
    <rPh sb="0" eb="3">
      <t>ケセンヌマ</t>
    </rPh>
    <phoneticPr fontId="5"/>
  </si>
  <si>
    <t>塩竃市</t>
    <rPh sb="0" eb="2">
      <t>シオガマ</t>
    </rPh>
    <rPh sb="2" eb="3">
      <t>シ</t>
    </rPh>
    <phoneticPr fontId="5"/>
  </si>
  <si>
    <t>※ 石巻広域､宮城東部､仙台3工場の月間焼却量の平均</t>
    <rPh sb="15" eb="17">
      <t>コウジョウ</t>
    </rPh>
    <phoneticPr fontId="5"/>
  </si>
  <si>
    <t>←飛灰/主灰の濃度比から推定</t>
    <rPh sb="1" eb="3">
      <t>ヒバイ</t>
    </rPh>
    <rPh sb="4" eb="5">
      <t>シュ</t>
    </rPh>
    <rPh sb="5" eb="6">
      <t>バイ</t>
    </rPh>
    <rPh sb="7" eb="9">
      <t>ノウド</t>
    </rPh>
    <rPh sb="9" eb="10">
      <t>ヒ</t>
    </rPh>
    <rPh sb="12" eb="14">
      <t>スイテイ</t>
    </rPh>
    <phoneticPr fontId="5"/>
  </si>
  <si>
    <t>←年度焼却量に月別割合を掛けて推定</t>
    <rPh sb="1" eb="3">
      <t>ネンド</t>
    </rPh>
    <rPh sb="3" eb="5">
      <t>ショウキャク</t>
    </rPh>
    <rPh sb="5" eb="6">
      <t>リョウ</t>
    </rPh>
    <rPh sb="7" eb="9">
      <t>ツキベツ</t>
    </rPh>
    <rPh sb="9" eb="11">
      <t>ワリアイ</t>
    </rPh>
    <rPh sb="12" eb="13">
      <t>カ</t>
    </rPh>
    <rPh sb="15" eb="17">
      <t>スイテイ</t>
    </rPh>
    <phoneticPr fontId="5"/>
  </si>
  <si>
    <t>←左欄の飛灰の量ｘ両Cs濃度</t>
    <rPh sb="1" eb="3">
      <t>サラン</t>
    </rPh>
    <rPh sb="4" eb="6">
      <t>ヒバイ</t>
    </rPh>
    <rPh sb="7" eb="8">
      <t>リョウ</t>
    </rPh>
    <rPh sb="9" eb="10">
      <t>リョウ</t>
    </rPh>
    <rPh sb="12" eb="14">
      <t>ノウド</t>
    </rPh>
    <phoneticPr fontId="5"/>
  </si>
  <si>
    <t>主灰の量</t>
    <rPh sb="0" eb="1">
      <t>シュ</t>
    </rPh>
    <rPh sb="1" eb="2">
      <t>バイ</t>
    </rPh>
    <rPh sb="3" eb="4">
      <t>リョウ</t>
    </rPh>
    <phoneticPr fontId="5"/>
  </si>
  <si>
    <t>←月間焼却量ｘ飛灰発生率</t>
    <rPh sb="1" eb="3">
      <t>ゲッカン</t>
    </rPh>
    <rPh sb="3" eb="5">
      <t>ショウキャク</t>
    </rPh>
    <rPh sb="5" eb="6">
      <t>リョウ</t>
    </rPh>
    <rPh sb="7" eb="9">
      <t>ヒバイ</t>
    </rPh>
    <rPh sb="9" eb="11">
      <t>ハッセイ</t>
    </rPh>
    <rPh sb="11" eb="12">
      <t>リツ</t>
    </rPh>
    <phoneticPr fontId="5"/>
  </si>
  <si>
    <t>←月間焼却量ｘ主灰発生率</t>
    <rPh sb="1" eb="3">
      <t>ゲッカン</t>
    </rPh>
    <rPh sb="3" eb="5">
      <t>ショウキャク</t>
    </rPh>
    <rPh sb="5" eb="6">
      <t>リョウ</t>
    </rPh>
    <rPh sb="7" eb="8">
      <t>シュ</t>
    </rPh>
    <rPh sb="8" eb="9">
      <t>バイ</t>
    </rPh>
    <rPh sb="9" eb="11">
      <t>ハッセイ</t>
    </rPh>
    <rPh sb="11" eb="12">
      <t>リツ</t>
    </rPh>
    <phoneticPr fontId="5"/>
  </si>
  <si>
    <t>焼却量に対する灰の生成割合</t>
    <rPh sb="0" eb="2">
      <t>ショウキャク</t>
    </rPh>
    <rPh sb="2" eb="3">
      <t>リョウ</t>
    </rPh>
    <rPh sb="4" eb="5">
      <t>タイ</t>
    </rPh>
    <rPh sb="7" eb="8">
      <t>ハイ</t>
    </rPh>
    <rPh sb="9" eb="11">
      <t>セイセイ</t>
    </rPh>
    <rPh sb="11" eb="13">
      <t>ワリアイ</t>
    </rPh>
    <phoneticPr fontId="5"/>
  </si>
  <si>
    <t>年度別焼却量</t>
    <rPh sb="0" eb="2">
      <t>ネンド</t>
    </rPh>
    <rPh sb="2" eb="3">
      <t>ベツ</t>
    </rPh>
    <rPh sb="3" eb="5">
      <t>ショウキャク</t>
    </rPh>
    <rPh sb="5" eb="6">
      <t>リョウ</t>
    </rPh>
    <phoneticPr fontId="5"/>
  </si>
  <si>
    <t>=事故日の濃度1*2.71828^(-0.69315/半1*(RC[-8]-事故日)/365.25)</t>
    <phoneticPr fontId="5"/>
  </si>
  <si>
    <t>=下駄1-(RC[-8]-40999)/除数11</t>
    <phoneticPr fontId="5"/>
  </si>
  <si>
    <t>5･6月をピークとする周期変動していると判断し､回帰式から推定した｡</t>
    <rPh sb="20" eb="22">
      <t>ハンダン</t>
    </rPh>
    <rPh sb="24" eb="26">
      <t>カイキ</t>
    </rPh>
    <rPh sb="26" eb="27">
      <t>シキ</t>
    </rPh>
    <rPh sb="29" eb="31">
      <t>スイテイ</t>
    </rPh>
    <phoneticPr fontId="5"/>
  </si>
  <si>
    <t>焼却量はシート”月値予測”の月毎割合を掛けた｡濃度は､石巻広域の実測値</t>
    <rPh sb="0" eb="2">
      <t>ショウキャク</t>
    </rPh>
    <rPh sb="2" eb="3">
      <t>リョウ</t>
    </rPh>
    <rPh sb="8" eb="9">
      <t>ツキ</t>
    </rPh>
    <rPh sb="9" eb="10">
      <t>チ</t>
    </rPh>
    <rPh sb="10" eb="12">
      <t>ヨソク</t>
    </rPh>
    <rPh sb="14" eb="16">
      <t>ツキゴト</t>
    </rPh>
    <rPh sb="16" eb="18">
      <t>ワリアイ</t>
    </rPh>
    <rPh sb="19" eb="20">
      <t>カ</t>
    </rPh>
    <rPh sb="23" eb="25">
      <t>ノウド</t>
    </rPh>
    <phoneticPr fontId="5"/>
  </si>
  <si>
    <t>Cs-134用</t>
    <rPh sb="6" eb="7">
      <t>ヨウ</t>
    </rPh>
    <phoneticPr fontId="14"/>
  </si>
  <si>
    <t>Cs-137用</t>
    <rPh sb="6" eb="7">
      <t>ヨウ</t>
    </rPh>
    <phoneticPr fontId="14"/>
  </si>
  <si>
    <t>任意の半減期1:</t>
    <rPh sb="0" eb="2">
      <t>ニンイ</t>
    </rPh>
    <rPh sb="3" eb="6">
      <t>ハンゲンキ</t>
    </rPh>
    <phoneticPr fontId="14"/>
  </si>
  <si>
    <t>15,19列の計算式=事故日の濃度1*2.71828^(-0.69315/半1*(RC[-8]-事故日)/365.25)</t>
    <rPh sb="4" eb="5">
      <t>レツ</t>
    </rPh>
    <rPh sb="6" eb="9">
      <t>ケイサンシキ</t>
    </rPh>
    <phoneticPr fontId="14"/>
  </si>
  <si>
    <t>除数11:</t>
    <rPh sb="0" eb="2">
      <t>ジョスウ</t>
    </rPh>
    <phoneticPr fontId="14"/>
  </si>
  <si>
    <t>16,20列の計算式=下駄1-(RC[-8]-40999)/除数11</t>
    <rPh sb="4" eb="5">
      <t>レツ</t>
    </rPh>
    <rPh sb="6" eb="9">
      <t>ケイサンシキ</t>
    </rPh>
    <phoneticPr fontId="14"/>
  </si>
  <si>
    <t>下駄1:</t>
    <rPh sb="0" eb="2">
      <t>ゲタ</t>
    </rPh>
    <phoneticPr fontId="14"/>
  </si>
  <si>
    <t>17,21列の計算式=(RC[-2]+RC[-1])*(1-RC[9]/除数12)</t>
    <rPh sb="4" eb="5">
      <t>レツ</t>
    </rPh>
    <rPh sb="6" eb="9">
      <t>ケイサンシキ</t>
    </rPh>
    <phoneticPr fontId="14"/>
  </si>
  <si>
    <t>事故日の濃度1:</t>
    <rPh sb="0" eb="2">
      <t>ジコ</t>
    </rPh>
    <rPh sb="2" eb="3">
      <t>ビ</t>
    </rPh>
    <rPh sb="4" eb="6">
      <t>ノウド</t>
    </rPh>
    <phoneticPr fontId="14"/>
  </si>
  <si>
    <t>除数12:</t>
    <rPh sb="0" eb="2">
      <t>ジョスウ</t>
    </rPh>
    <phoneticPr fontId="14"/>
  </si>
  <si>
    <t>放射性3物質の減衰曲線</t>
    <rPh sb="0" eb="3">
      <t>ホウシャセイ</t>
    </rPh>
    <rPh sb="4" eb="6">
      <t>ブッシツ</t>
    </rPh>
    <rPh sb="7" eb="9">
      <t>ゲンスイ</t>
    </rPh>
    <rPh sb="9" eb="11">
      <t>キョクセン</t>
    </rPh>
    <phoneticPr fontId="14"/>
  </si>
  <si>
    <t>焼却灰中の濃度</t>
    <rPh sb="0" eb="2">
      <t>ショウキャク</t>
    </rPh>
    <rPh sb="2" eb="3">
      <t>ハイ</t>
    </rPh>
    <rPh sb="3" eb="4">
      <t>チュウ</t>
    </rPh>
    <rPh sb="5" eb="7">
      <t>ノウド</t>
    </rPh>
    <phoneticPr fontId="14"/>
  </si>
  <si>
    <t>熔融スラグ中の濃度</t>
    <rPh sb="0" eb="2">
      <t>ヨウユウ</t>
    </rPh>
    <rPh sb="5" eb="6">
      <t>チュウ</t>
    </rPh>
    <rPh sb="7" eb="9">
      <t>ノウド</t>
    </rPh>
    <phoneticPr fontId="14"/>
  </si>
  <si>
    <t>連番</t>
    <phoneticPr fontId="14"/>
  </si>
  <si>
    <t>事故日と採取日</t>
    <phoneticPr fontId="14"/>
  </si>
  <si>
    <t>ごみ焼却量 t/月</t>
    <phoneticPr fontId="14"/>
  </si>
  <si>
    <t>Cs-134</t>
    <phoneticPr fontId="14"/>
  </si>
  <si>
    <t>Cs-137</t>
    <phoneticPr fontId="14"/>
  </si>
  <si>
    <t>焼却灰中両Cs濃度</t>
    <rPh sb="4" eb="5">
      <t>リョウ</t>
    </rPh>
    <rPh sb="7" eb="9">
      <t>ノウド</t>
    </rPh>
    <phoneticPr fontId="14"/>
  </si>
  <si>
    <t>Cs-134</t>
    <phoneticPr fontId="14"/>
  </si>
  <si>
    <t>Cs-137</t>
    <phoneticPr fontId="14"/>
  </si>
  <si>
    <t>熔融スラグ中両Cs濃度</t>
    <rPh sb="6" eb="7">
      <t>リョウ</t>
    </rPh>
    <rPh sb="9" eb="11">
      <t>ノウド</t>
    </rPh>
    <phoneticPr fontId="14"/>
  </si>
  <si>
    <t>下駄+(採取日-40999)/除数11</t>
    <rPh sb="4" eb="6">
      <t>サイシュ</t>
    </rPh>
    <rPh sb="6" eb="7">
      <t>ビ</t>
    </rPh>
    <rPh sb="15" eb="16">
      <t>ジョ</t>
    </rPh>
    <phoneticPr fontId="14"/>
  </si>
  <si>
    <t>回帰式_Cs-134</t>
    <rPh sb="0" eb="2">
      <t>カイキ</t>
    </rPh>
    <rPh sb="2" eb="3">
      <t>シキ</t>
    </rPh>
    <phoneticPr fontId="14"/>
  </si>
  <si>
    <t>下駄+(採取日-41000)/除数1</t>
    <rPh sb="4" eb="6">
      <t>サイシュ</t>
    </rPh>
    <rPh sb="6" eb="7">
      <t>ビ</t>
    </rPh>
    <rPh sb="15" eb="16">
      <t>ジョ</t>
    </rPh>
    <phoneticPr fontId="14"/>
  </si>
  <si>
    <t>回帰式_Cs-137</t>
    <rPh sb="0" eb="2">
      <t>カイキ</t>
    </rPh>
    <rPh sb="2" eb="3">
      <t>シキ</t>
    </rPh>
    <phoneticPr fontId="14"/>
  </si>
  <si>
    <t>度(等間隔でないことに注意)</t>
    <rPh sb="0" eb="1">
      <t>ド</t>
    </rPh>
    <rPh sb="2" eb="5">
      <t>トウカンカク</t>
    </rPh>
    <rPh sb="11" eb="13">
      <t>チュウイ</t>
    </rPh>
    <phoneticPr fontId="14"/>
  </si>
  <si>
    <t>ラジアン</t>
    <phoneticPr fontId="14"/>
  </si>
  <si>
    <t>30°(360度/12ヶ月)等間隔</t>
    <rPh sb="7" eb="8">
      <t>ド</t>
    </rPh>
    <rPh sb="12" eb="13">
      <t>ゲツ</t>
    </rPh>
    <rPh sb="14" eb="17">
      <t>トウカンカク</t>
    </rPh>
    <phoneticPr fontId="14"/>
  </si>
  <si>
    <t>ラジアン</t>
    <phoneticPr fontId="14"/>
  </si>
  <si>
    <t>I-131当日1から減衰</t>
    <rPh sb="5" eb="7">
      <t>トウジツ</t>
    </rPh>
    <rPh sb="10" eb="12">
      <t>ゲンスイ</t>
    </rPh>
    <phoneticPr fontId="14"/>
  </si>
  <si>
    <r>
      <rPr>
        <sz val="6"/>
        <color theme="1"/>
        <rFont val="Meiryo UI"/>
        <family val="3"/>
        <charset val="128"/>
      </rPr>
      <t>Cs134</t>
    </r>
    <r>
      <rPr>
        <sz val="7"/>
        <color theme="1"/>
        <rFont val="Meiryo UI"/>
        <family val="3"/>
        <charset val="128"/>
      </rPr>
      <t>当日1から減衰</t>
    </r>
    <phoneticPr fontId="14"/>
  </si>
  <si>
    <r>
      <rPr>
        <sz val="6"/>
        <color theme="1"/>
        <rFont val="Meiryo UI"/>
        <family val="3"/>
        <charset val="128"/>
      </rPr>
      <t>Cs137</t>
    </r>
    <r>
      <rPr>
        <sz val="7"/>
        <color theme="1"/>
        <rFont val="Meiryo UI"/>
        <family val="3"/>
        <charset val="128"/>
      </rPr>
      <t>当日1から減衰</t>
    </r>
    <phoneticPr fontId="14"/>
  </si>
  <si>
    <t xml:space="preserve">両Cs当日各1から減衰  </t>
    <rPh sb="0" eb="1">
      <t>リョウ</t>
    </rPh>
    <rPh sb="3" eb="5">
      <t>トウジツ</t>
    </rPh>
    <rPh sb="5" eb="6">
      <t>カク</t>
    </rPh>
    <rPh sb="9" eb="11">
      <t>ゲンスイ</t>
    </rPh>
    <phoneticPr fontId="14"/>
  </si>
  <si>
    <t>両Cs1万から理論減衰</t>
    <rPh sb="0" eb="1">
      <t>リョウ</t>
    </rPh>
    <rPh sb="4" eb="5">
      <t>マン</t>
    </rPh>
    <rPh sb="7" eb="9">
      <t>リロン</t>
    </rPh>
    <rPh sb="9" eb="11">
      <t>ゲンスイ</t>
    </rPh>
    <phoneticPr fontId="14"/>
  </si>
  <si>
    <r>
      <rPr>
        <sz val="6"/>
        <color theme="1"/>
        <rFont val="Meiryo UI"/>
        <family val="3"/>
        <charset val="128"/>
      </rPr>
      <t>Cs134</t>
    </r>
    <r>
      <rPr>
        <sz val="7"/>
        <color theme="1"/>
        <rFont val="Meiryo UI"/>
        <family val="3"/>
        <charset val="128"/>
      </rPr>
      <t>当日500から減衰</t>
    </r>
    <rPh sb="5" eb="7">
      <t>トウジツ</t>
    </rPh>
    <rPh sb="12" eb="14">
      <t>ゲンスイ</t>
    </rPh>
    <phoneticPr fontId="14"/>
  </si>
  <si>
    <r>
      <rPr>
        <sz val="6"/>
        <color theme="1"/>
        <rFont val="Meiryo UI"/>
        <family val="3"/>
        <charset val="128"/>
      </rPr>
      <t>Cs137</t>
    </r>
    <r>
      <rPr>
        <sz val="7"/>
        <color theme="1"/>
        <rFont val="Meiryo UI"/>
        <family val="3"/>
        <charset val="128"/>
      </rPr>
      <t>当日500から減衰</t>
    </r>
    <rPh sb="5" eb="7">
      <t>トウジツ</t>
    </rPh>
    <rPh sb="12" eb="14">
      <t>ゲンスイ</t>
    </rPh>
    <phoneticPr fontId="14"/>
  </si>
  <si>
    <t>Bq/kg</t>
  </si>
  <si>
    <t>Bq/kg</t>
    <phoneticPr fontId="14"/>
  </si>
  <si>
    <t>Bq/kg</t>
    <phoneticPr fontId="14"/>
  </si>
  <si>
    <t>角度間隔ゆらぎCOS()</t>
    <rPh sb="0" eb="2">
      <t>カクド</t>
    </rPh>
    <rPh sb="2" eb="4">
      <t>カンカク</t>
    </rPh>
    <phoneticPr fontId="14"/>
  </si>
  <si>
    <t>30°等間隔COS()</t>
    <rPh sb="3" eb="4">
      <t>トウ</t>
    </rPh>
    <rPh sb="4" eb="6">
      <t>カンカク</t>
    </rPh>
    <phoneticPr fontId="14"/>
  </si>
  <si>
    <t>濃度データ推定法</t>
    <rPh sb="0" eb="2">
      <t>ノウド</t>
    </rPh>
    <rPh sb="5" eb="8">
      <t>スイテイホウ</t>
    </rPh>
    <phoneticPr fontId="8"/>
  </si>
  <si>
    <t>(毎月濃度データ不足の場合､減衰曲線と年間周期振動から推定)</t>
    <rPh sb="14" eb="16">
      <t>ゲンスイ</t>
    </rPh>
    <rPh sb="16" eb="18">
      <t>キョクセン</t>
    </rPh>
    <rPh sb="19" eb="21">
      <t>ネンカン</t>
    </rPh>
    <rPh sb="21" eb="23">
      <t>シュウキ</t>
    </rPh>
    <rPh sb="23" eb="25">
      <t>シンドウ</t>
    </rPh>
    <rPh sb="27" eb="29">
      <t>スイテイ</t>
    </rPh>
    <phoneticPr fontId="8"/>
  </si>
  <si>
    <t>年度
(H10以降？)</t>
    <rPh sb="0" eb="2">
      <t>ネンド</t>
    </rPh>
    <rPh sb="7" eb="9">
      <t>イコウ</t>
    </rPh>
    <phoneticPr fontId="8"/>
  </si>
  <si>
    <r>
      <t xml:space="preserve">ごみ総排出量
</t>
    </r>
    <r>
      <rPr>
        <sz val="7"/>
        <rFont val="Meiryo UI"/>
        <family val="3"/>
        <charset val="128"/>
      </rPr>
      <t>C=D+直接搬入量+Y</t>
    </r>
    <rPh sb="2" eb="3">
      <t>ソウ</t>
    </rPh>
    <rPh sb="3" eb="5">
      <t>ハイシュツ</t>
    </rPh>
    <rPh sb="5" eb="6">
      <t>リョウ</t>
    </rPh>
    <phoneticPr fontId="8"/>
  </si>
  <si>
    <t>計画収集量
D</t>
    <rPh sb="0" eb="2">
      <t>ケイカク</t>
    </rPh>
    <rPh sb="2" eb="4">
      <t>シュウシュウ</t>
    </rPh>
    <rPh sb="4" eb="5">
      <t>リョウ</t>
    </rPh>
    <phoneticPr fontId="8"/>
  </si>
  <si>
    <t>焼却以外の中間処理量
H</t>
    <rPh sb="0" eb="2">
      <t>ショウキャク</t>
    </rPh>
    <rPh sb="2" eb="4">
      <t>イガイ</t>
    </rPh>
    <rPh sb="5" eb="7">
      <t>チュウカン</t>
    </rPh>
    <rPh sb="7" eb="9">
      <t>ショリ</t>
    </rPh>
    <rPh sb="9" eb="10">
      <t>リョウ</t>
    </rPh>
    <phoneticPr fontId="8"/>
  </si>
  <si>
    <t>直接資源化量
I</t>
    <rPh sb="0" eb="2">
      <t>チョクセツ</t>
    </rPh>
    <rPh sb="2" eb="4">
      <t>シゲン</t>
    </rPh>
    <rPh sb="4" eb="5">
      <t>カ</t>
    </rPh>
    <rPh sb="5" eb="6">
      <t>リョウ</t>
    </rPh>
    <phoneticPr fontId="8"/>
  </si>
  <si>
    <t>減量処理率N=(F+H+I)/X</t>
    <rPh sb="0" eb="2">
      <t>ショリ</t>
    </rPh>
    <rPh sb="2" eb="3">
      <t>リツ</t>
    </rPh>
    <phoneticPr fontId="8"/>
  </si>
  <si>
    <t>焼却残渣量
K</t>
    <rPh sb="0" eb="2">
      <t>ショウキャク</t>
    </rPh>
    <rPh sb="2" eb="4">
      <t>ザンサ</t>
    </rPh>
    <rPh sb="4" eb="5">
      <t>リョウ</t>
    </rPh>
    <phoneticPr fontId="8"/>
  </si>
  <si>
    <t>処理残渣量
L</t>
    <rPh sb="0" eb="2">
      <t>ショリ</t>
    </rPh>
    <rPh sb="2" eb="4">
      <t>ザンサ</t>
    </rPh>
    <rPh sb="4" eb="5">
      <t>リョウ</t>
    </rPh>
    <phoneticPr fontId="8"/>
  </si>
  <si>
    <t>最終処分量
M=G+K+L</t>
    <rPh sb="0" eb="2">
      <t>サイシュウ</t>
    </rPh>
    <rPh sb="2" eb="4">
      <t>ショブン</t>
    </rPh>
    <rPh sb="4" eb="5">
      <t>リョウ</t>
    </rPh>
    <phoneticPr fontId="8"/>
  </si>
  <si>
    <t>H10以降？</t>
    <rPh sb="3" eb="5">
      <t>イコウ</t>
    </rPh>
    <phoneticPr fontId="8"/>
  </si>
  <si>
    <t>集団回収量が新設されたが､ごみ総排出量に含まない
自家処理量はごみ総排出量に含む
ごみ総排出量 &lt; &gt; ごみ処理量</t>
    <rPh sb="0" eb="2">
      <t>シュウダン</t>
    </rPh>
    <rPh sb="2" eb="4">
      <t>カイシュウ</t>
    </rPh>
    <rPh sb="4" eb="5">
      <t>リョウ</t>
    </rPh>
    <rPh sb="6" eb="8">
      <t>シンセツ</t>
    </rPh>
    <rPh sb="25" eb="27">
      <t>ジカ</t>
    </rPh>
    <rPh sb="27" eb="29">
      <t>ショリ</t>
    </rPh>
    <rPh sb="29" eb="30">
      <t>リョウ</t>
    </rPh>
    <rPh sb="33" eb="34">
      <t>ソウ</t>
    </rPh>
    <rPh sb="34" eb="36">
      <t>ハイシュツ</t>
    </rPh>
    <rPh sb="36" eb="37">
      <t>リョウ</t>
    </rPh>
    <rPh sb="38" eb="39">
      <t>フク</t>
    </rPh>
    <rPh sb="43" eb="44">
      <t>ソウ</t>
    </rPh>
    <rPh sb="44" eb="46">
      <t>ハイシュツ</t>
    </rPh>
    <rPh sb="46" eb="47">
      <t>リョウ</t>
    </rPh>
    <rPh sb="54" eb="56">
      <t>ショリ</t>
    </rPh>
    <rPh sb="56" eb="57">
      <t>リョウ</t>
    </rPh>
    <phoneticPr fontId="8"/>
  </si>
  <si>
    <t>計画収集人口 Ｂ</t>
    <rPh sb="0" eb="2">
      <t>ケイカク</t>
    </rPh>
    <rPh sb="2" eb="4">
      <t>シュウシュウ</t>
    </rPh>
    <rPh sb="4" eb="6">
      <t>ジンコウ</t>
    </rPh>
    <phoneticPr fontId="8"/>
  </si>
  <si>
    <t>H17以降</t>
    <rPh sb="3" eb="5">
      <t>イコウ</t>
    </rPh>
    <phoneticPr fontId="8"/>
  </si>
  <si>
    <t>集団回収量が､ごみ総排出量に含む
自家処理量はごみ総排出量に含まない
単位：(人)､(t)､(％)
環境省の元値X,N,R,M欄</t>
    <rPh sb="0" eb="2">
      <t>シュウダン</t>
    </rPh>
    <rPh sb="2" eb="4">
      <t>カイシュウ</t>
    </rPh>
    <rPh sb="4" eb="5">
      <t>リョウ</t>
    </rPh>
    <rPh sb="17" eb="19">
      <t>ジカ</t>
    </rPh>
    <rPh sb="19" eb="21">
      <t>ショリ</t>
    </rPh>
    <rPh sb="21" eb="22">
      <t>リョウ</t>
    </rPh>
    <rPh sb="25" eb="26">
      <t>ソウ</t>
    </rPh>
    <rPh sb="26" eb="28">
      <t>ハイシュツ</t>
    </rPh>
    <rPh sb="28" eb="29">
      <t>リョウ</t>
    </rPh>
    <rPh sb="35" eb="37">
      <t>タンイ</t>
    </rPh>
    <rPh sb="39" eb="40">
      <t>ニン</t>
    </rPh>
    <rPh sb="50" eb="53">
      <t>カンキョウショウ</t>
    </rPh>
    <rPh sb="54" eb="56">
      <t>モトネ</t>
    </rPh>
    <rPh sb="63" eb="64">
      <t>ラン</t>
    </rPh>
    <phoneticPr fontId="8"/>
  </si>
  <si>
    <t>直接搬入量</t>
  </si>
  <si>
    <t>毎月のデータが揃う石巻広域･宮城東部･仙台市･･から、焼却量と濃度が2･3月を底とし､</t>
    <rPh sb="0" eb="2">
      <t>マイツキ</t>
    </rPh>
    <rPh sb="7" eb="8">
      <t>ソロ</t>
    </rPh>
    <rPh sb="9" eb="11">
      <t>イシノマキ</t>
    </rPh>
    <rPh sb="11" eb="13">
      <t>コウイキ</t>
    </rPh>
    <rPh sb="14" eb="16">
      <t>ミヤギ</t>
    </rPh>
    <rPh sb="16" eb="18">
      <t>トウブ</t>
    </rPh>
    <rPh sb="19" eb="22">
      <t>センダイシ</t>
    </rPh>
    <rPh sb="27" eb="29">
      <t>ショウキャク</t>
    </rPh>
    <rPh sb="29" eb="30">
      <t>リョウ</t>
    </rPh>
    <rPh sb="31" eb="33">
      <t>ノウド</t>
    </rPh>
    <rPh sb="37" eb="38">
      <t>ガツ</t>
    </rPh>
    <rPh sb="39" eb="40">
      <t>ソコ</t>
    </rPh>
    <phoneticPr fontId="5"/>
  </si>
  <si>
    <t>←石巻広域と同じパターン変動するとして、H29実測値平均から推定</t>
    <rPh sb="23" eb="26">
      <t>ジッソクチ</t>
    </rPh>
    <rPh sb="26" eb="28">
      <t>ヘイキン</t>
    </rPh>
    <rPh sb="30" eb="32">
      <t>スイテイ</t>
    </rPh>
    <phoneticPr fontId="5"/>
  </si>
  <si>
    <t>黒川地域行政事務組合 環境管理センター</t>
  </si>
  <si>
    <t>http://www.kurogyou.jp/kankyou/kanri/index.html</t>
  </si>
  <si>
    <t>自家処理量
Y</t>
    <phoneticPr fontId="8"/>
  </si>
  <si>
    <t>集団回収量
E</t>
    <phoneticPr fontId="8"/>
  </si>
  <si>
    <t>直接焼却量
F</t>
    <phoneticPr fontId="8"/>
  </si>
  <si>
    <t>直接最終処分量
G</t>
    <phoneticPr fontId="8"/>
  </si>
  <si>
    <t>中間処理後再生利用量 J</t>
    <phoneticPr fontId="8"/>
  </si>
  <si>
    <t>自家処理量  Y</t>
    <phoneticPr fontId="8"/>
  </si>
  <si>
    <t>集団回収量  E</t>
    <phoneticPr fontId="8"/>
  </si>
  <si>
    <t>直接焼却量 F</t>
    <phoneticPr fontId="8"/>
  </si>
  <si>
    <t>直接最終処分量 G</t>
    <phoneticPr fontId="8"/>
  </si>
  <si>
    <t>04422</t>
  </si>
  <si>
    <t>大郷町</t>
  </si>
  <si>
    <t>平成29年度</t>
    <rPh sb="0" eb="2">
      <t>ヘイセイ</t>
    </rPh>
    <rPh sb="4" eb="6">
      <t>ネンド</t>
    </rPh>
    <phoneticPr fontId="39"/>
  </si>
  <si>
    <t>04424</t>
  </si>
  <si>
    <t>大衡村</t>
  </si>
  <si>
    <t>04421</t>
  </si>
  <si>
    <t>大和町</t>
  </si>
  <si>
    <t>2018/8/31作成</t>
    <phoneticPr fontId="5"/>
  </si>
  <si>
    <t>農林業系廃棄物試験焼却モニタリング結果―覧表（黒川地域行政事務組合）</t>
    <phoneticPr fontId="5"/>
  </si>
  <si>
    <t>H30.9.3_01cool.pdf にkekka_01_H30.8.16.pdfから一部追加</t>
    <rPh sb="43" eb="45">
      <t>イチブ</t>
    </rPh>
    <rPh sb="45" eb="47">
      <t>ツイカ</t>
    </rPh>
    <phoneticPr fontId="5"/>
  </si>
  <si>
    <t>○基本項日</t>
  </si>
  <si>
    <t>○搬入車両周辺空間線量（μSV/h）</t>
  </si>
  <si>
    <t>クール数</t>
    <phoneticPr fontId="5"/>
  </si>
  <si>
    <t xml:space="preserve">
搬入町村</t>
  </si>
  <si>
    <t>搬入種類</t>
  </si>
  <si>
    <t xml:space="preserve">
搬入区分</t>
  </si>
  <si>
    <t>＼</t>
  </si>
  <si>
    <t>搬入量(kg)</t>
  </si>
  <si>
    <t>測定日</t>
  </si>
  <si>
    <t>前面</t>
  </si>
  <si>
    <t>第1クール</t>
  </si>
  <si>
    <t>牧草</t>
  </si>
  <si>
    <t>400Bq/kg以下</t>
    <phoneticPr fontId="5"/>
  </si>
  <si>
    <t>左側面</t>
  </si>
  <si>
    <t>右側面</t>
  </si>
  <si>
    <t>平成30年6月15日　　　　　　農林業系廃棄物試験焼却（第1クール）検証結果　　　　</t>
  </si>
  <si>
    <t>後面</t>
  </si>
  <si>
    <t>下記のとおり検査項日すべて基準値内であることが確詰されましたので報告します。</t>
  </si>
  <si>
    <t>○環境管理センター</t>
    <phoneticPr fontId="5"/>
  </si>
  <si>
    <t>搬入期間　5月21日（月）～5月25日（金）　焼却期間　5月22日（火）～5月26日（土）</t>
  </si>
  <si>
    <t xml:space="preserve">
基準値</t>
  </si>
  <si>
    <t>モニタリング回数</t>
    <phoneticPr fontId="5"/>
  </si>
  <si>
    <t xml:space="preserve">
測定項日</t>
  </si>
  <si>
    <t>＊参考</t>
    <phoneticPr fontId="5"/>
  </si>
  <si>
    <t>測定結果</t>
    <rPh sb="0" eb="2">
      <t>ソクテイ</t>
    </rPh>
    <rPh sb="2" eb="4">
      <t>ケッカ</t>
    </rPh>
    <phoneticPr fontId="5"/>
  </si>
  <si>
    <t>試験焼却前データ</t>
  </si>
  <si>
    <t>試験焼却期間(1週日)</t>
  </si>
  <si>
    <t>2週日</t>
  </si>
  <si>
    <t>3週日</t>
  </si>
  <si>
    <t>4週日</t>
  </si>
  <si>
    <t>/</t>
  </si>
  <si>
    <t>搬入町村</t>
  </si>
  <si>
    <t>搬入区分</t>
  </si>
  <si>
    <t>搬入総量</t>
  </si>
  <si>
    <t>←　←　←　←　受入期　→　→　→　→</t>
    <phoneticPr fontId="5"/>
  </si>
  <si>
    <t>400Bq/kg以下</t>
  </si>
  <si>
    <t>4,690 kg</t>
  </si>
  <si>
    <t>←　←　←　←　混焼期　→　→　→　→</t>
    <phoneticPr fontId="5"/>
  </si>
  <si>
    <t>←　←　←　←　←　←　←　←　←　←　←　←　←　←　←　検証期　→　→　→　→　→　→　→　→　→　→　→　→　→　→　→</t>
    <rPh sb="30" eb="32">
      <t>ケンショウ</t>
    </rPh>
    <phoneticPr fontId="5"/>
  </si>
  <si>
    <t>排ガス中の放射性物質</t>
  </si>
  <si>
    <t>空間線量測定(μSv/h)</t>
    <phoneticPr fontId="5"/>
  </si>
  <si>
    <t>5回/週
(法定1回/
　週)</t>
  </si>
  <si>
    <t>基準値</t>
  </si>
  <si>
    <t>測定日（採取日）</t>
  </si>
  <si>
    <t>測定結果</t>
  </si>
  <si>
    <t>試験焼却直前</t>
  </si>
  <si>
    <t>最高値</t>
    <rPh sb="0" eb="2">
      <t>サイコウ</t>
    </rPh>
    <phoneticPr fontId="5"/>
  </si>
  <si>
    <t>月</t>
  </si>
  <si>
    <t>火</t>
  </si>
  <si>
    <t>水</t>
  </si>
  <si>
    <t>木</t>
  </si>
  <si>
    <t>金</t>
  </si>
  <si>
    <t>土</t>
  </si>
  <si>
    <t xml:space="preserve">
排ガス</t>
  </si>
  <si>
    <t>1号炉</t>
  </si>
  <si>
    <t>Cs134の濃度/20+Cs137の濃度/30≦1</t>
  </si>
  <si>
    <t>搬入路MP10:00</t>
  </si>
  <si>
    <t>敷地境界地点</t>
  </si>
  <si>
    <t>2号炉</t>
  </si>
  <si>
    <t>（3か月の平均値）</t>
  </si>
  <si>
    <t>No.1(南)</t>
  </si>
  <si>
    <t>焼却灰中の放射性物質</t>
    <phoneticPr fontId="5"/>
  </si>
  <si>
    <t>No.2(西)</t>
    <rPh sb="5" eb="6">
      <t>ニシ</t>
    </rPh>
    <phoneticPr fontId="5"/>
  </si>
  <si>
    <t>飛灰（ばいじん）</t>
  </si>
  <si>
    <t xml:space="preserve">法令:8,000 Bq/kg </t>
    <phoneticPr fontId="5"/>
  </si>
  <si>
    <t>5月23日～27日の混合</t>
    <phoneticPr fontId="5"/>
  </si>
  <si>
    <t xml:space="preserve">
110 Bq/kg</t>
  </si>
  <si>
    <t>1,630 Bq/kg　(H23.10)</t>
  </si>
  <si>
    <t>No.3(北)</t>
  </si>
  <si>
    <t>主灰（焼却灰）</t>
  </si>
  <si>
    <t>(試験焼却における上乗せ基準:　1,198 Bq/kg)</t>
  </si>
  <si>
    <t>32 Bq/kg</t>
  </si>
  <si>
    <t xml:space="preserve">
一</t>
  </si>
  <si>
    <t>No.4(東)</t>
  </si>
  <si>
    <t>＊飛灰（ばいじん）：ろ過式集じん器（バグフィルクー）で取れた排ガス中の細かいほこり状の灰　　</t>
    <phoneticPr fontId="42"/>
  </si>
  <si>
    <t>焼却灰等の測定
　(Bq/kg)</t>
    <phoneticPr fontId="5"/>
  </si>
  <si>
    <t>1,198Bq/kg</t>
  </si>
  <si>
    <t>1回/月＋1回/各ｸｰﾙ</t>
  </si>
  <si>
    <t>採取時間</t>
  </si>
  <si>
    <t>4月データ</t>
    <phoneticPr fontId="5"/>
  </si>
  <si>
    <t>7:00～9:00(水～曰.試料を毎曰採取.5曰分を混合し1検体として分析）</t>
    <rPh sb="14" eb="16">
      <t>シリョウ</t>
    </rPh>
    <rPh sb="30" eb="32">
      <t>ケンタイ</t>
    </rPh>
    <phoneticPr fontId="5"/>
  </si>
  <si>
    <t>5月23日～27日の混合</t>
    <rPh sb="1" eb="2">
      <t>ガツ</t>
    </rPh>
    <rPh sb="4" eb="5">
      <t>ニチ</t>
    </rPh>
    <rPh sb="8" eb="9">
      <t>ニチ</t>
    </rPh>
    <rPh sb="10" eb="12">
      <t>コンゴウ</t>
    </rPh>
    <phoneticPr fontId="5"/>
  </si>
  <si>
    <t>＊主灰（焼却灰）：ごみを燃やした後に出る燃えがら</t>
    <phoneticPr fontId="42"/>
  </si>
  <si>
    <t>飛灰(ばいじん)</t>
    <phoneticPr fontId="5"/>
  </si>
  <si>
    <t>1630 Bq/kg (H23.10)</t>
    <phoneticPr fontId="5"/>
  </si>
  <si>
    <t>燃えがら空間線量（平均値）</t>
  </si>
  <si>
    <t>主灰(焼却灰)</t>
    <rPh sb="3" eb="6">
      <t>ショウキャクバイ</t>
    </rPh>
    <phoneticPr fontId="5"/>
  </si>
  <si>
    <t>搬入車両</t>
  </si>
  <si>
    <t>0.23　μSv/ h</t>
  </si>
  <si>
    <t>5月21日～25日
の平均</t>
  </si>
  <si>
    <t xml:space="preserve">
一</t>
    <phoneticPr fontId="5"/>
  </si>
  <si>
    <t>排ガス測定(Bq/m3)</t>
  </si>
  <si>
    <t>Cs134の濃度/20+Cs137の濃度/30≦1　(3か月の平均値)</t>
  </si>
  <si>
    <t>4月データ</t>
  </si>
  <si>
    <t>4時間吸引</t>
  </si>
  <si>
    <t>6月18日(1号炉9:37～11:07 2号炉11:10～12:40)</t>
    <phoneticPr fontId="5"/>
  </si>
  <si>
    <t>環境管理センター境界</t>
  </si>
  <si>
    <t>5月22日～26日
の平均</t>
  </si>
  <si>
    <t>0.032～0.047</t>
  </si>
  <si>
    <t>一</t>
  </si>
  <si>
    <t>鏝終処分場埋立地</t>
  </si>
  <si>
    <t>0.042～0.055</t>
  </si>
  <si>
    <t xml:space="preserve">
自主
測定
地点</t>
  </si>
  <si>
    <t>八志田公民館</t>
  </si>
  <si>
    <t xml:space="preserve">
5月22日～25日
の平均</t>
  </si>
  <si>
    <t>赤崩山付近</t>
  </si>
  <si>
    <t xml:space="preserve">
○施設外</t>
  </si>
  <si>
    <t>南川ダム</t>
  </si>
  <si>
    <t>測定場所
　時間</t>
  </si>
  <si>
    <t>吉田小学校</t>
  </si>
  <si>
    <t>吉田百目木</t>
  </si>
  <si>
    <t>焼却施設から2.5km地点</t>
  </si>
  <si>
    <t>金取北公民館MP13:40</t>
  </si>
  <si>
    <t>八志田公民館13:35</t>
  </si>
  <si>
    <t>最終処分場等の水の放射性物質</t>
  </si>
  <si>
    <t>赤崩山付近14:05</t>
  </si>
  <si>
    <t>最高値</t>
    <phoneticPr fontId="5"/>
  </si>
  <si>
    <t>南川ダム
　14:15</t>
  </si>
  <si>
    <t>地下水モニタリング井戸(上流)</t>
  </si>
  <si>
    <t>Cs134の濃度/60+Cs137の濃度/90≦1</t>
  </si>
  <si>
    <t xml:space="preserve">
密集地</t>
  </si>
  <si>
    <t>吉田小学校
　14:40</t>
  </si>
  <si>
    <t>地下水モニタリング井戸（下流）</t>
  </si>
  <si>
    <t>百目木 14:30</t>
    <rPh sb="1" eb="2">
      <t>メ</t>
    </rPh>
    <phoneticPr fontId="5"/>
  </si>
  <si>
    <t>処理水貯留槽</t>
  </si>
  <si>
    <t>0.7Bq/L
(係数0.007)</t>
  </si>
  <si>
    <t>3.1 Bq/L(H26.6)</t>
    <phoneticPr fontId="5"/>
  </si>
  <si>
    <t>○最終処分場</t>
  </si>
  <si>
    <t>混合放流水</t>
  </si>
  <si>
    <t>モニタリング回数</t>
    <phoneticPr fontId="5"/>
  </si>
  <si>
    <t>測定項日</t>
  </si>
  <si>
    <t>＊分析結果が検出下限値未満であった場合は「不検出」と表示しています。</t>
    <phoneticPr fontId="42"/>
  </si>
  <si>
    <t>＊試験焼却時の測定結果は、黒川地域行政事務組合のホームページに公表されています。</t>
  </si>
  <si>
    <t>5回/週(法定1回/週)</t>
  </si>
  <si>
    <t>搬入路MP11:00</t>
  </si>
  <si>
    <t>http://radioactivity.nsr.go.jp/map/ja/</t>
    <phoneticPr fontId="42"/>
  </si>
  <si>
    <t>搬入路入ロ</t>
  </si>
  <si>
    <t>＊モニタリングポストの測定結果は、放射線モニクリング情報（原子力規制委員会）のホームページで確詰できます。</t>
  </si>
  <si>
    <t>No.1(酉〉</t>
  </si>
  <si>
    <t>業務諜TEL　022-345-6471</t>
  </si>
  <si>
    <t>No.2(北)</t>
  </si>
  <si>
    <t>No.4(南)</t>
  </si>
  <si>
    <t>No.5(東)</t>
  </si>
  <si>
    <t>放流水等(Bq/L)</t>
    <phoneticPr fontId="5"/>
  </si>
  <si>
    <t>Cs134の濃度/60+Cs137の濃度/90≦1
(3か月の平均値)</t>
  </si>
  <si>
    <t>月2回</t>
  </si>
  <si>
    <t>試験焼却前
　5月2日</t>
    <phoneticPr fontId="5"/>
  </si>
  <si>
    <t>地下水モニタリング井戸(下流)</t>
  </si>
  <si>
    <t>※分析結果が検出下限値未満であった場合は、「不検出」と表示しています。</t>
  </si>
  <si>
    <t>2018/8/31作成</t>
    <phoneticPr fontId="5"/>
  </si>
  <si>
    <t>農林業系廃棄物試験焼却モニタリング結果一覧表（黒川地域行政事務組合）</t>
    <phoneticPr fontId="5"/>
  </si>
  <si>
    <t>H30.9.3_02cool.pdf にkekka_02_H30.8.16.pdfから一部追加</t>
    <rPh sb="43" eb="45">
      <t>イチブ</t>
    </rPh>
    <rPh sb="45" eb="47">
      <t>ツイカ</t>
    </rPh>
    <phoneticPr fontId="5"/>
  </si>
  <si>
    <t>○基本項日　　　</t>
  </si>
  <si>
    <t>○搬入車両周辺空間線量（μSv/h）</t>
    <rPh sb="5" eb="7">
      <t>シュウヘン</t>
    </rPh>
    <rPh sb="9" eb="11">
      <t>センリョウ</t>
    </rPh>
    <phoneticPr fontId="5"/>
  </si>
  <si>
    <t>平成30年7月19日　　　　農林業系廃棄物試験焼却（第2クール）検証結果　</t>
  </si>
  <si>
    <t xml:space="preserve">
クール数</t>
  </si>
  <si>
    <t xml:space="preserve">
搬入種類</t>
  </si>
  <si>
    <t>搬入亙(kg)</t>
  </si>
  <si>
    <t>搬入期間　6月18日（月）～6月22日（金）　焼却期間　6月19日（火）～6月23日（土）</t>
    <phoneticPr fontId="5"/>
  </si>
  <si>
    <t>第2クール</t>
  </si>
  <si>
    <t>400Bq/kg～
1,000Bq/kg</t>
  </si>
  <si>
    <t>400～1000Bq/kg</t>
  </si>
  <si>
    <t>4,750 kg</t>
  </si>
  <si>
    <t>排ガス中の放射性物質</t>
    <phoneticPr fontId="5"/>
  </si>
  <si>
    <t>単位:Bq/m3</t>
  </si>
  <si>
    <t xml:space="preserve">
○環境管理センター</t>
  </si>
  <si>
    <t xml:space="preserve">
モニタリン
　グ回数</t>
    <phoneticPr fontId="5"/>
  </si>
  <si>
    <t>＊参考</t>
    <phoneticPr fontId="5"/>
  </si>
  <si>
    <t>__試験焼却期間(1週日)</t>
  </si>
  <si>
    <t>5週日</t>
  </si>
  <si>
    <t>単位:Bq/kg</t>
  </si>
  <si>
    <t>←　←　←　←　←　←　←　←　←　←　←　←　←　←　←　←　←　←　←　←　検証期　→　→　→　→　→　→　→　→　→　→　→　→　→　→　→　→　→　→　→　→</t>
    <phoneticPr fontId="5"/>
  </si>
  <si>
    <t xml:space="preserve">法令:8,000 Bq/kg </t>
  </si>
  <si>
    <t>6月20日～24日の混合</t>
    <phoneticPr fontId="5"/>
  </si>
  <si>
    <t>　1,630
(H23.10)</t>
  </si>
  <si>
    <t>空間線量測定(μSV/h)</t>
    <phoneticPr fontId="5"/>
  </si>
  <si>
    <t>5回/週(法定1回/週)</t>
    <phoneticPr fontId="5"/>
  </si>
  <si>
    <t>6月20日～24日の混合</t>
    <phoneticPr fontId="5"/>
  </si>
  <si>
    <t>＊飛灰（ばいじん）：ろ過式集じん器（バグフィルクー）で取れた排ガス中の細かいほこり状の灰　</t>
    <phoneticPr fontId="42"/>
  </si>
  <si>
    <t>搬入路 MP10:00</t>
    <phoneticPr fontId="5"/>
  </si>
  <si>
    <t>＊主灰（焼却灰）：ごみを燃やした後に出る燃えがら</t>
    <phoneticPr fontId="42"/>
  </si>
  <si>
    <t>空間線量（平均値）</t>
    <phoneticPr fontId="5"/>
  </si>
  <si>
    <t>単位:μSv/h</t>
    <phoneticPr fontId="5"/>
  </si>
  <si>
    <t>No.1(南)</t>
    <phoneticPr fontId="5"/>
  </si>
  <si>
    <t>0.23　μSv/h</t>
    <phoneticPr fontId="5"/>
  </si>
  <si>
    <t>6月18日～22日
の平均</t>
    <phoneticPr fontId="5"/>
  </si>
  <si>
    <t xml:space="preserve">
一</t>
    <phoneticPr fontId="5"/>
  </si>
  <si>
    <t>No.2(西)</t>
  </si>
  <si>
    <t>6月19日～23日
の平均</t>
  </si>
  <si>
    <t>0.032～0.048</t>
  </si>
  <si>
    <t>6月19日～22日
の平均</t>
  </si>
  <si>
    <t>焼却灰等の測定
　(Bq/kg)</t>
    <phoneticPr fontId="5"/>
  </si>
  <si>
    <t>　1回/月
　　＋
1回/各ｸｰﾙ</t>
  </si>
  <si>
    <t>飛灰</t>
  </si>
  <si>
    <t>主灰</t>
  </si>
  <si>
    <t>排ガス測定(Bq/ｍ3)</t>
  </si>
  <si>
    <t>Cs134の浪度/20+Cs137の漬度/30≦1
(3か月の平均値)</t>
  </si>
  <si>
    <t>1回/月
　　＋
1回/各ｸｰﾙ</t>
  </si>
  <si>
    <t>7月17日(1号炉10:01～11:312号炉11:37～13:07〉</t>
  </si>
  <si>
    <t>最終処分場等の水の放射性物質　　　　　単位:Bq湧</t>
    <phoneticPr fontId="42"/>
  </si>
  <si>
    <t>○施設外</t>
    <phoneticPr fontId="44"/>
  </si>
  <si>
    <t>最高値</t>
  </si>
  <si>
    <t>空間線量測定(μSV/h)</t>
    <phoneticPr fontId="5"/>
  </si>
  <si>
    <t>焼却施設から
2.5km地点</t>
  </si>
  <si>
    <t>金取北公民館MP13:40</t>
    <phoneticPr fontId="5"/>
  </si>
  <si>
    <t>3.1 Bq/L
(H26.6)</t>
  </si>
  <si>
    <t>八志田公民館
　　13･35</t>
  </si>
  <si>
    <t>赤崩山付近
　14･05</t>
  </si>
  <si>
    <t>吉田小学校
　14･40</t>
  </si>
  <si>
    <t>http://radioactivity.nsr.go.jp/map/ja/</t>
    <phoneticPr fontId="5"/>
  </si>
  <si>
    <t>百目木
14･30</t>
  </si>
  <si>
    <t xml:space="preserve">
5回/週
(法定1回/
　週)</t>
  </si>
  <si>
    <t>搬入路入口</t>
  </si>
  <si>
    <t>No.1(西)</t>
  </si>
  <si>
    <t>放流水等　(Bq/L)</t>
    <phoneticPr fontId="5"/>
  </si>
  <si>
    <t>Cs134の漬度/60+Cs137の漬度/90　≦1
(3か月の平均値)</t>
  </si>
  <si>
    <t xml:space="preserve">
月2回</t>
  </si>
  <si>
    <t>試験焼却前5月2日</t>
    <phoneticPr fontId="5"/>
  </si>
  <si>
    <t>地下水モニタリング井戸(上流〉</t>
  </si>
  <si>
    <t>地下水モニタリング井戸(下流〉</t>
  </si>
  <si>
    <t>2018/8/31作成　　　　　　　農林業系廃棄物試験焼却モニタリング結果―覧表（黒川地域行政事務組合）</t>
    <phoneticPr fontId="5"/>
  </si>
  <si>
    <t>H30.9.3_03cool.pdf にkekka_03.pdfから一部追加</t>
    <rPh sb="34" eb="36">
      <t>イチブ</t>
    </rPh>
    <rPh sb="36" eb="38">
      <t>ツイカ</t>
    </rPh>
    <phoneticPr fontId="5"/>
  </si>
  <si>
    <t>○基本項日　　　　</t>
  </si>
  <si>
    <t>○搬入車両周辺空間線量（μSV/h）</t>
    <phoneticPr fontId="5"/>
  </si>
  <si>
    <t xml:space="preserve">
クール数</t>
    <phoneticPr fontId="5"/>
  </si>
  <si>
    <t>平成30年8月16日　　　農林業系廃棄物試験焼却（第3クール）検証結果</t>
    <phoneticPr fontId="5"/>
  </si>
  <si>
    <t>　下記のとおり検査項日すべて基準値内であることが確詰されましたので報告します。</t>
  </si>
  <si>
    <t>搬入期間　7月23日（月）～7月27日（金）　焼却期間　7月24日（火）～7月28日（土）</t>
    <phoneticPr fontId="5"/>
  </si>
  <si>
    <t>第3クール</t>
  </si>
  <si>
    <t>稲わら</t>
  </si>
  <si>
    <t>1,000～2,000Bq/kg</t>
    <phoneticPr fontId="5"/>
  </si>
  <si>
    <t>1,000～2,000Bq/kg</t>
  </si>
  <si>
    <t>4,630 kg</t>
  </si>
  <si>
    <t>排ガス中の放射性物質</t>
    <phoneticPr fontId="42"/>
  </si>
  <si>
    <t>基準値</t>
    <phoneticPr fontId="5"/>
  </si>
  <si>
    <t>鏝高値</t>
  </si>
  <si>
    <t>5回/週(法定1回/週)</t>
    <phoneticPr fontId="5"/>
  </si>
  <si>
    <t>焼却灰中の放射性物質　　　　　　　　　　　　　　　　　　　　　　　　　　　　　　　　　　　　　　　　　　　　　単位:Bq/kg</t>
  </si>
  <si>
    <t>7月25日～29日の混合</t>
    <phoneticPr fontId="5"/>
  </si>
  <si>
    <t>＊飛灰（ばいじん）：ろ過式集じん器（バグフィルクー）で取れた排ガス中の細かいほこり状の灰</t>
    <phoneticPr fontId="42"/>
  </si>
  <si>
    <t>＊主灰（焼却灰）：ごみを燃やした後に出る燃えがら</t>
  </si>
  <si>
    <t>No.2(酉)</t>
  </si>
  <si>
    <t>空間線量（平均値）</t>
    <phoneticPr fontId="42"/>
  </si>
  <si>
    <t>単位:μSv/h</t>
    <phoneticPr fontId="42"/>
  </si>
  <si>
    <t xml:space="preserve">
0.23　μSV/ h</t>
  </si>
  <si>
    <t>7月23日～27日
の平均</t>
  </si>
  <si>
    <t>7月24日～28日
の平均</t>
    <phoneticPr fontId="5"/>
  </si>
  <si>
    <t>焼却灰等
　の測定
　(Bq/kg)</t>
  </si>
  <si>
    <t>1回/月＋1回/各ｸｰﾙ</t>
    <phoneticPr fontId="5"/>
  </si>
  <si>
    <t>7∽～9ax水～曰.試糾を毎曰採取.5曰分を混合し1柚体として分析）</t>
  </si>
  <si>
    <t>飛灰</t>
    <phoneticPr fontId="5"/>
  </si>
  <si>
    <t>7月24日～27日
の平均</t>
    <phoneticPr fontId="5"/>
  </si>
  <si>
    <t>主灰</t>
    <phoneticPr fontId="5"/>
  </si>
  <si>
    <t>排ガス測定　(Bq/・)</t>
    <phoneticPr fontId="5"/>
  </si>
  <si>
    <t>Cs134の濃度/20+Cs137の濃度/30　≦1
(3か月の平均値)</t>
    <phoneticPr fontId="5"/>
  </si>
  <si>
    <t>8月16日(1号炉10:15～11:45 2号炉11:55～13:25)</t>
    <phoneticPr fontId="5"/>
  </si>
  <si>
    <t>最終処分場等の水の放射性物質　　　単位:Bq湧</t>
    <phoneticPr fontId="42"/>
  </si>
  <si>
    <t>焼却施設から2.5km地点</t>
    <phoneticPr fontId="5"/>
  </si>
  <si>
    <t>八志田公民館　13:35</t>
    <phoneticPr fontId="5"/>
  </si>
  <si>
    <t>赤崩山付近
　14:05</t>
  </si>
  <si>
    <t xml:space="preserve">
7月27日</t>
  </si>
  <si>
    <t>百目木
14:30</t>
  </si>
  <si>
    <t>http://radioactivity.nsr･go.jp/map/jp/</t>
    <phoneticPr fontId="5"/>
  </si>
  <si>
    <t>モニタリン
　グ回数</t>
    <phoneticPr fontId="5"/>
  </si>
  <si>
    <t>搬入路MP11:(X)</t>
  </si>
  <si>
    <t>0.9 Bq/L (係数0.01)</t>
    <rPh sb="10" eb="12">
      <t>ケイスウ</t>
    </rPh>
    <phoneticPr fontId="5"/>
  </si>
  <si>
    <t>No.2(北〉</t>
  </si>
  <si>
    <t>Cs134の濃度/60+Cs137の濃度/90　≦1
(3か月の平均値)</t>
    <phoneticPr fontId="5"/>
  </si>
  <si>
    <t>月2回</t>
    <phoneticPr fontId="5"/>
  </si>
  <si>
    <t>試験焼却前
　5月2日</t>
  </si>
  <si>
    <t>2018/10/1作成　　農林業系廃棄物試験焼却モニタリング結果―覧表（黒川地域行政事務組合</t>
    <phoneticPr fontId="5"/>
  </si>
  <si>
    <t>平成30年9月13日　　　　　　農林業系廃棄物試験焼却（第4クール）検証結果</t>
  </si>
  <si>
    <t>　　下記のとおり検査項日すべて基準値内であることが確詰されましたので報告します。</t>
  </si>
  <si>
    <t>搬入期間　8月20日（月）～8月22日（水）　焼却期間　8月21日（火）～8月23日（木）</t>
    <phoneticPr fontId="5"/>
  </si>
  <si>
    <t>第4クール</t>
  </si>
  <si>
    <t>400Bq/kg以下</t>
    <phoneticPr fontId="5"/>
  </si>
  <si>
    <t>＊大和町･牧草･400Bq/kg以下の保管分の焼却が完了したため搬入期間を3日間とする。</t>
  </si>
  <si>
    <t>2,430 kg</t>
  </si>
  <si>
    <t>○環境管理センター</t>
  </si>
  <si>
    <t>単位:Bq/・</t>
  </si>
  <si>
    <t xml:space="preserve">
基準値</t>
    <phoneticPr fontId="5"/>
  </si>
  <si>
    <t>←　←　　混焼期　→　→</t>
    <phoneticPr fontId="5"/>
  </si>
  <si>
    <t>←　←　←　←　</t>
    <phoneticPr fontId="5"/>
  </si>
  <si>
    <t>空間線量
　測定
(μSV/h)</t>
    <phoneticPr fontId="5"/>
  </si>
  <si>
    <t>8月22日～24日の混合</t>
    <phoneticPr fontId="5"/>
  </si>
  <si>
    <t>搬入路MP10:(X)</t>
  </si>
  <si>
    <t>8月20日～22日
の平均</t>
    <phoneticPr fontId="5"/>
  </si>
  <si>
    <t>8月21日～23日
の平均</t>
    <phoneticPr fontId="5"/>
  </si>
  <si>
    <t>焼却灰等の測定(Bq/kg)</t>
    <phoneticPr fontId="5"/>
  </si>
  <si>
    <t>7:00～9:00水～日，試料を毎日採取，5日分を混合し1検体として分析）</t>
    <rPh sb="13" eb="15">
      <t>シリョウ</t>
    </rPh>
    <rPh sb="18" eb="20">
      <t>サイシュ</t>
    </rPh>
    <phoneticPr fontId="5"/>
  </si>
  <si>
    <t>最終処分場埋立地</t>
  </si>
  <si>
    <t>排ガス測定(Bq/m3)</t>
    <phoneticPr fontId="5"/>
  </si>
  <si>
    <t>9月14日(1号炉10:05～11:35 2号炉11:45～13:15)</t>
  </si>
  <si>
    <t xml:space="preserve">
○施設外</t>
    <phoneticPr fontId="44"/>
  </si>
  <si>
    <t>最終処分場等の水の放射性物質</t>
    <phoneticPr fontId="42"/>
  </si>
  <si>
    <t>単位:Bq/L</t>
    <phoneticPr fontId="5"/>
  </si>
  <si>
    <t>焼却施設から
2.5km地点</t>
    <phoneticPr fontId="5"/>
  </si>
  <si>
    <t>金取北公民館MP
　　13･40</t>
  </si>
  <si>
    <t>地下水モニクリング井戸（下流）</t>
  </si>
  <si>
    <t>八志田公民館
　　13:35</t>
  </si>
  <si>
    <t>http://radioactivity.nsr･go.jp/map/ja/</t>
    <phoneticPr fontId="5"/>
  </si>
  <si>
    <t>2018/10/30作成　　農林業系廃棄物試験焼却モニタリング結果一覧表（黒川地域行政事務組合）</t>
    <phoneticPr fontId="5"/>
  </si>
  <si>
    <t>H30.9.6_01cool.pdf にkekka_01_H30.8.16.pdfから一部追加</t>
    <rPh sb="43" eb="45">
      <t>イチブ</t>
    </rPh>
    <rPh sb="45" eb="47">
      <t>ツイカ</t>
    </rPh>
    <phoneticPr fontId="5"/>
  </si>
  <si>
    <t>平成30年10月15日　　　　　農林業系廃棄物試験焼却（第5クール）検証結果</t>
  </si>
  <si>
    <t>○搬入車両周辺空間線量（μSv/h）</t>
    <phoneticPr fontId="5"/>
  </si>
  <si>
    <t>クール数</t>
    <phoneticPr fontId="5"/>
  </si>
  <si>
    <t>搬入量(kg〉</t>
  </si>
  <si>
    <t>搬入期間　9月17日（月）～9月21日（金）　焼却期間　9月18日（火）～9月22日（土）</t>
    <phoneticPr fontId="5"/>
  </si>
  <si>
    <t>第5クール</t>
  </si>
  <si>
    <t>400Bq/kg～1,000Bq/kg</t>
  </si>
  <si>
    <t>400～1,000Bq/kg</t>
    <phoneticPr fontId="5"/>
  </si>
  <si>
    <t>3,870 kg</t>
    <phoneticPr fontId="5"/>
  </si>
  <si>
    <t>9月19日～23日の混合</t>
    <phoneticPr fontId="5"/>
  </si>
  <si>
    <t>N司)(南)</t>
  </si>
  <si>
    <t>単位:μSv/h</t>
    <phoneticPr fontId="5"/>
  </si>
  <si>
    <t>0.23　μSv/h</t>
    <phoneticPr fontId="5"/>
  </si>
  <si>
    <t>9月17日～21日
の平均</t>
  </si>
  <si>
    <t>9月18日～22日
の平均</t>
    <phoneticPr fontId="5"/>
  </si>
  <si>
    <t>10月16日(飛灰)10月20日(主灰)</t>
  </si>
  <si>
    <t>9月18日～21日
の平均</t>
    <phoneticPr fontId="5"/>
  </si>
  <si>
    <t>Cs134の浪度/20+Cs137の漬度/30≦1(3か月の平均値)</t>
    <phoneticPr fontId="5"/>
  </si>
  <si>
    <t>10月16日(2号炉10:45～12:15)10月20日(1号炉10:40～12:10)</t>
  </si>
  <si>
    <t>測定場所時間</t>
  </si>
  <si>
    <t>金取北公民霖MP13:40</t>
  </si>
  <si>
    <t>八忠田公民霖13:35</t>
  </si>
  <si>
    <t>赤崩山付近14:05</t>
    <rPh sb="0" eb="1">
      <t>アカ</t>
    </rPh>
    <phoneticPr fontId="5"/>
  </si>
  <si>
    <t>0.(X37</t>
  </si>
  <si>
    <t>南川ダム14:15</t>
  </si>
  <si>
    <t>0.(X38</t>
  </si>
  <si>
    <t>密集地</t>
  </si>
  <si>
    <t>吉田小学校 14:40</t>
    <rPh sb="0" eb="2">
      <t>ヨシダ</t>
    </rPh>
    <rPh sb="2" eb="5">
      <t>ショウガッコウ</t>
    </rPh>
    <phoneticPr fontId="5"/>
  </si>
  <si>
    <t>百目木14:30</t>
  </si>
  <si>
    <t>0.8 Bq/L (係数0.01)</t>
    <rPh sb="10" eb="12">
      <t>ケイスウ</t>
    </rPh>
    <phoneticPr fontId="5"/>
  </si>
  <si>
    <t>Cs134の漬度/60+Cs137の漬度/90≦1(3か月の平均値)</t>
    <phoneticPr fontId="5"/>
  </si>
  <si>
    <t>試験焼却前Ｒ日ク同</t>
  </si>
  <si>
    <t>2018/11/30作成　　　　　　　　　農林業系廃棄物試験焼却モニタリング結果一覧表（黒川地域行政事務組合）</t>
    <phoneticPr fontId="5"/>
  </si>
  <si>
    <t xml:space="preserve">
測定日</t>
  </si>
  <si>
    <t>平成30年11月27日　　　　　農林業系廃棄物試験焼却（第6クール）検証結果</t>
  </si>
  <si>
    <t>搬入期間　10月22日（月）～10月26日（金）　焼却期間　10月23日（火）～10月27日（土）</t>
  </si>
  <si>
    <t>第6クール</t>
    <phoneticPr fontId="5"/>
  </si>
  <si>
    <t xml:space="preserve">
大郷町</t>
  </si>
  <si>
    <t xml:space="preserve">
稲わら</t>
  </si>
  <si>
    <t xml:space="preserve">
1,α幻Bq/kg～
2,000Bq/kg</t>
  </si>
  <si>
    <t>第6クール</t>
  </si>
  <si>
    <t>1,000Bq/kg～
2,000Bq/kg</t>
  </si>
  <si>
    <t xml:space="preserve">
4,770 kg</t>
  </si>
  <si>
    <t xml:space="preserve">
基準値</t>
    <phoneticPr fontId="5"/>
  </si>
  <si>
    <t>測定項日</t>
    <phoneticPr fontId="5"/>
  </si>
  <si>
    <t>10月24日～28日の混合</t>
    <phoneticPr fontId="5"/>
  </si>
  <si>
    <t>1,630(H23.10)</t>
    <phoneticPr fontId="5"/>
  </si>
  <si>
    <t>10月22日～
26日の平均</t>
  </si>
  <si>
    <t>No4(東)</t>
  </si>
  <si>
    <t>環境管理センクー境界</t>
  </si>
  <si>
    <t>10月23日～
27日の平均</t>
  </si>
  <si>
    <t>採取時開</t>
  </si>
  <si>
    <t>8:00～9:00水～日，試料を毎日採取，5日分を混合し1検体として分析）</t>
    <rPh sb="13" eb="15">
      <t>シリョウ</t>
    </rPh>
    <rPh sb="18" eb="20">
      <t>サイシュ</t>
    </rPh>
    <phoneticPr fontId="5"/>
  </si>
  <si>
    <t xml:space="preserve">
10月23日～
26日の平均</t>
  </si>
  <si>
    <t>Cs134の浪度/20
+Cs137の漬度/30
　　　≦1
(3か月の平均値)</t>
    <phoneticPr fontId="5"/>
  </si>
  <si>
    <t>11月20日(1号炉10:27～11:58 2号炉12:03～13:33〉</t>
    <phoneticPr fontId="5"/>
  </si>
  <si>
    <t xml:space="preserve">
○施設外</t>
    <phoneticPr fontId="44"/>
  </si>
  <si>
    <t>金取北公民館 MP　13:40</t>
    <rPh sb="5" eb="6">
      <t>カン</t>
    </rPh>
    <phoneticPr fontId="5"/>
  </si>
  <si>
    <t>八忠田公民館　13:35</t>
    <rPh sb="5" eb="6">
      <t>カン</t>
    </rPh>
    <phoneticPr fontId="5"/>
  </si>
  <si>
    <t>赤崩山付近　14･05</t>
    <phoneticPr fontId="5"/>
  </si>
  <si>
    <t>南川ダム　14:15</t>
    <rPh sb="0" eb="2">
      <t>ミナミカワ</t>
    </rPh>
    <phoneticPr fontId="5"/>
  </si>
  <si>
    <t>吉田小学校　14:40</t>
    <rPh sb="0" eb="2">
      <t>ヨシダ</t>
    </rPh>
    <rPh sb="2" eb="5">
      <t>ショウガッコウ</t>
    </rPh>
    <phoneticPr fontId="5"/>
  </si>
  <si>
    <t>搬入路入口</t>
    <phoneticPr fontId="5"/>
  </si>
  <si>
    <t>No.1(西)</t>
    <phoneticPr fontId="5"/>
  </si>
  <si>
    <t>No4(南)</t>
  </si>
  <si>
    <t>Cs134の漬度/60+Cs137の漬度/90　≦1
(3か月の平均値)</t>
    <phoneticPr fontId="5"/>
  </si>
  <si>
    <t>試験焼却前
　Ｒ日ク同</t>
  </si>
  <si>
    <t>2019/3/29作成　　　　　　農林業系廃棄物試験焼却後のモニタリング結果一覧表（黒川地域行政事務組合）</t>
    <phoneticPr fontId="5"/>
  </si>
  <si>
    <t>☆試験焼却後の空間線量測定と焼却灰､排ガス及び放流水等の放射能濃度についてお知らせします。</t>
    <phoneticPr fontId="44"/>
  </si>
  <si>
    <t>○環境管理ｾﾝﾀｰ</t>
  </si>
  <si>
    <t>基準値</t>
    <phoneticPr fontId="44"/>
  </si>
  <si>
    <t>モニタリング回数</t>
    <phoneticPr fontId="44"/>
  </si>
  <si>
    <t>測定項目</t>
    <phoneticPr fontId="44"/>
  </si>
  <si>
    <t>　＊参考 試験焼却前データ</t>
    <phoneticPr fontId="44"/>
  </si>
  <si>
    <t>測定結果</t>
    <phoneticPr fontId="44"/>
  </si>
  <si>
    <t>1回/週</t>
    <phoneticPr fontId="5"/>
  </si>
  <si>
    <t>5月14日</t>
  </si>
  <si>
    <t>11月26日</t>
  </si>
  <si>
    <t>11月29日</t>
  </si>
  <si>
    <t>12月3日</t>
  </si>
  <si>
    <t>12月6日</t>
  </si>
  <si>
    <t>12月10日</t>
  </si>
  <si>
    <t>12月13日</t>
  </si>
  <si>
    <t>12月17日</t>
  </si>
  <si>
    <t>12月20日</t>
  </si>
  <si>
    <t>12月24日</t>
  </si>
  <si>
    <t>12月27日</t>
  </si>
  <si>
    <t>1月10日</t>
  </si>
  <si>
    <t>1月17日</t>
  </si>
  <si>
    <t>1月24日</t>
  </si>
  <si>
    <t>1月31日</t>
  </si>
  <si>
    <t>2月7日</t>
  </si>
  <si>
    <t>2月14日</t>
  </si>
  <si>
    <t>2月21日</t>
  </si>
  <si>
    <t>2月28日</t>
  </si>
  <si>
    <t>3月7日</t>
  </si>
  <si>
    <t>3月14日</t>
  </si>
  <si>
    <t>3月22日</t>
  </si>
  <si>
    <t>3月28日</t>
  </si>
  <si>
    <t>搬入路MP10:00</t>
    <phoneticPr fontId="44"/>
  </si>
  <si>
    <t>No.3(北)</t>
    <rPh sb="5" eb="6">
      <t>キタ</t>
    </rPh>
    <phoneticPr fontId="5"/>
  </si>
  <si>
    <t>No.4(東)</t>
    <rPh sb="5" eb="6">
      <t>ヒガシ</t>
    </rPh>
    <phoneticPr fontId="5"/>
  </si>
  <si>
    <t>焼却灰等の測定(Bq/kg)</t>
    <phoneticPr fontId="5"/>
  </si>
  <si>
    <t>1,198Bq/㎏</t>
    <phoneticPr fontId="44"/>
  </si>
  <si>
    <t>1回/月</t>
    <phoneticPr fontId="5"/>
  </si>
  <si>
    <t>4月19日</t>
  </si>
  <si>
    <t>2月19日</t>
  </si>
  <si>
    <t>3月19日</t>
  </si>
  <si>
    <t>排ガス測定(Bq/m3)</t>
    <phoneticPr fontId="5"/>
  </si>
  <si>
    <t>Cs134の浪度/20
+Cs137の漬度/30
　　　≦1
(3か月の平均値)</t>
    <phoneticPr fontId="5"/>
  </si>
  <si>
    <t>4月20日</t>
  </si>
  <si>
    <t>12月21日</t>
  </si>
  <si>
    <t>1月16日</t>
  </si>
  <si>
    <t>2月13日</t>
  </si>
  <si>
    <t>3/18･25</t>
  </si>
  <si>
    <t>１号炉</t>
  </si>
  <si>
    <t>２号炉</t>
  </si>
  <si>
    <t xml:space="preserve">
○施設外</t>
  </si>
  <si>
    <t>5月18日</t>
  </si>
  <si>
    <t>焼却施設から2.5km地点</t>
    <phoneticPr fontId="5"/>
  </si>
  <si>
    <t>金取北公民館　MP</t>
    <phoneticPr fontId="44"/>
  </si>
  <si>
    <t>八志田公民館 13･35</t>
    <phoneticPr fontId="44"/>
  </si>
  <si>
    <t>南川ダム
　14･15</t>
  </si>
  <si>
    <t xml:space="preserve">
○最終処分場</t>
  </si>
  <si>
    <t>モニタリン
　グ回数</t>
    <phoneticPr fontId="5"/>
  </si>
  <si>
    <t>測定項目</t>
  </si>
  <si>
    <t>1回/週</t>
    <phoneticPr fontId="5"/>
  </si>
  <si>
    <t>搬入路入口</t>
    <phoneticPr fontId="5"/>
  </si>
  <si>
    <t>No1(西)</t>
    <phoneticPr fontId="5"/>
  </si>
  <si>
    <t>放流水等(Bq/L)</t>
    <phoneticPr fontId="5"/>
  </si>
  <si>
    <t>Cs134の漬度/60+Cs137の漬度/90　≦1
(3か月の平均値)</t>
    <phoneticPr fontId="5"/>
  </si>
  <si>
    <t>月１回</t>
    <phoneticPr fontId="5"/>
  </si>
  <si>
    <t>訊顧琲潤』荊
　５月２日</t>
  </si>
  <si>
    <t>12月5日</t>
  </si>
  <si>
    <t>1月7日</t>
  </si>
  <si>
    <t>2月5日</t>
  </si>
  <si>
    <t>3月5日</t>
  </si>
  <si>
    <t>最高値</t>
    <phoneticPr fontId="5"/>
  </si>
  <si>
    <t>3.1 Bq/L(H26.6)</t>
    <phoneticPr fontId="5"/>
  </si>
  <si>
    <t>400Bq/kg以下→300とする</t>
    <phoneticPr fontId="5"/>
  </si>
  <si>
    <t>kg</t>
    <phoneticPr fontId="5"/>
  </si>
  <si>
    <t>基準値(上乗せ自主基準)</t>
    <rPh sb="4" eb="6">
      <t>ウワノ</t>
    </rPh>
    <rPh sb="7" eb="9">
      <t>ジシュ</t>
    </rPh>
    <rPh sb="9" eb="11">
      <t>キジュン</t>
    </rPh>
    <phoneticPr fontId="8"/>
  </si>
  <si>
    <t>焼却灰等の測定(Bq/kg)</t>
    <phoneticPr fontId="8"/>
  </si>
  <si>
    <t>飛灰(ばいじん)</t>
  </si>
  <si>
    <t>5/25は4時間吸引､6/18は(1号炉9:37～11:07 2号炉11:10～12:40)</t>
    <phoneticPr fontId="5"/>
  </si>
  <si>
    <t>放流水等(Bq/L)</t>
  </si>
  <si>
    <t>試験焼却前　</t>
    <phoneticPr fontId="8"/>
  </si>
  <si>
    <t>最高値</t>
    <rPh sb="0" eb="2">
      <t>サイコウ</t>
    </rPh>
    <rPh sb="2" eb="3">
      <t>チ</t>
    </rPh>
    <phoneticPr fontId="5"/>
  </si>
  <si>
    <t>Cs134の濃度/60+Cs137の濃度/90≦1　(3か月の平均値)</t>
    <phoneticPr fontId="8"/>
  </si>
  <si>
    <t>地下水の最高値3.1 Bq/L(H26.6)→h26.6.15とする</t>
    <rPh sb="0" eb="3">
      <t>チカスイ</t>
    </rPh>
    <rPh sb="4" eb="6">
      <t>サイコウ</t>
    </rPh>
    <rPh sb="6" eb="7">
      <t>チ</t>
    </rPh>
    <phoneticPr fontId="5"/>
  </si>
  <si>
    <t>地下水の最高値3.1</t>
    <phoneticPr fontId="5"/>
  </si>
  <si>
    <t>400Bq/kg～1,000Bq/kg→700とする</t>
    <phoneticPr fontId="5"/>
  </si>
  <si>
    <t>kg</t>
    <phoneticPr fontId="5"/>
  </si>
  <si>
    <t>焼却灰等の測定　(Bq/kg)</t>
    <phoneticPr fontId="8"/>
  </si>
  <si>
    <t>主灰</t>
    <phoneticPr fontId="5"/>
  </si>
  <si>
    <t>6/18は4時間吸引,7/17は(1号炉10:01～11:312号炉11:37～13:07〉</t>
    <phoneticPr fontId="5"/>
  </si>
  <si>
    <t>放流水等　(Bq/L)</t>
  </si>
  <si>
    <t>試験焼却前</t>
    <phoneticPr fontId="8"/>
  </si>
  <si>
    <t>Cs134の濃度/60+Cs137の濃度/90≦1　(3か月の平均値)</t>
    <phoneticPr fontId="8"/>
  </si>
  <si>
    <t>地下水の最高値3.1</t>
    <phoneticPr fontId="5"/>
  </si>
  <si>
    <t>1,000～2,000Bq/kg→1500とする</t>
    <phoneticPr fontId="5"/>
  </si>
  <si>
    <t>焼却灰等の測定(Bq/kg)</t>
    <phoneticPr fontId="8"/>
  </si>
  <si>
    <t>8:00～9:00水～日､試料を毎日採取､5日分を混合し1検体として分析）</t>
    <rPh sb="11" eb="12">
      <t>ニチ</t>
    </rPh>
    <rPh sb="13" eb="15">
      <t>シリョウ</t>
    </rPh>
    <rPh sb="29" eb="31">
      <t>ケンタイ</t>
    </rPh>
    <phoneticPr fontId="5"/>
  </si>
  <si>
    <t>飛灰</t>
    <phoneticPr fontId="5"/>
  </si>
  <si>
    <t>7/27は4時間吸引､8/16は(1号炉10:15～11:45 2号炉11:55～13:25)</t>
    <phoneticPr fontId="5"/>
  </si>
  <si>
    <t>放流水等(Bq/L)</t>
    <phoneticPr fontId="5"/>
  </si>
  <si>
    <t>400Bq/kg以下</t>
    <phoneticPr fontId="5"/>
  </si>
  <si>
    <t>400Bq/kg以下→300とする</t>
    <phoneticPr fontId="5"/>
  </si>
  <si>
    <t>8:00～9:00水～金､試料を毎日採取､3日分を混合し1検体として分析）</t>
    <rPh sb="11" eb="12">
      <t>キン</t>
    </rPh>
    <rPh sb="13" eb="15">
      <t>シリョウ</t>
    </rPh>
    <rPh sb="29" eb="31">
      <t>ケンタイ</t>
    </rPh>
    <phoneticPr fontId="5"/>
  </si>
  <si>
    <t>排ガス測定(Bq/m3)</t>
    <phoneticPr fontId="5"/>
  </si>
  <si>
    <t>8/23は4時間吸引､9/14は(1号炉10:05～11:35 2号炉11:45～13:15)</t>
    <phoneticPr fontId="5"/>
  </si>
  <si>
    <t>400Bq/kg～1,000Bq/kg</t>
    <phoneticPr fontId="5"/>
  </si>
  <si>
    <t>400Bq/kg～1,000Bq/kg→700とする</t>
    <phoneticPr fontId="5"/>
  </si>
  <si>
    <t>8:00～9:00水～日､試料を毎日採取､5日分を混合し1検体として分析）</t>
    <phoneticPr fontId="5"/>
  </si>
  <si>
    <t>飛灰</t>
    <phoneticPr fontId="5"/>
  </si>
  <si>
    <t>主灰</t>
    <phoneticPr fontId="5"/>
  </si>
  <si>
    <t>排ガス測定(Bq/m3)</t>
    <phoneticPr fontId="5"/>
  </si>
  <si>
    <t>10/20はは4時間吸引(1号炉10:40～12:10)</t>
    <phoneticPr fontId="5"/>
  </si>
  <si>
    <t>10/16は4時間吸引(2号炉10:45～12:15)</t>
    <phoneticPr fontId="5"/>
  </si>
  <si>
    <t>放流水等(Bq/L)</t>
    <phoneticPr fontId="5"/>
  </si>
  <si>
    <t>試験焼却前</t>
    <phoneticPr fontId="8"/>
  </si>
  <si>
    <t>Ｒ日ク同</t>
  </si>
  <si>
    <t>第6クール</t>
    <phoneticPr fontId="5"/>
  </si>
  <si>
    <t>1,000Bq/kg～2,000Bq/kg</t>
    <phoneticPr fontId="5"/>
  </si>
  <si>
    <t>1,000Bq/kg～2,000Bq/kg→1500とする</t>
    <phoneticPr fontId="5"/>
  </si>
  <si>
    <t>10/26は4時間吸引､11/20は(1号炉10:27～11:58 2号炉12:03～13:33〉</t>
    <phoneticPr fontId="5"/>
  </si>
  <si>
    <t>試験焼却後</t>
    <phoneticPr fontId="5"/>
  </si>
  <si>
    <t>不検出</t>
    <phoneticPr fontId="5"/>
  </si>
  <si>
    <t>地下水の最高値3.1</t>
    <phoneticPr fontId="5"/>
  </si>
  <si>
    <t>Bq/kg</t>
    <phoneticPr fontId="8"/>
  </si>
  <si>
    <t>第1クール大和町/牧草400Bq/kg以下</t>
  </si>
  <si>
    <t>201/6/18</t>
    <phoneticPr fontId="8"/>
  </si>
  <si>
    <t>排ガス1号炉</t>
    <phoneticPr fontId="8"/>
  </si>
  <si>
    <t>排ガス2号炉</t>
    <phoneticPr fontId="8"/>
  </si>
  <si>
    <t>最終処分場井戸(上流)</t>
  </si>
  <si>
    <t>最終処分場井戸(下流)</t>
  </si>
  <si>
    <t>第2クール大衡村/牧草400Bq/kg～
1,000Bq/kg</t>
  </si>
  <si>
    <t>第3クール大郷町/稲わら1,000～2,000Bq/kg</t>
  </si>
  <si>
    <t>第4クール大和町/牧草400Bq/kg以下</t>
  </si>
  <si>
    <t>第5クール大衡村/牧草400Bq/kg～1,000Bq/kg</t>
  </si>
  <si>
    <t>第6クール
大郷町/
稲わら1,α幻Bq/kg～2,000Bq/kg</t>
  </si>
  <si>
    <t>牧草･稲わら</t>
    <rPh sb="0" eb="2">
      <t>ボクソウ</t>
    </rPh>
    <rPh sb="3" eb="4">
      <t>イナ</t>
    </rPh>
    <phoneticPr fontId="8"/>
  </si>
  <si>
    <t>通常レベル</t>
    <rPh sb="0" eb="2">
      <t>ツウジョウ</t>
    </rPh>
    <phoneticPr fontId="8"/>
  </si>
  <si>
    <t>試験焼却後/</t>
  </si>
  <si>
    <t>不検出</t>
    <phoneticPr fontId="5"/>
  </si>
  <si>
    <t>80(40tx2炉)</t>
  </si>
  <si>
    <t>汚染廃棄物焼却残渣中の放射性物質濃度などの推移</t>
    <rPh sb="0" eb="2">
      <t>オセン</t>
    </rPh>
    <rPh sb="2" eb="5">
      <t>ハイキブツ</t>
    </rPh>
    <rPh sb="5" eb="7">
      <t>ショウキャク</t>
    </rPh>
    <rPh sb="7" eb="9">
      <t>ザンサ</t>
    </rPh>
    <rPh sb="9" eb="10">
      <t>チュウ</t>
    </rPh>
    <rPh sb="11" eb="14">
      <t>ホウシャセイ</t>
    </rPh>
    <rPh sb="14" eb="16">
      <t>ブッシツ</t>
    </rPh>
    <rPh sb="16" eb="18">
      <t>ノウド</t>
    </rPh>
    <rPh sb="21" eb="23">
      <t>スイイ</t>
    </rPh>
    <phoneticPr fontId="14"/>
  </si>
  <si>
    <t>(黒川地域行政事務組合 環境管理センター 平成30年度）</t>
    <phoneticPr fontId="8"/>
  </si>
  <si>
    <t>http://www.kurogyou.jp/kankyou/kanri/index.html</t>
    <phoneticPr fontId="8"/>
  </si>
  <si>
    <t>※ 中間処理後の焼却を含む</t>
    <rPh sb="2" eb="4">
      <t>チュウカン</t>
    </rPh>
    <rPh sb="4" eb="6">
      <t>ショリ</t>
    </rPh>
    <rPh sb="6" eb="7">
      <t>ゴ</t>
    </rPh>
    <rPh sb="8" eb="10">
      <t>ショウキャク</t>
    </rPh>
    <rPh sb="11" eb="12">
      <t>フク</t>
    </rPh>
    <phoneticPr fontId="8"/>
  </si>
  <si>
    <t>年月日</t>
    <rPh sb="0" eb="3">
      <t>ネンガッピ</t>
    </rPh>
    <phoneticPr fontId="8"/>
  </si>
  <si>
    <t>牧草焼却量(kg)</t>
    <phoneticPr fontId="14"/>
  </si>
  <si>
    <t>牧草(Bq/kg)</t>
    <phoneticPr fontId="14"/>
  </si>
  <si>
    <t>稲わら焼却量(kg)</t>
    <rPh sb="0" eb="1">
      <t>イナ</t>
    </rPh>
    <rPh sb="3" eb="6">
      <t>ショウキャクリョウ</t>
    </rPh>
    <phoneticPr fontId="14"/>
  </si>
  <si>
    <t>稲わら(Bq/kg)</t>
    <phoneticPr fontId="14"/>
  </si>
  <si>
    <t>飛灰(ばいじん)(Bq/kg)</t>
    <rPh sb="0" eb="2">
      <t>ヒバイ</t>
    </rPh>
    <phoneticPr fontId="14"/>
  </si>
  <si>
    <t>主灰(焼却灰)(Bq/kg)</t>
    <rPh sb="0" eb="1">
      <t>オモ</t>
    </rPh>
    <rPh sb="1" eb="2">
      <t>ハイ</t>
    </rPh>
    <rPh sb="3" eb="5">
      <t>ショウキャク</t>
    </rPh>
    <rPh sb="5" eb="6">
      <t>バイ</t>
    </rPh>
    <phoneticPr fontId="14"/>
  </si>
  <si>
    <t>最終処分場処理水貯留槽(Bq/L)</t>
    <rPh sb="0" eb="5">
      <t>サイシュウショブンジョウ</t>
    </rPh>
    <rPh sb="5" eb="7">
      <t>ショリ</t>
    </rPh>
    <rPh sb="7" eb="8">
      <t>スイ</t>
    </rPh>
    <rPh sb="8" eb="11">
      <t>チョリュウソウ</t>
    </rPh>
    <phoneticPr fontId="14"/>
  </si>
  <si>
    <t>空間線量(環境管理センター搬入路MP)</t>
    <rPh sb="0" eb="2">
      <t>クウカン</t>
    </rPh>
    <rPh sb="2" eb="4">
      <t>センリョウ</t>
    </rPh>
    <rPh sb="5" eb="7">
      <t>カンキョウ</t>
    </rPh>
    <rPh sb="7" eb="9">
      <t>カンリ</t>
    </rPh>
    <rPh sb="13" eb="15">
      <t>ハンニュウ</t>
    </rPh>
    <rPh sb="15" eb="16">
      <t>ロ</t>
    </rPh>
    <phoneticPr fontId="8"/>
  </si>
  <si>
    <t>空間線量(環境管理センター敷地境界)</t>
    <rPh sb="0" eb="2">
      <t>クウカン</t>
    </rPh>
    <rPh sb="2" eb="4">
      <t>センリョウ</t>
    </rPh>
    <rPh sb="5" eb="7">
      <t>カンキョウ</t>
    </rPh>
    <rPh sb="7" eb="9">
      <t>カンリ</t>
    </rPh>
    <rPh sb="13" eb="15">
      <t>シキチ</t>
    </rPh>
    <rPh sb="15" eb="17">
      <t>キョウカイ</t>
    </rPh>
    <phoneticPr fontId="8"/>
  </si>
  <si>
    <t>空間線量(吉田小学校)</t>
    <rPh sb="0" eb="2">
      <t>クウカン</t>
    </rPh>
    <rPh sb="2" eb="4">
      <t>センリョウ</t>
    </rPh>
    <rPh sb="5" eb="7">
      <t>ヨシダ</t>
    </rPh>
    <rPh sb="7" eb="10">
      <t>ショウガッコウ</t>
    </rPh>
    <phoneticPr fontId="8"/>
  </si>
  <si>
    <t>空間線量(最終処分場搬入路MP)</t>
    <rPh sb="0" eb="2">
      <t>クウカン</t>
    </rPh>
    <rPh sb="2" eb="4">
      <t>センリョウ</t>
    </rPh>
    <rPh sb="5" eb="7">
      <t>サイシュウ</t>
    </rPh>
    <rPh sb="7" eb="10">
      <t>ショブンジョウ</t>
    </rPh>
    <rPh sb="10" eb="12">
      <t>ハンニュウ</t>
    </rPh>
    <rPh sb="12" eb="13">
      <t>ロ</t>
    </rPh>
    <phoneticPr fontId="8"/>
  </si>
  <si>
    <t>備考</t>
    <rPh sb="0" eb="2">
      <t>ビコウ</t>
    </rPh>
    <phoneticPr fontId="14"/>
  </si>
  <si>
    <t>市町村コード</t>
    <rPh sb="0" eb="3">
      <t>シチョウソン</t>
    </rPh>
    <phoneticPr fontId="5"/>
  </si>
  <si>
    <t>市町村</t>
    <rPh sb="0" eb="3">
      <t>シチョウソン</t>
    </rPh>
    <phoneticPr fontId="5"/>
  </si>
  <si>
    <t>総人口
A</t>
    <rPh sb="0" eb="3">
      <t>ソウジンコウ</t>
    </rPh>
    <phoneticPr fontId="5"/>
  </si>
  <si>
    <t>計画収集人口
Ｂ</t>
    <rPh sb="0" eb="2">
      <t>ケイカク</t>
    </rPh>
    <rPh sb="2" eb="4">
      <t>シュウシュウ</t>
    </rPh>
    <rPh sb="4" eb="6">
      <t>ジンコウ</t>
    </rPh>
    <phoneticPr fontId="5"/>
  </si>
  <si>
    <r>
      <t xml:space="preserve">ごみ総排出量  </t>
    </r>
    <r>
      <rPr>
        <sz val="7"/>
        <rFont val="Meiryo UI"/>
        <family val="3"/>
        <charset val="128"/>
      </rPr>
      <t>C=D+直接搬入量+E</t>
    </r>
    <rPh sb="2" eb="3">
      <t>ソウ</t>
    </rPh>
    <rPh sb="3" eb="5">
      <t>ハイシュツ</t>
    </rPh>
    <rPh sb="5" eb="6">
      <t>リョウ</t>
    </rPh>
    <rPh sb="12" eb="14">
      <t>チョクセツ</t>
    </rPh>
    <rPh sb="14" eb="16">
      <t>ハンニュウ</t>
    </rPh>
    <rPh sb="16" eb="17">
      <t>リョウ</t>
    </rPh>
    <phoneticPr fontId="5"/>
  </si>
  <si>
    <t>計画収集量  D</t>
    <rPh sb="0" eb="2">
      <t>ケイカク</t>
    </rPh>
    <rPh sb="2" eb="4">
      <t>シュウシュウ</t>
    </rPh>
    <rPh sb="4" eb="5">
      <t>リョウ</t>
    </rPh>
    <phoneticPr fontId="5"/>
  </si>
  <si>
    <t>自家処理量  Y</t>
  </si>
  <si>
    <t>集団回収量  E</t>
  </si>
  <si>
    <t>直接焼却量 F ※</t>
    <phoneticPr fontId="8"/>
  </si>
  <si>
    <t>直接最終処分量 G</t>
  </si>
  <si>
    <t>焼却以外の中間処理量 H</t>
    <rPh sb="0" eb="2">
      <t>ショウキャク</t>
    </rPh>
    <rPh sb="2" eb="4">
      <t>イガイ</t>
    </rPh>
    <rPh sb="5" eb="7">
      <t>チュウカン</t>
    </rPh>
    <rPh sb="7" eb="9">
      <t>ショリ</t>
    </rPh>
    <rPh sb="9" eb="10">
      <t>リョウ</t>
    </rPh>
    <phoneticPr fontId="5"/>
  </si>
  <si>
    <t>直接資源化量  I</t>
    <rPh sb="0" eb="2">
      <t>チョクセツ</t>
    </rPh>
    <rPh sb="2" eb="4">
      <t>シゲン</t>
    </rPh>
    <rPh sb="4" eb="5">
      <t>カ</t>
    </rPh>
    <rPh sb="5" eb="6">
      <t>リョウ</t>
    </rPh>
    <phoneticPr fontId="5"/>
  </si>
  <si>
    <t>ごみ処理量 X=F+G+H+I</t>
    <rPh sb="2" eb="4">
      <t>ショリ</t>
    </rPh>
    <rPh sb="4" eb="5">
      <t>リョウ</t>
    </rPh>
    <phoneticPr fontId="5"/>
  </si>
  <si>
    <t>減量処理率 N=(F+H+I)/X</t>
    <rPh sb="0" eb="2">
      <t>ショリ</t>
    </rPh>
    <rPh sb="2" eb="3">
      <t>リツ</t>
    </rPh>
    <phoneticPr fontId="5"/>
  </si>
  <si>
    <t>中間処理後再生利用量 J</t>
  </si>
  <si>
    <t>リサイクル率 R=(I+J+E)/(X+E)</t>
    <rPh sb="3" eb="4">
      <t>リツ</t>
    </rPh>
    <phoneticPr fontId="5"/>
  </si>
  <si>
    <t>焼却残渣量 K</t>
    <rPh sb="0" eb="2">
      <t>ショウキャク</t>
    </rPh>
    <rPh sb="2" eb="4">
      <t>ザンサ</t>
    </rPh>
    <rPh sb="4" eb="5">
      <t>リョウ</t>
    </rPh>
    <phoneticPr fontId="5"/>
  </si>
  <si>
    <t>処理残渣量 L</t>
    <rPh sb="0" eb="2">
      <t>ショリ</t>
    </rPh>
    <rPh sb="2" eb="4">
      <t>ザンサ</t>
    </rPh>
    <rPh sb="4" eb="5">
      <t>リョウ</t>
    </rPh>
    <phoneticPr fontId="5"/>
  </si>
  <si>
    <t>最終処分量 M=G+K+L</t>
    <rPh sb="0" eb="2">
      <t>サイシュウ</t>
    </rPh>
    <rPh sb="2" eb="4">
      <t>ショブン</t>
    </rPh>
    <rPh sb="4" eb="5">
      <t>リョウ</t>
    </rPh>
    <phoneticPr fontId="5"/>
  </si>
  <si>
    <t>排ガス1･2号炉､最終処分場井戸(上流･下流･混合放流水)は全検体不検出</t>
    <rPh sb="0" eb="1">
      <t>ハイ</t>
    </rPh>
    <rPh sb="6" eb="7">
      <t>ゴウ</t>
    </rPh>
    <rPh sb="7" eb="8">
      <t>ロ</t>
    </rPh>
    <rPh sb="9" eb="14">
      <t>サイシュウショブンジョウ</t>
    </rPh>
    <rPh sb="14" eb="16">
      <t>イド</t>
    </rPh>
    <rPh sb="17" eb="19">
      <t>ジョウリュウ</t>
    </rPh>
    <rPh sb="20" eb="22">
      <t>カリュウ</t>
    </rPh>
    <rPh sb="23" eb="25">
      <t>コンゴウ</t>
    </rPh>
    <rPh sb="25" eb="28">
      <t>ホウリュウスイ</t>
    </rPh>
    <rPh sb="30" eb="31">
      <t>ゼン</t>
    </rPh>
    <rPh sb="31" eb="33">
      <t>ケンタイ</t>
    </rPh>
    <rPh sb="33" eb="34">
      <t>フ</t>
    </rPh>
    <rPh sb="34" eb="36">
      <t>ケンシュツ</t>
    </rPh>
    <phoneticPr fontId="8"/>
  </si>
  <si>
    <t>H23</t>
    <phoneticPr fontId="8"/>
  </si>
  <si>
    <t>3町合計</t>
    <rPh sb="1" eb="2">
      <t>チョウ</t>
    </rPh>
    <rPh sb="2" eb="4">
      <t>ゴウケイ</t>
    </rPh>
    <phoneticPr fontId="8"/>
  </si>
  <si>
    <t>H24</t>
  </si>
  <si>
    <r>
      <t>H</t>
    </r>
    <r>
      <rPr>
        <sz val="9"/>
        <color theme="1"/>
        <rFont val="Meiryo UI"/>
        <family val="2"/>
        <charset val="128"/>
      </rPr>
      <t>25</t>
    </r>
    <phoneticPr fontId="8"/>
  </si>
  <si>
    <r>
      <t>H</t>
    </r>
    <r>
      <rPr>
        <sz val="9"/>
        <color theme="1"/>
        <rFont val="Meiryo UI"/>
        <family val="2"/>
        <charset val="128"/>
      </rPr>
      <t>26</t>
    </r>
  </si>
  <si>
    <r>
      <t>H</t>
    </r>
    <r>
      <rPr>
        <sz val="9"/>
        <color theme="1"/>
        <rFont val="Meiryo UI"/>
        <family val="2"/>
        <charset val="128"/>
      </rPr>
      <t>27</t>
    </r>
  </si>
  <si>
    <r>
      <t>H</t>
    </r>
    <r>
      <rPr>
        <sz val="9"/>
        <color theme="1"/>
        <rFont val="Meiryo UI"/>
        <family val="2"/>
        <charset val="128"/>
      </rPr>
      <t>28</t>
    </r>
  </si>
  <si>
    <r>
      <t>H</t>
    </r>
    <r>
      <rPr>
        <sz val="9"/>
        <color theme="1"/>
        <rFont val="Meiryo UI"/>
        <family val="2"/>
        <charset val="128"/>
      </rPr>
      <t>29</t>
    </r>
  </si>
  <si>
    <t>1c､大和</t>
    <rPh sb="3" eb="5">
      <t>タイワ</t>
    </rPh>
    <phoneticPr fontId="8"/>
  </si>
  <si>
    <r>
      <t>H</t>
    </r>
    <r>
      <rPr>
        <sz val="9"/>
        <color theme="1"/>
        <rFont val="Meiryo UI"/>
        <family val="2"/>
        <charset val="128"/>
      </rPr>
      <t>30</t>
    </r>
  </si>
  <si>
    <t>H23</t>
  </si>
  <si>
    <t>H25</t>
  </si>
  <si>
    <t>H26</t>
  </si>
  <si>
    <t>H27</t>
  </si>
  <si>
    <t>H28</t>
  </si>
  <si>
    <t>H29</t>
  </si>
  <si>
    <t>H30</t>
  </si>
  <si>
    <t>処理能力</t>
  </si>
  <si>
    <t>50t/日(25t/24h×2炉)</t>
  </si>
  <si>
    <t>炉形式</t>
  </si>
  <si>
    <t>ストーカ方式</t>
  </si>
  <si>
    <t>受入方法</t>
  </si>
  <si>
    <t>ピット＆クレーン</t>
  </si>
  <si>
    <t>排ガス処理</t>
  </si>
  <si>
    <t>バグフィルター・有害ガス除去装置</t>
  </si>
  <si>
    <t>1c､大和</t>
    <rPh sb="3" eb="5">
      <t>タイワ</t>
    </rPh>
    <phoneticPr fontId="5"/>
  </si>
  <si>
    <t>2c､大衡</t>
    <rPh sb="3" eb="5">
      <t>オオヒラ</t>
    </rPh>
    <phoneticPr fontId="5"/>
  </si>
  <si>
    <t>直接焼却量 F ※</t>
  </si>
  <si>
    <t>3c､大郷</t>
    <rPh sb="3" eb="5">
      <t>オオサト</t>
    </rPh>
    <phoneticPr fontId="5"/>
  </si>
  <si>
    <t>1,000～2,000Bq/kg→1500とする</t>
    <phoneticPr fontId="5"/>
  </si>
  <si>
    <t>2c､大衡</t>
    <rPh sb="3" eb="5">
      <t>オオヒラ</t>
    </rPh>
    <phoneticPr fontId="8"/>
  </si>
  <si>
    <t>4c､大和</t>
    <rPh sb="3" eb="5">
      <t>タイワ</t>
    </rPh>
    <phoneticPr fontId="5"/>
  </si>
  <si>
    <t>5c､大衡</t>
    <rPh sb="3" eb="5">
      <t>オオヒラ</t>
    </rPh>
    <phoneticPr fontId="5"/>
  </si>
  <si>
    <t>6c､大郷</t>
    <rPh sb="3" eb="5">
      <t>オオサト</t>
    </rPh>
    <phoneticPr fontId="5"/>
  </si>
  <si>
    <t>飛灰(Bq/kg)</t>
    <rPh sb="0" eb="2">
      <t>ヒバイ</t>
    </rPh>
    <phoneticPr fontId="14"/>
  </si>
  <si>
    <t>主灰(Bq/kg)</t>
    <rPh sb="0" eb="1">
      <t>オモ</t>
    </rPh>
    <rPh sb="1" eb="2">
      <t>ハイ</t>
    </rPh>
    <phoneticPr fontId="14"/>
  </si>
  <si>
    <t>濃度比</t>
    <rPh sb="0" eb="2">
      <t>ノウド</t>
    </rPh>
    <rPh sb="2" eb="3">
      <t>ヒ</t>
    </rPh>
    <phoneticPr fontId="8"/>
  </si>
  <si>
    <t>3c､大郷</t>
    <rPh sb="3" eb="5">
      <t>オオサト</t>
    </rPh>
    <phoneticPr fontId="8"/>
  </si>
  <si>
    <t>平均</t>
    <rPh sb="0" eb="2">
      <t>ヘイキン</t>
    </rPh>
    <phoneticPr fontId="8"/>
  </si>
  <si>
    <t>4c､大和</t>
    <rPh sb="3" eb="5">
      <t>タイワ</t>
    </rPh>
    <phoneticPr fontId="8"/>
  </si>
  <si>
    <t>5c､大衡</t>
    <rPh sb="3" eb="5">
      <t>オオヒラ</t>
    </rPh>
    <phoneticPr fontId="8"/>
  </si>
  <si>
    <t>6c､大郷</t>
    <rPh sb="3" eb="5">
      <t>オオサト</t>
    </rPh>
    <phoneticPr fontId="8"/>
  </si>
  <si>
    <r>
      <t>牧草焼却(</t>
    </r>
    <r>
      <rPr>
        <sz val="9"/>
        <color theme="1"/>
        <rFont val="Meiryo UI"/>
        <family val="2"/>
        <charset val="128"/>
      </rPr>
      <t>t</t>
    </r>
    <r>
      <rPr>
        <sz val="9"/>
        <color theme="1"/>
        <rFont val="Meiryo UI"/>
        <family val="2"/>
        <charset val="128"/>
      </rPr>
      <t>)</t>
    </r>
    <phoneticPr fontId="8"/>
  </si>
  <si>
    <r>
      <t>稲わら焼却(</t>
    </r>
    <r>
      <rPr>
        <sz val="9"/>
        <color theme="1"/>
        <rFont val="Meiryo UI"/>
        <family val="2"/>
        <charset val="128"/>
      </rPr>
      <t>t</t>
    </r>
    <r>
      <rPr>
        <sz val="9"/>
        <color theme="1"/>
        <rFont val="Meiryo UI"/>
        <family val="2"/>
        <charset val="128"/>
      </rPr>
      <t>)</t>
    </r>
    <rPh sb="0" eb="1">
      <t>イナ</t>
    </rPh>
    <rPh sb="3" eb="5">
      <t>ショウキャク</t>
    </rPh>
    <phoneticPr fontId="14"/>
  </si>
  <si>
    <t>←不検出は最小値/2</t>
    <rPh sb="1" eb="2">
      <t>フ</t>
    </rPh>
    <rPh sb="2" eb="4">
      <t>ケンシュツ</t>
    </rPh>
    <rPh sb="5" eb="8">
      <t>サイショウチ</t>
    </rPh>
    <phoneticPr fontId="8"/>
  </si>
  <si>
    <t>月別集計の準備</t>
    <rPh sb="0" eb="2">
      <t>ツキベツ</t>
    </rPh>
    <rPh sb="2" eb="4">
      <t>シュウケイ</t>
    </rPh>
    <rPh sb="5" eb="7">
      <t>ジュンビ</t>
    </rPh>
    <phoneticPr fontId="8"/>
  </si>
  <si>
    <t>遡り5日間で</t>
    <rPh sb="0" eb="1">
      <t>サカノボ</t>
    </rPh>
    <rPh sb="3" eb="5">
      <t>ニチカン</t>
    </rPh>
    <phoneticPr fontId="8"/>
  </si>
  <si>
    <t>kg</t>
  </si>
  <si>
    <t>kg</t>
    <phoneticPr fontId="8"/>
  </si>
  <si>
    <t>遡り3日間で</t>
    <rPh sb="0" eb="1">
      <t>サカノボ</t>
    </rPh>
    <rPh sb="3" eb="5">
      <t>ニチカン</t>
    </rPh>
    <phoneticPr fontId="8"/>
  </si>
  <si>
    <t>牧草</t>
    <rPh sb="0" eb="2">
      <t>ボクソウ</t>
    </rPh>
    <phoneticPr fontId="8"/>
  </si>
  <si>
    <t>稲わら</t>
    <rPh sb="0" eb="1">
      <t>イナ</t>
    </rPh>
    <phoneticPr fontId="8"/>
  </si>
  <si>
    <t>kBq</t>
    <phoneticPr fontId="8"/>
  </si>
  <si>
    <t>環境管理センター</t>
    <rPh sb="0" eb="2">
      <t>カンキョウ</t>
    </rPh>
    <rPh sb="2" eb="4">
      <t>カンリ</t>
    </rPh>
    <phoneticPr fontId="5"/>
  </si>
  <si>
    <t>←濃度回帰式：Cs-134</t>
    <rPh sb="1" eb="3">
      <t>ノウド</t>
    </rPh>
    <rPh sb="3" eb="5">
      <t>カイキ</t>
    </rPh>
    <rPh sb="5" eb="6">
      <t>シキ</t>
    </rPh>
    <phoneticPr fontId="5"/>
  </si>
  <si>
    <t>←濃度回帰式：Cs-137</t>
    <rPh sb="1" eb="3">
      <t>ノウド</t>
    </rPh>
    <rPh sb="3" eb="5">
      <t>カイキ</t>
    </rPh>
    <rPh sb="5" eb="6">
      <t>シキ</t>
    </rPh>
    <phoneticPr fontId="5"/>
  </si>
  <si>
    <t>←濃度回帰式：両Cs</t>
    <rPh sb="1" eb="3">
      <t>ノウド</t>
    </rPh>
    <rPh sb="3" eb="5">
      <t>カイキ</t>
    </rPh>
    <rPh sb="5" eb="6">
      <t>シキ</t>
    </rPh>
    <rPh sb="7" eb="8">
      <t>リョウ</t>
    </rPh>
    <phoneticPr fontId="5"/>
  </si>
  <si>
    <t>から求めた回帰式を用い､実測値(薄黄色のセル)から推算した</t>
    <rPh sb="2" eb="3">
      <t>モト</t>
    </rPh>
    <rPh sb="5" eb="7">
      <t>カイキ</t>
    </rPh>
    <rPh sb="7" eb="8">
      <t>シキ</t>
    </rPh>
    <rPh sb="9" eb="10">
      <t>モチ</t>
    </rPh>
    <rPh sb="12" eb="15">
      <t>ジッソクチ</t>
    </rPh>
    <rPh sb="16" eb="17">
      <t>ウス</t>
    </rPh>
    <rPh sb="17" eb="19">
      <t>キイロ</t>
    </rPh>
    <rPh sb="25" eb="27">
      <t>スイサン</t>
    </rPh>
    <phoneticPr fontId="5"/>
  </si>
  <si>
    <t>"シート”濃度回帰式”参照</t>
    <rPh sb="5" eb="7">
      <t>ノウド</t>
    </rPh>
    <rPh sb="7" eb="9">
      <t>カイキ</t>
    </rPh>
    <rPh sb="9" eb="10">
      <t>シキ</t>
    </rPh>
    <rPh sb="11" eb="13">
      <t>サンショウ</t>
    </rPh>
    <phoneticPr fontId="5"/>
  </si>
  <si>
    <t>牧草(Bq/kg)</t>
    <phoneticPr fontId="14"/>
  </si>
  <si>
    <t>中間集計</t>
    <rPh sb="0" eb="2">
      <t>チュウカン</t>
    </rPh>
    <rPh sb="2" eb="4">
      <t>シュウケイ</t>
    </rPh>
    <phoneticPr fontId="8"/>
  </si>
  <si>
    <t>一廃の月間焼却量</t>
    <rPh sb="0" eb="2">
      <t>イッパイ</t>
    </rPh>
    <rPh sb="3" eb="5">
      <t>ゲッカン</t>
    </rPh>
    <rPh sb="5" eb="7">
      <t>ショウキャク</t>
    </rPh>
    <rPh sb="7" eb="8">
      <t>リョウ</t>
    </rPh>
    <phoneticPr fontId="8"/>
  </si>
  <si>
    <t>直接搬入量</t>
    <phoneticPr fontId="8"/>
  </si>
  <si>
    <t>3町計</t>
    <rPh sb="1" eb="2">
      <t>チョウ</t>
    </rPh>
    <rPh sb="2" eb="3">
      <t>ケイ</t>
    </rPh>
    <phoneticPr fontId="8"/>
  </si>
  <si>
    <t>汚染廃棄物由来Cs量MBq</t>
    <rPh sb="0" eb="2">
      <t>オセン</t>
    </rPh>
    <rPh sb="2" eb="5">
      <t>ハイキブツ</t>
    </rPh>
    <rPh sb="5" eb="7">
      <t>ユライ</t>
    </rPh>
    <rPh sb="9" eb="10">
      <t>リョウ</t>
    </rPh>
    <phoneticPr fontId="8"/>
  </si>
  <si>
    <t>←　シート"集計表"から転記</t>
    <rPh sb="6" eb="8">
      <t>シュウケイ</t>
    </rPh>
    <rPh sb="8" eb="9">
      <t>ヒョウ</t>
    </rPh>
    <rPh sb="12" eb="14">
      <t>テンキ</t>
    </rPh>
    <phoneticPr fontId="5"/>
  </si>
  <si>
    <t>ぱいじん(飛灰)中濃度</t>
    <rPh sb="8" eb="9">
      <t>チュウ</t>
    </rPh>
    <rPh sb="9" eb="11">
      <t>ノウド</t>
    </rPh>
    <phoneticPr fontId="5"/>
  </si>
  <si>
    <t>焼却灰(主灰)中濃度</t>
    <phoneticPr fontId="8"/>
  </si>
  <si>
    <t>最終処分場での両Cs現存量(x0.1MBq)</t>
    <rPh sb="0" eb="2">
      <t>サイシュウ</t>
    </rPh>
    <rPh sb="2" eb="5">
      <t>ショブンジョウ</t>
    </rPh>
    <rPh sb="10" eb="12">
      <t>ゲンゾン</t>
    </rPh>
    <rPh sb="12" eb="13">
      <t>リョウ</t>
    </rPh>
    <phoneticPr fontId="5"/>
  </si>
  <si>
    <t>汚染廃棄物由来Cs量(x0.1MBq)</t>
    <rPh sb="0" eb="2">
      <t>オセン</t>
    </rPh>
    <rPh sb="2" eb="5">
      <t>ハイキブツ</t>
    </rPh>
    <rPh sb="5" eb="7">
      <t>ユライ</t>
    </rPh>
    <rPh sb="9" eb="10">
      <t>リョウ</t>
    </rPh>
    <phoneticPr fontId="8"/>
  </si>
  <si>
    <t>主灰･飛灰中の月間Cs集積量(x0.1MBq)</t>
    <rPh sb="0" eb="1">
      <t>シュ</t>
    </rPh>
    <rPh sb="1" eb="2">
      <t>ハイ</t>
    </rPh>
    <rPh sb="3" eb="5">
      <t>ヒバイ</t>
    </rPh>
    <rPh sb="5" eb="6">
      <t>チュウ</t>
    </rPh>
    <rPh sb="7" eb="9">
      <t>ゲッカン</t>
    </rPh>
    <rPh sb="11" eb="13">
      <t>シュウセキ</t>
    </rPh>
    <rPh sb="13" eb="14">
      <t>リョウ</t>
    </rPh>
    <phoneticPr fontId="5"/>
  </si>
</sst>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76" formatCode="0_ "/>
    <numFmt numFmtId="177" formatCode="0.0_ "/>
    <numFmt numFmtId="178" formatCode="[$-411]ge\.m"/>
    <numFmt numFmtId="179" formatCode="0.000"/>
    <numFmt numFmtId="180" formatCode="0.0"/>
    <numFmt numFmtId="181" formatCode="0.E+00"/>
    <numFmt numFmtId="182" formatCode="[$-411]ge"/>
    <numFmt numFmtId="183" formatCode="aaa"/>
    <numFmt numFmtId="184" formatCode=".000"/>
  </numFmts>
  <fonts count="56" x14ac:knownFonts="1">
    <font>
      <sz val="11"/>
      <name val="ＭＳ Ｐゴシック"/>
      <family val="3"/>
      <charset val="128"/>
    </font>
    <font>
      <sz val="9"/>
      <color theme="1"/>
      <name val="Meiryo UI"/>
      <family val="2"/>
      <charset val="128"/>
    </font>
    <font>
      <sz val="9"/>
      <color theme="1"/>
      <name val="Meiryo UI"/>
      <family val="2"/>
      <charset val="128"/>
    </font>
    <font>
      <sz val="9"/>
      <color theme="1"/>
      <name val="Meiryo UI"/>
      <family val="2"/>
      <charset val="128"/>
    </font>
    <font>
      <sz val="9"/>
      <color theme="1"/>
      <name val="Meiryo UI"/>
      <family val="2"/>
      <charset val="128"/>
    </font>
    <font>
      <sz val="10"/>
      <color indexed="40"/>
      <name val="ＭＳ ゴシック"/>
      <family val="3"/>
      <charset val="128"/>
    </font>
    <font>
      <sz val="9"/>
      <name val="Meiryo UI"/>
      <family val="3"/>
      <charset val="128"/>
    </font>
    <font>
      <sz val="9"/>
      <color indexed="40"/>
      <name val="Meiryo UI"/>
      <family val="3"/>
      <charset val="128"/>
    </font>
    <font>
      <sz val="6"/>
      <name val="ＭＳ Ｐゴシック"/>
      <family val="3"/>
      <charset val="128"/>
    </font>
    <font>
      <sz val="8"/>
      <color indexed="40"/>
      <name val="Meiryo UI"/>
      <family val="3"/>
      <charset val="128"/>
    </font>
    <font>
      <sz val="8"/>
      <name val="Meiryo UI"/>
      <family val="3"/>
      <charset val="128"/>
    </font>
    <font>
      <sz val="6"/>
      <name val="ＭＳ Ｐ明朝"/>
      <family val="1"/>
      <charset val="128"/>
    </font>
    <font>
      <sz val="7"/>
      <name val="Meiryo UI"/>
      <family val="3"/>
      <charset val="128"/>
    </font>
    <font>
      <sz val="9"/>
      <color theme="1"/>
      <name val="Meiryo UI"/>
      <family val="3"/>
      <charset val="128"/>
    </font>
    <font>
      <sz val="6"/>
      <name val="Meiryo UI"/>
      <family val="2"/>
      <charset val="128"/>
    </font>
    <font>
      <sz val="8"/>
      <color theme="1"/>
      <name val="Meiryo UI"/>
      <family val="3"/>
      <charset val="128"/>
    </font>
    <font>
      <sz val="9"/>
      <color rgb="FF333333"/>
      <name val="Meiryo UI"/>
      <family val="3"/>
      <charset val="128"/>
    </font>
    <font>
      <sz val="11"/>
      <color theme="1"/>
      <name val="Meiryo UI"/>
      <family val="3"/>
      <charset val="128"/>
    </font>
    <font>
      <sz val="11"/>
      <name val="Meiryo UI"/>
      <family val="3"/>
      <charset val="128"/>
    </font>
    <font>
      <sz val="7.5"/>
      <name val="Meiryo UI"/>
      <family val="3"/>
      <charset val="128"/>
    </font>
    <font>
      <u/>
      <sz val="9"/>
      <color theme="10"/>
      <name val="Meiryo UI"/>
      <family val="2"/>
      <charset val="128"/>
    </font>
    <font>
      <sz val="7"/>
      <name val="ＭＳ Ｐゴシック"/>
      <family val="3"/>
      <charset val="128"/>
    </font>
    <font>
      <sz val="6"/>
      <name val="Meiryo UI"/>
      <family val="3"/>
      <charset val="128"/>
    </font>
    <font>
      <sz val="8.5"/>
      <color theme="1"/>
      <name val="Meiryo UI"/>
      <family val="3"/>
      <charset val="128"/>
    </font>
    <font>
      <sz val="6.5"/>
      <color theme="1"/>
      <name val="Meiryo UI"/>
      <family val="3"/>
      <charset val="128"/>
    </font>
    <font>
      <sz val="10"/>
      <name val="Meiryo UI"/>
      <family val="3"/>
      <charset val="128"/>
    </font>
    <font>
      <sz val="6.5"/>
      <name val="Meiryo UI"/>
      <family val="3"/>
      <charset val="128"/>
    </font>
    <font>
      <sz val="6.5"/>
      <name val="ＭＳ Ｐゴシック"/>
      <family val="3"/>
      <charset val="128"/>
    </font>
    <font>
      <sz val="14"/>
      <color theme="1"/>
      <name val="Meiryo UI"/>
      <family val="3"/>
      <charset val="128"/>
    </font>
    <font>
      <sz val="7.5"/>
      <color theme="1"/>
      <name val="Meiryo UI"/>
      <family val="3"/>
      <charset val="128"/>
    </font>
    <font>
      <b/>
      <sz val="9"/>
      <color theme="9" tint="-0.249977111117893"/>
      <name val="Meiryo UI"/>
      <family val="3"/>
      <charset val="128"/>
    </font>
    <font>
      <sz val="7"/>
      <color theme="1"/>
      <name val="Meiryo UI"/>
      <family val="3"/>
      <charset val="128"/>
    </font>
    <font>
      <sz val="10"/>
      <color theme="1"/>
      <name val="Meiryo UI"/>
      <family val="3"/>
      <charset val="128"/>
    </font>
    <font>
      <sz val="6"/>
      <color theme="1"/>
      <name val="Meiryo UI"/>
      <family val="3"/>
      <charset val="128"/>
    </font>
    <font>
      <sz val="9"/>
      <color rgb="FF000000"/>
      <name val="Meiryo UI"/>
      <family val="3"/>
      <charset val="128"/>
    </font>
    <font>
      <sz val="7.5"/>
      <color rgb="FF333333"/>
      <name val="Meiryo UI"/>
      <family val="3"/>
      <charset val="128"/>
    </font>
    <font>
      <sz val="14"/>
      <name val="Meiryo UI"/>
      <family val="3"/>
      <charset val="128"/>
    </font>
    <font>
      <sz val="7.5"/>
      <name val="ＭＳ Ｐゴシック"/>
      <family val="3"/>
      <charset val="128"/>
    </font>
    <font>
      <u/>
      <sz val="12"/>
      <color theme="10"/>
      <name val="Meiryo UI"/>
      <family val="3"/>
      <charset val="128"/>
    </font>
    <font>
      <sz val="6"/>
      <color indexed="40"/>
      <name val="Meiryo UI"/>
      <family val="3"/>
      <charset val="128"/>
    </font>
    <font>
      <sz val="8"/>
      <name val="ＭＳ Ｐゴシック"/>
      <family val="3"/>
      <charset val="128"/>
    </font>
    <font>
      <sz val="7.5"/>
      <color indexed="40"/>
      <name val="Meiryo UI"/>
      <family val="3"/>
      <charset val="128"/>
    </font>
    <font>
      <sz val="11"/>
      <color indexed="40"/>
      <name val="ＭＳ ゴシック"/>
      <family val="3"/>
      <charset val="128"/>
    </font>
    <font>
      <sz val="7"/>
      <color indexed="40"/>
      <name val="Meiryo UI"/>
      <family val="3"/>
      <charset val="128"/>
    </font>
    <font>
      <sz val="8"/>
      <color indexed="40"/>
      <name val="ＭＳ ゴシック"/>
      <family val="3"/>
      <charset val="128"/>
    </font>
    <font>
      <sz val="6.5"/>
      <color indexed="40"/>
      <name val="Meiryo UI"/>
      <family val="3"/>
      <charset val="128"/>
    </font>
    <font>
      <sz val="9"/>
      <name val="ＭＳ Ｐゴシック"/>
      <family val="3"/>
      <charset val="128"/>
    </font>
    <font>
      <sz val="12"/>
      <color theme="1"/>
      <name val="Meiryo UI"/>
      <family val="2"/>
      <charset val="128"/>
    </font>
    <font>
      <sz val="14"/>
      <color theme="1"/>
      <name val="Meiryo UI"/>
      <family val="2"/>
      <charset val="128"/>
    </font>
    <font>
      <u/>
      <sz val="11"/>
      <color theme="10"/>
      <name val="ＭＳ Ｐゴシック"/>
      <family val="3"/>
      <charset val="128"/>
    </font>
    <font>
      <sz val="8"/>
      <color theme="1"/>
      <name val="Meiryo UI"/>
      <family val="2"/>
      <charset val="128"/>
    </font>
    <font>
      <sz val="7.5"/>
      <color theme="1"/>
      <name val="Meiryo UI"/>
      <family val="2"/>
      <charset val="128"/>
    </font>
    <font>
      <sz val="9"/>
      <name val="Meiryo UI"/>
      <family val="2"/>
      <charset val="128"/>
    </font>
    <font>
      <sz val="8"/>
      <name val="Meiryo UI"/>
      <family val="2"/>
      <charset val="128"/>
    </font>
    <font>
      <u/>
      <sz val="11"/>
      <color theme="10"/>
      <name val="Meiryo UI"/>
      <family val="2"/>
      <charset val="128"/>
    </font>
    <font>
      <sz val="10"/>
      <color theme="1"/>
      <name val="Meiryo UI"/>
      <family val="2"/>
      <charset val="128"/>
    </font>
  </fonts>
  <fills count="15">
    <fill>
      <patternFill patternType="none"/>
    </fill>
    <fill>
      <patternFill patternType="gray125"/>
    </fill>
    <fill>
      <patternFill patternType="solid">
        <fgColor rgb="FFCCFFCC"/>
        <bgColor indexed="64"/>
      </patternFill>
    </fill>
    <fill>
      <patternFill patternType="solid">
        <fgColor rgb="FFFFFF00"/>
        <bgColor indexed="64"/>
      </patternFill>
    </fill>
    <fill>
      <patternFill patternType="solid">
        <fgColor theme="9" tint="0.79998168889431442"/>
        <bgColor indexed="64"/>
      </patternFill>
    </fill>
    <fill>
      <patternFill patternType="solid">
        <fgColor theme="0" tint="-4.9989318521683403E-2"/>
        <bgColor indexed="64"/>
      </patternFill>
    </fill>
    <fill>
      <patternFill patternType="solid">
        <fgColor indexed="43"/>
        <bgColor indexed="64"/>
      </patternFill>
    </fill>
    <fill>
      <patternFill patternType="solid">
        <fgColor indexed="42"/>
        <bgColor indexed="64"/>
      </patternFill>
    </fill>
    <fill>
      <patternFill patternType="solid">
        <fgColor rgb="FFFFFFCC"/>
        <bgColor indexed="64"/>
      </patternFill>
    </fill>
    <fill>
      <patternFill patternType="solid">
        <fgColor theme="9" tint="0.59999389629810485"/>
        <bgColor indexed="64"/>
      </patternFill>
    </fill>
    <fill>
      <patternFill patternType="solid">
        <fgColor theme="7" tint="0.79998168889431442"/>
        <bgColor indexed="64"/>
      </patternFill>
    </fill>
    <fill>
      <patternFill patternType="solid">
        <fgColor theme="0" tint="-0.14999847407452621"/>
        <bgColor indexed="64"/>
      </patternFill>
    </fill>
    <fill>
      <patternFill patternType="solid">
        <fgColor rgb="FFFFCCFF"/>
        <bgColor indexed="64"/>
      </patternFill>
    </fill>
    <fill>
      <patternFill patternType="solid">
        <fgColor rgb="FFCCFFFF"/>
        <bgColor indexed="64"/>
      </patternFill>
    </fill>
    <fill>
      <patternFill patternType="solid">
        <fgColor theme="3" tint="0.79998168889431442"/>
        <bgColor indexed="64"/>
      </patternFill>
    </fill>
  </fills>
  <borders count="81">
    <border>
      <left/>
      <right/>
      <top/>
      <bottom/>
      <diagonal/>
    </border>
    <border>
      <left style="thin">
        <color indexed="8"/>
      </left>
      <right style="thin">
        <color indexed="8"/>
      </right>
      <top style="thin">
        <color indexed="8"/>
      </top>
      <bottom style="thin">
        <color indexed="8"/>
      </bottom>
      <diagonal/>
    </border>
    <border>
      <left style="thin">
        <color indexed="8"/>
      </left>
      <right style="thin">
        <color indexed="8"/>
      </right>
      <top style="thin">
        <color indexed="8"/>
      </top>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right/>
      <top/>
      <bottom style="thin">
        <color indexed="8"/>
      </bottom>
      <diagonal/>
    </border>
    <border>
      <left style="thin">
        <color indexed="8"/>
      </left>
      <right/>
      <top style="thin">
        <color indexed="8"/>
      </top>
      <bottom/>
      <diagonal/>
    </border>
    <border>
      <left style="thin">
        <color indexed="8"/>
      </left>
      <right/>
      <top/>
      <bottom style="thin">
        <color indexed="8"/>
      </bottom>
      <diagonal/>
    </border>
    <border>
      <left/>
      <right style="thin">
        <color indexed="8"/>
      </right>
      <top/>
      <bottom style="thin">
        <color indexed="8"/>
      </bottom>
      <diagonal/>
    </border>
    <border>
      <left style="thin">
        <color indexed="8"/>
      </left>
      <right/>
      <top/>
      <bottom/>
      <diagonal/>
    </border>
    <border>
      <left/>
      <right style="thin">
        <color indexed="8"/>
      </right>
      <top/>
      <bottom/>
      <diagonal/>
    </border>
    <border>
      <left style="hair">
        <color auto="1"/>
      </left>
      <right style="hair">
        <color auto="1"/>
      </right>
      <top style="hair">
        <color auto="1"/>
      </top>
      <bottom style="hair">
        <color auto="1"/>
      </bottom>
      <diagonal/>
    </border>
    <border>
      <left style="hair">
        <color auto="1"/>
      </left>
      <right/>
      <top style="hair">
        <color auto="1"/>
      </top>
      <bottom style="hair">
        <color auto="1"/>
      </bottom>
      <diagonal/>
    </border>
    <border>
      <left/>
      <right/>
      <top style="hair">
        <color auto="1"/>
      </top>
      <bottom style="hair">
        <color auto="1"/>
      </bottom>
      <diagonal/>
    </border>
    <border>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diagonal/>
    </border>
    <border>
      <left style="hair">
        <color auto="1"/>
      </left>
      <right style="hair">
        <color auto="1"/>
      </right>
      <top/>
      <bottom style="hair">
        <color auto="1"/>
      </bottom>
      <diagonal/>
    </border>
    <border>
      <left style="hair">
        <color indexed="8"/>
      </left>
      <right style="hair">
        <color indexed="8"/>
      </right>
      <top style="hair">
        <color indexed="8"/>
      </top>
      <bottom/>
      <diagonal/>
    </border>
    <border>
      <left style="hair">
        <color auto="1"/>
      </left>
      <right style="hair">
        <color auto="1"/>
      </right>
      <top style="hair">
        <color auto="1"/>
      </top>
      <bottom style="double">
        <color auto="1"/>
      </bottom>
      <diagonal/>
    </border>
    <border>
      <left style="hair">
        <color auto="1"/>
      </left>
      <right style="double">
        <color auto="1"/>
      </right>
      <top style="hair">
        <color auto="1"/>
      </top>
      <bottom/>
      <diagonal/>
    </border>
    <border>
      <left style="hair">
        <color auto="1"/>
      </left>
      <right style="double">
        <color auto="1"/>
      </right>
      <top/>
      <bottom/>
      <diagonal/>
    </border>
    <border>
      <left style="hair">
        <color auto="1"/>
      </left>
      <right style="double">
        <color auto="1"/>
      </right>
      <top/>
      <bottom style="hair">
        <color auto="1"/>
      </bottom>
      <diagonal/>
    </border>
    <border>
      <left style="hair">
        <color auto="1"/>
      </left>
      <right style="double">
        <color auto="1"/>
      </right>
      <top style="hair">
        <color auto="1"/>
      </top>
      <bottom style="hair">
        <color auto="1"/>
      </bottom>
      <diagonal/>
    </border>
    <border>
      <left/>
      <right style="double">
        <color auto="1"/>
      </right>
      <top/>
      <bottom style="hair">
        <color auto="1"/>
      </bottom>
      <diagonal/>
    </border>
    <border>
      <left style="double">
        <color auto="1"/>
      </left>
      <right/>
      <top style="double">
        <color auto="1"/>
      </top>
      <bottom/>
      <diagonal/>
    </border>
    <border>
      <left/>
      <right style="double">
        <color auto="1"/>
      </right>
      <top style="double">
        <color auto="1"/>
      </top>
      <bottom/>
      <diagonal/>
    </border>
    <border>
      <left style="double">
        <color auto="1"/>
      </left>
      <right/>
      <top/>
      <bottom style="double">
        <color auto="1"/>
      </bottom>
      <diagonal/>
    </border>
    <border>
      <left/>
      <right style="double">
        <color auto="1"/>
      </right>
      <top/>
      <bottom style="double">
        <color auto="1"/>
      </bottom>
      <diagonal/>
    </border>
    <border>
      <left/>
      <right/>
      <top/>
      <bottom style="hair">
        <color auto="1"/>
      </bottom>
      <diagonal/>
    </border>
    <border>
      <left/>
      <right style="thin">
        <color auto="1"/>
      </right>
      <top/>
      <bottom/>
      <diagonal/>
    </border>
    <border>
      <left style="hair">
        <color auto="1"/>
      </left>
      <right style="thin">
        <color auto="1"/>
      </right>
      <top style="hair">
        <color auto="1"/>
      </top>
      <bottom/>
      <diagonal/>
    </border>
    <border>
      <left/>
      <right style="hair">
        <color auto="1"/>
      </right>
      <top style="hair">
        <color auto="1"/>
      </top>
      <bottom/>
      <diagonal/>
    </border>
    <border>
      <left style="hair">
        <color auto="1"/>
      </left>
      <right/>
      <top style="hair">
        <color auto="1"/>
      </top>
      <bottom/>
      <diagonal/>
    </border>
    <border>
      <left/>
      <right/>
      <top style="hair">
        <color auto="1"/>
      </top>
      <bottom/>
      <diagonal/>
    </border>
    <border>
      <left style="hair">
        <color auto="1"/>
      </left>
      <right style="thin">
        <color auto="1"/>
      </right>
      <top/>
      <bottom/>
      <diagonal/>
    </border>
    <border>
      <left/>
      <right style="hair">
        <color auto="1"/>
      </right>
      <top/>
      <bottom/>
      <diagonal/>
    </border>
    <border>
      <left style="hair">
        <color auto="1"/>
      </left>
      <right/>
      <top/>
      <bottom/>
      <diagonal/>
    </border>
    <border>
      <left/>
      <right style="hair">
        <color auto="1"/>
      </right>
      <top/>
      <bottom style="hair">
        <color auto="1"/>
      </bottom>
      <diagonal/>
    </border>
    <border>
      <left style="hair">
        <color auto="1"/>
      </left>
      <right style="thin">
        <color auto="1"/>
      </right>
      <top/>
      <bottom style="hair">
        <color auto="1"/>
      </bottom>
      <diagonal/>
    </border>
    <border>
      <left style="hair">
        <color auto="1"/>
      </left>
      <right style="thin">
        <color auto="1"/>
      </right>
      <top style="hair">
        <color auto="1"/>
      </top>
      <bottom style="hair">
        <color auto="1"/>
      </bottom>
      <diagonal/>
    </border>
    <border>
      <left style="thin">
        <color indexed="8"/>
      </left>
      <right/>
      <top style="thin">
        <color indexed="8"/>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style="thin">
        <color indexed="8"/>
      </right>
      <top style="thin">
        <color indexed="9"/>
      </top>
      <bottom/>
      <diagonal/>
    </border>
    <border>
      <left style="thin">
        <color indexed="8"/>
      </left>
      <right style="thin">
        <color indexed="8"/>
      </right>
      <top/>
      <bottom style="thin">
        <color indexed="9"/>
      </bottom>
      <diagonal/>
    </border>
    <border>
      <left/>
      <right/>
      <top style="thin">
        <color indexed="9"/>
      </top>
      <bottom style="thin">
        <color indexed="8"/>
      </bottom>
      <diagonal/>
    </border>
    <border>
      <left/>
      <right style="thin">
        <color indexed="9"/>
      </right>
      <top/>
      <bottom style="thin">
        <color indexed="8"/>
      </bottom>
      <diagonal/>
    </border>
    <border>
      <left/>
      <right style="thin">
        <color indexed="9"/>
      </right>
      <top/>
      <bottom/>
      <diagonal/>
    </border>
    <border>
      <left/>
      <right/>
      <top style="thin">
        <color indexed="8"/>
      </top>
      <bottom/>
      <diagonal/>
    </border>
    <border>
      <left/>
      <right style="thin">
        <color indexed="8"/>
      </right>
      <top style="thin">
        <color indexed="8"/>
      </top>
      <bottom/>
      <diagonal/>
    </border>
    <border>
      <left/>
      <right/>
      <top style="thin">
        <color indexed="9"/>
      </top>
      <bottom/>
      <diagonal/>
    </border>
    <border>
      <left/>
      <right style="thin">
        <color indexed="9"/>
      </right>
      <top style="thin">
        <color indexed="9"/>
      </top>
      <bottom/>
      <diagonal/>
    </border>
    <border>
      <left/>
      <right/>
      <top/>
      <bottom style="thin">
        <color indexed="9"/>
      </bottom>
      <diagonal/>
    </border>
    <border>
      <left/>
      <right style="thin">
        <color indexed="9"/>
      </right>
      <top/>
      <bottom style="thin">
        <color indexed="9"/>
      </bottom>
      <diagonal/>
    </border>
    <border>
      <left style="thin">
        <color auto="1"/>
      </left>
      <right/>
      <top/>
      <bottom/>
      <diagonal/>
    </border>
    <border>
      <left style="thin">
        <color indexed="9"/>
      </left>
      <right/>
      <top style="thin">
        <color indexed="8"/>
      </top>
      <bottom style="thin">
        <color indexed="8"/>
      </bottom>
      <diagonal/>
    </border>
    <border>
      <left/>
      <right style="thin">
        <color indexed="9"/>
      </right>
      <top style="thin">
        <color indexed="8"/>
      </top>
      <bottom style="thin">
        <color indexed="8"/>
      </bottom>
      <diagonal/>
    </border>
    <border>
      <left/>
      <right/>
      <top style="thin">
        <color indexed="8"/>
      </top>
      <bottom style="thin">
        <color indexed="9"/>
      </bottom>
      <diagonal/>
    </border>
    <border>
      <left/>
      <right style="thin">
        <color indexed="9"/>
      </right>
      <top style="thin">
        <color indexed="8"/>
      </top>
      <bottom style="thin">
        <color indexed="9"/>
      </bottom>
      <diagonal/>
    </border>
    <border>
      <left style="thin">
        <color indexed="8"/>
      </left>
      <right/>
      <top style="thin">
        <color indexed="9"/>
      </top>
      <bottom/>
      <diagonal/>
    </border>
    <border>
      <left style="thin">
        <color indexed="8"/>
      </left>
      <right/>
      <top/>
      <bottom style="thin">
        <color indexed="9"/>
      </bottom>
      <diagonal/>
    </border>
    <border>
      <left style="thin">
        <color auto="1"/>
      </left>
      <right/>
      <top/>
      <bottom style="thin">
        <color indexed="8"/>
      </bottom>
      <diagonal/>
    </border>
    <border>
      <left style="thin">
        <color indexed="9"/>
      </left>
      <right/>
      <top style="thin">
        <color indexed="9"/>
      </top>
      <bottom style="thin">
        <color indexed="8"/>
      </bottom>
      <diagonal/>
    </border>
    <border>
      <left/>
      <right style="thin">
        <color indexed="9"/>
      </right>
      <top style="thin">
        <color indexed="9"/>
      </top>
      <bottom style="thin">
        <color indexed="8"/>
      </bottom>
      <diagonal/>
    </border>
    <border>
      <left style="thin">
        <color indexed="9"/>
      </left>
      <right/>
      <top style="thin">
        <color indexed="8"/>
      </top>
      <bottom style="thin">
        <color indexed="9"/>
      </bottom>
      <diagonal/>
    </border>
    <border>
      <left/>
      <right style="thin">
        <color indexed="9"/>
      </right>
      <top style="thin">
        <color indexed="8"/>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hair">
        <color auto="1"/>
      </right>
      <top style="thin">
        <color auto="1"/>
      </top>
      <bottom style="hair">
        <color auto="1"/>
      </bottom>
      <diagonal/>
    </border>
    <border>
      <left style="hair">
        <color auto="1"/>
      </left>
      <right style="hair">
        <color auto="1"/>
      </right>
      <top style="thin">
        <color auto="1"/>
      </top>
      <bottom style="hair">
        <color auto="1"/>
      </bottom>
      <diagonal/>
    </border>
    <border>
      <left style="hair">
        <color auto="1"/>
      </left>
      <right style="thin">
        <color auto="1"/>
      </right>
      <top style="thin">
        <color auto="1"/>
      </top>
      <bottom style="hair">
        <color auto="1"/>
      </bottom>
      <diagonal/>
    </border>
    <border>
      <left style="thin">
        <color auto="1"/>
      </left>
      <right style="hair">
        <color auto="1"/>
      </right>
      <top style="hair">
        <color auto="1"/>
      </top>
      <bottom style="hair">
        <color auto="1"/>
      </bottom>
      <diagonal/>
    </border>
    <border>
      <left style="thin">
        <color auto="1"/>
      </left>
      <right style="hair">
        <color auto="1"/>
      </right>
      <top style="hair">
        <color auto="1"/>
      </top>
      <bottom style="thin">
        <color auto="1"/>
      </bottom>
      <diagonal/>
    </border>
    <border>
      <left style="hair">
        <color auto="1"/>
      </left>
      <right style="hair">
        <color auto="1"/>
      </right>
      <top style="hair">
        <color auto="1"/>
      </top>
      <bottom style="thin">
        <color auto="1"/>
      </bottom>
      <diagonal/>
    </border>
    <border>
      <left style="hair">
        <color auto="1"/>
      </left>
      <right style="thin">
        <color auto="1"/>
      </right>
      <top style="hair">
        <color auto="1"/>
      </top>
      <bottom style="thin">
        <color auto="1"/>
      </bottom>
      <diagonal/>
    </border>
    <border>
      <left/>
      <right style="thin">
        <color auto="1"/>
      </right>
      <top style="hair">
        <color auto="1"/>
      </top>
      <bottom style="hair">
        <color auto="1"/>
      </bottom>
      <diagonal/>
    </border>
    <border>
      <left/>
      <right style="thin">
        <color auto="1"/>
      </right>
      <top style="hair">
        <color auto="1"/>
      </top>
      <bottom/>
      <diagonal/>
    </border>
    <border>
      <left/>
      <right style="thin">
        <color auto="1"/>
      </right>
      <top/>
      <bottom style="hair">
        <color auto="1"/>
      </bottom>
      <diagonal/>
    </border>
    <border>
      <left/>
      <right/>
      <top/>
      <bottom style="thin">
        <color auto="1"/>
      </bottom>
      <diagonal/>
    </border>
    <border>
      <left style="thin">
        <color auto="1"/>
      </left>
      <right style="hair">
        <color auto="1"/>
      </right>
      <top style="hair">
        <color auto="1"/>
      </top>
      <bottom/>
      <diagonal/>
    </border>
  </borders>
  <cellStyleXfs count="5">
    <xf numFmtId="0" fontId="0" fillId="0" borderId="0">
      <alignment vertical="center"/>
    </xf>
    <xf numFmtId="0" fontId="20" fillId="0" borderId="0" applyNumberFormat="0" applyFill="0" applyBorder="0" applyAlignment="0" applyProtection="0">
      <alignment vertical="center"/>
    </xf>
    <xf numFmtId="0" fontId="4" fillId="0" borderId="0">
      <alignment vertical="center"/>
    </xf>
    <xf numFmtId="0" fontId="3" fillId="0" borderId="0">
      <alignment vertical="center"/>
    </xf>
    <xf numFmtId="0" fontId="49" fillId="0" borderId="0" applyNumberFormat="0" applyFill="0" applyBorder="0" applyAlignment="0" applyProtection="0">
      <alignment vertical="center"/>
    </xf>
  </cellStyleXfs>
  <cellXfs count="668">
    <xf numFmtId="0" fontId="0" fillId="0" borderId="0" xfId="0">
      <alignment vertical="center"/>
    </xf>
    <xf numFmtId="0" fontId="6" fillId="0" borderId="0" xfId="0" applyFont="1" applyAlignment="1">
      <alignment vertical="center"/>
    </xf>
    <xf numFmtId="0" fontId="7" fillId="0" borderId="1" xfId="0" applyNumberFormat="1" applyFont="1" applyFill="1" applyBorder="1" applyAlignment="1">
      <alignment vertical="center"/>
    </xf>
    <xf numFmtId="0" fontId="7" fillId="0" borderId="2" xfId="0" applyNumberFormat="1" applyFont="1" applyFill="1" applyBorder="1" applyAlignment="1">
      <alignment vertical="center"/>
    </xf>
    <xf numFmtId="0" fontId="6" fillId="0" borderId="1" xfId="0" applyFont="1" applyFill="1" applyBorder="1" applyAlignment="1">
      <alignment vertical="center"/>
    </xf>
    <xf numFmtId="0" fontId="6" fillId="0" borderId="3" xfId="0" applyFont="1" applyFill="1" applyBorder="1" applyAlignment="1">
      <alignment vertical="center"/>
    </xf>
    <xf numFmtId="176" fontId="7" fillId="0" borderId="1" xfId="0" applyNumberFormat="1" applyFont="1" applyFill="1" applyBorder="1" applyAlignment="1">
      <alignment vertical="center"/>
    </xf>
    <xf numFmtId="0" fontId="6" fillId="0" borderId="4" xfId="0" applyFont="1" applyFill="1" applyBorder="1" applyAlignment="1">
      <alignment vertical="center"/>
    </xf>
    <xf numFmtId="0" fontId="6" fillId="0" borderId="0" xfId="0" applyFont="1" applyFill="1" applyBorder="1" applyAlignment="1">
      <alignment vertical="center"/>
    </xf>
    <xf numFmtId="0" fontId="6" fillId="0" borderId="5" xfId="0" applyFont="1" applyFill="1" applyBorder="1" applyAlignment="1">
      <alignment vertical="center"/>
    </xf>
    <xf numFmtId="0" fontId="7" fillId="0" borderId="6" xfId="0" applyNumberFormat="1" applyFont="1" applyFill="1" applyBorder="1" applyAlignment="1">
      <alignment vertical="center"/>
    </xf>
    <xf numFmtId="0" fontId="6" fillId="0" borderId="7" xfId="0" applyFont="1" applyFill="1" applyBorder="1" applyAlignment="1">
      <alignment vertical="center"/>
    </xf>
    <xf numFmtId="0" fontId="6" fillId="0" borderId="8" xfId="0" applyFont="1" applyFill="1" applyBorder="1" applyAlignment="1">
      <alignment vertical="center"/>
    </xf>
    <xf numFmtId="0" fontId="6" fillId="0" borderId="9" xfId="0" applyFont="1" applyFill="1" applyBorder="1" applyAlignment="1">
      <alignment vertical="center"/>
    </xf>
    <xf numFmtId="0" fontId="6" fillId="0" borderId="10" xfId="0" applyFont="1" applyFill="1" applyBorder="1" applyAlignment="1">
      <alignment vertical="center"/>
    </xf>
    <xf numFmtId="0" fontId="6" fillId="0" borderId="0" xfId="0" applyFont="1" applyFill="1" applyAlignment="1">
      <alignment vertical="center"/>
    </xf>
    <xf numFmtId="0" fontId="6" fillId="0" borderId="2" xfId="0" applyFont="1" applyFill="1" applyBorder="1" applyAlignment="1">
      <alignment vertical="center"/>
    </xf>
    <xf numFmtId="0" fontId="6" fillId="0" borderId="2" xfId="0" applyNumberFormat="1" applyFont="1" applyFill="1" applyBorder="1" applyAlignment="1">
      <alignment vertical="center"/>
    </xf>
    <xf numFmtId="0" fontId="6" fillId="0" borderId="6" xfId="0" applyNumberFormat="1" applyFont="1" applyFill="1" applyBorder="1" applyAlignment="1">
      <alignment vertical="center"/>
    </xf>
    <xf numFmtId="0" fontId="6" fillId="0" borderId="1" xfId="0" applyNumberFormat="1" applyFont="1" applyFill="1" applyBorder="1" applyAlignment="1">
      <alignment vertical="center"/>
    </xf>
    <xf numFmtId="176" fontId="6" fillId="0" borderId="1" xfId="0" applyNumberFormat="1" applyFont="1" applyFill="1" applyBorder="1" applyAlignment="1">
      <alignment vertical="center"/>
    </xf>
    <xf numFmtId="0" fontId="6" fillId="3" borderId="1" xfId="0" applyNumberFormat="1" applyFont="1" applyFill="1" applyBorder="1" applyAlignment="1">
      <alignment vertical="center"/>
    </xf>
    <xf numFmtId="0" fontId="7" fillId="3" borderId="1" xfId="0" applyNumberFormat="1" applyFont="1" applyFill="1" applyBorder="1" applyAlignment="1">
      <alignment vertical="center"/>
    </xf>
    <xf numFmtId="2" fontId="6" fillId="0" borderId="0" xfId="0" applyNumberFormat="1" applyFont="1" applyFill="1" applyBorder="1" applyAlignment="1">
      <alignment vertical="center"/>
    </xf>
    <xf numFmtId="0" fontId="6" fillId="0" borderId="0" xfId="0" applyNumberFormat="1" applyFont="1" applyFill="1" applyBorder="1" applyAlignment="1">
      <alignment vertical="center"/>
    </xf>
    <xf numFmtId="0" fontId="6" fillId="0" borderId="0" xfId="0" applyNumberFormat="1" applyFont="1" applyFill="1" applyBorder="1" applyAlignment="1">
      <alignment vertical="center" shrinkToFit="1"/>
    </xf>
    <xf numFmtId="176" fontId="6" fillId="0" borderId="0" xfId="0" applyNumberFormat="1" applyFont="1" applyFill="1" applyBorder="1" applyAlignment="1">
      <alignment vertical="center"/>
    </xf>
    <xf numFmtId="2" fontId="6" fillId="0" borderId="0" xfId="0" applyNumberFormat="1" applyFont="1" applyFill="1" applyBorder="1" applyAlignment="1">
      <alignment vertical="center" shrinkToFit="1"/>
    </xf>
    <xf numFmtId="176" fontId="6" fillId="0" borderId="0" xfId="0" applyNumberFormat="1" applyFont="1" applyFill="1" applyBorder="1" applyAlignment="1">
      <alignment vertical="center" shrinkToFit="1"/>
    </xf>
    <xf numFmtId="0" fontId="6" fillId="0" borderId="11" xfId="0" applyFont="1" applyFill="1" applyBorder="1" applyAlignment="1">
      <alignment vertical="center"/>
    </xf>
    <xf numFmtId="0" fontId="7" fillId="0" borderId="11" xfId="0" applyNumberFormat="1" applyFont="1" applyFill="1" applyBorder="1" applyAlignment="1">
      <alignment vertical="center"/>
    </xf>
    <xf numFmtId="0" fontId="6" fillId="0" borderId="0" xfId="0" applyFont="1" applyFill="1" applyBorder="1" applyAlignment="1">
      <alignment horizontal="center" vertical="center"/>
    </xf>
    <xf numFmtId="57" fontId="6" fillId="0" borderId="0" xfId="0" applyNumberFormat="1" applyFont="1" applyFill="1" applyBorder="1" applyAlignment="1">
      <alignment vertical="center" shrinkToFit="1"/>
    </xf>
    <xf numFmtId="177" fontId="6" fillId="0" borderId="0" xfId="0" applyNumberFormat="1" applyFont="1" applyFill="1" applyBorder="1" applyAlignment="1">
      <alignment vertical="center"/>
    </xf>
    <xf numFmtId="0" fontId="6" fillId="2" borderId="11" xfId="0" applyFont="1" applyFill="1" applyBorder="1" applyAlignment="1">
      <alignment vertical="center"/>
    </xf>
    <xf numFmtId="57" fontId="6" fillId="5" borderId="11" xfId="0" applyNumberFormat="1" applyFont="1" applyFill="1" applyBorder="1" applyAlignment="1">
      <alignment vertical="center" shrinkToFit="1"/>
    </xf>
    <xf numFmtId="0" fontId="9" fillId="0" borderId="11" xfId="0" applyNumberFormat="1" applyFont="1" applyFill="1" applyBorder="1" applyAlignment="1">
      <alignment vertical="center"/>
    </xf>
    <xf numFmtId="57" fontId="6" fillId="5" borderId="12" xfId="0" applyNumberFormat="1" applyFont="1" applyFill="1" applyBorder="1" applyAlignment="1">
      <alignment horizontal="left" vertical="center" indent="1"/>
    </xf>
    <xf numFmtId="0" fontId="6" fillId="5" borderId="13" xfId="0" applyFont="1" applyFill="1" applyBorder="1" applyAlignment="1">
      <alignment horizontal="left" vertical="center" indent="1"/>
    </xf>
    <xf numFmtId="57" fontId="10" fillId="5" borderId="11" xfId="0" applyNumberFormat="1" applyFont="1" applyFill="1" applyBorder="1" applyAlignment="1">
      <alignment vertical="center"/>
    </xf>
    <xf numFmtId="0" fontId="6" fillId="0" borderId="11" xfId="0" applyFont="1" applyFill="1" applyBorder="1" applyAlignment="1">
      <alignment horizontal="center" vertical="center"/>
    </xf>
    <xf numFmtId="0" fontId="6" fillId="0" borderId="11" xfId="0" applyFont="1" applyBorder="1" applyAlignment="1">
      <alignment vertical="center" shrinkToFit="1"/>
    </xf>
    <xf numFmtId="0" fontId="13" fillId="0" borderId="11" xfId="0" applyFont="1" applyFill="1" applyBorder="1" applyAlignment="1">
      <alignment vertical="center"/>
    </xf>
    <xf numFmtId="0" fontId="13" fillId="0" borderId="0" xfId="0" applyFont="1" applyFill="1" applyBorder="1" applyAlignment="1">
      <alignment vertical="center"/>
    </xf>
    <xf numFmtId="1" fontId="7" fillId="0" borderId="11" xfId="0" applyNumberFormat="1" applyFont="1" applyFill="1" applyBorder="1" applyAlignment="1">
      <alignment vertical="center" shrinkToFit="1"/>
    </xf>
    <xf numFmtId="1" fontId="6" fillId="0" borderId="11" xfId="0" applyNumberFormat="1" applyFont="1" applyFill="1" applyBorder="1" applyAlignment="1">
      <alignment vertical="center" shrinkToFit="1"/>
    </xf>
    <xf numFmtId="0" fontId="16" fillId="0" borderId="12" xfId="0" applyFont="1" applyFill="1" applyBorder="1" applyAlignment="1">
      <alignment vertical="center"/>
    </xf>
    <xf numFmtId="0" fontId="13" fillId="0" borderId="17" xfId="0" applyFont="1" applyFill="1" applyBorder="1" applyAlignment="1">
      <alignment vertical="center"/>
    </xf>
    <xf numFmtId="178" fontId="6" fillId="0" borderId="11" xfId="0" applyNumberFormat="1" applyFont="1" applyFill="1" applyBorder="1" applyAlignment="1">
      <alignment vertical="center" shrinkToFit="1"/>
    </xf>
    <xf numFmtId="176" fontId="6" fillId="0" borderId="18" xfId="0" applyNumberFormat="1" applyFont="1" applyFill="1" applyBorder="1" applyAlignment="1">
      <alignment vertical="center"/>
    </xf>
    <xf numFmtId="0" fontId="6" fillId="0" borderId="11" xfId="0" applyFont="1" applyFill="1" applyBorder="1" applyAlignment="1">
      <alignment vertical="center" shrinkToFit="1"/>
    </xf>
    <xf numFmtId="1" fontId="13" fillId="0" borderId="11" xfId="0" applyNumberFormat="1" applyFont="1" applyFill="1" applyBorder="1" applyAlignment="1">
      <alignment vertical="center" shrinkToFit="1"/>
    </xf>
    <xf numFmtId="57" fontId="16" fillId="0" borderId="0" xfId="0" applyNumberFormat="1" applyFont="1" applyFill="1" applyBorder="1" applyAlignment="1">
      <alignment vertical="center"/>
    </xf>
    <xf numFmtId="0" fontId="16" fillId="0" borderId="0" xfId="0" applyFont="1" applyFill="1" applyBorder="1" applyAlignment="1">
      <alignment vertical="center"/>
    </xf>
    <xf numFmtId="1" fontId="13" fillId="2" borderId="11" xfId="0" applyNumberFormat="1" applyFont="1" applyFill="1" applyBorder="1" applyAlignment="1">
      <alignment vertical="center" shrinkToFit="1"/>
    </xf>
    <xf numFmtId="179" fontId="13" fillId="2" borderId="11" xfId="0" applyNumberFormat="1" applyFont="1" applyFill="1" applyBorder="1" applyAlignment="1">
      <alignment vertical="center" shrinkToFit="1"/>
    </xf>
    <xf numFmtId="0" fontId="13" fillId="0" borderId="0" xfId="0" applyFont="1" applyFill="1" applyBorder="1" applyAlignment="1">
      <alignment horizontal="center" vertical="center"/>
    </xf>
    <xf numFmtId="0" fontId="13" fillId="0" borderId="11" xfId="0" applyFont="1" applyFill="1" applyBorder="1" applyAlignment="1">
      <alignment horizontal="center" vertical="center"/>
    </xf>
    <xf numFmtId="0" fontId="16" fillId="0" borderId="11" xfId="0" applyFont="1" applyFill="1" applyBorder="1" applyAlignment="1">
      <alignment vertical="center"/>
    </xf>
    <xf numFmtId="176" fontId="6" fillId="0" borderId="11" xfId="0" applyNumberFormat="1" applyFont="1" applyFill="1" applyBorder="1" applyAlignment="1">
      <alignment vertical="center"/>
    </xf>
    <xf numFmtId="0" fontId="17" fillId="0" borderId="0" xfId="0" applyFont="1" applyFill="1" applyBorder="1" applyAlignment="1">
      <alignment vertical="center"/>
    </xf>
    <xf numFmtId="0" fontId="13" fillId="0" borderId="17" xfId="0" applyFont="1" applyFill="1" applyBorder="1" applyAlignment="1">
      <alignment horizontal="center" vertical="center"/>
    </xf>
    <xf numFmtId="0" fontId="13" fillId="0" borderId="19" xfId="0" applyFont="1" applyFill="1" applyBorder="1" applyAlignment="1">
      <alignment horizontal="center" vertical="center"/>
    </xf>
    <xf numFmtId="0" fontId="13" fillId="0" borderId="19" xfId="0" applyFont="1" applyFill="1" applyBorder="1" applyAlignment="1">
      <alignment vertical="center"/>
    </xf>
    <xf numFmtId="179" fontId="13" fillId="2" borderId="19" xfId="0" applyNumberFormat="1" applyFont="1" applyFill="1" applyBorder="1" applyAlignment="1">
      <alignment vertical="center" shrinkToFit="1"/>
    </xf>
    <xf numFmtId="0" fontId="6" fillId="0" borderId="19" xfId="0" applyFont="1" applyFill="1" applyBorder="1" applyAlignment="1">
      <alignment vertical="center"/>
    </xf>
    <xf numFmtId="1" fontId="6" fillId="2" borderId="11" xfId="0" applyNumberFormat="1" applyFont="1" applyFill="1" applyBorder="1" applyAlignment="1">
      <alignment vertical="center" shrinkToFit="1"/>
    </xf>
    <xf numFmtId="0" fontId="18" fillId="0" borderId="0" xfId="0" applyFont="1">
      <alignment vertical="center"/>
    </xf>
    <xf numFmtId="0" fontId="15" fillId="0" borderId="0" xfId="0" applyFont="1" applyBorder="1" applyAlignment="1">
      <alignment horizontal="left" vertical="center" indent="1"/>
    </xf>
    <xf numFmtId="0" fontId="6" fillId="0" borderId="12" xfId="0" applyFont="1" applyFill="1" applyBorder="1" applyAlignment="1">
      <alignment vertical="center"/>
    </xf>
    <xf numFmtId="0" fontId="6" fillId="2" borderId="12" xfId="0" applyFont="1" applyFill="1" applyBorder="1" applyAlignment="1">
      <alignment vertical="center"/>
    </xf>
    <xf numFmtId="180" fontId="13" fillId="2" borderId="11" xfId="0" applyNumberFormat="1" applyFont="1" applyFill="1" applyBorder="1" applyAlignment="1">
      <alignment horizontal="center" shrinkToFit="1"/>
    </xf>
    <xf numFmtId="0" fontId="15" fillId="0" borderId="0" xfId="0" applyFont="1" applyBorder="1" applyAlignment="1"/>
    <xf numFmtId="178" fontId="6" fillId="5" borderId="11" xfId="0" applyNumberFormat="1" applyFont="1" applyFill="1" applyBorder="1" applyAlignment="1">
      <alignment vertical="center" shrinkToFit="1"/>
    </xf>
    <xf numFmtId="0" fontId="13" fillId="0" borderId="0" xfId="0" applyFont="1" applyBorder="1" applyAlignment="1">
      <alignment vertical="center"/>
    </xf>
    <xf numFmtId="0" fontId="13" fillId="0" borderId="0" xfId="0" applyFont="1" applyBorder="1" applyAlignment="1"/>
    <xf numFmtId="179" fontId="13" fillId="0" borderId="0" xfId="0" applyNumberFormat="1" applyFont="1" applyBorder="1" applyAlignment="1">
      <alignment vertical="center" shrinkToFit="1"/>
    </xf>
    <xf numFmtId="2" fontId="13" fillId="0" borderId="0" xfId="0" applyNumberFormat="1" applyFont="1" applyBorder="1" applyAlignment="1">
      <alignment vertical="center" shrinkToFit="1"/>
    </xf>
    <xf numFmtId="179" fontId="13" fillId="8" borderId="14" xfId="0" applyNumberFormat="1" applyFont="1" applyFill="1" applyBorder="1" applyAlignment="1">
      <alignment vertical="center" shrinkToFit="1"/>
    </xf>
    <xf numFmtId="179" fontId="13" fillId="8" borderId="11" xfId="0" applyNumberFormat="1" applyFont="1" applyFill="1" applyBorder="1" applyAlignment="1">
      <alignment vertical="center" shrinkToFit="1"/>
    </xf>
    <xf numFmtId="181" fontId="13" fillId="2" borderId="14" xfId="0" applyNumberFormat="1" applyFont="1" applyFill="1" applyBorder="1" applyAlignment="1">
      <alignment horizontal="center" vertical="center" shrinkToFit="1"/>
    </xf>
    <xf numFmtId="0" fontId="8" fillId="2" borderId="17" xfId="0" applyFont="1" applyFill="1" applyBorder="1" applyAlignment="1">
      <alignment horizontal="center" vertical="center" wrapText="1"/>
    </xf>
    <xf numFmtId="57" fontId="23" fillId="0" borderId="0" xfId="0" applyNumberFormat="1" applyFont="1" applyBorder="1" applyAlignment="1">
      <alignment horizontal="left" vertical="center" indent="1"/>
    </xf>
    <xf numFmtId="0" fontId="23" fillId="0" borderId="0" xfId="0" applyFont="1" applyBorder="1" applyAlignment="1">
      <alignment vertical="center"/>
    </xf>
    <xf numFmtId="0" fontId="23" fillId="0" borderId="0" xfId="0" applyFont="1" applyFill="1" applyBorder="1" applyAlignment="1">
      <alignment vertical="center"/>
    </xf>
    <xf numFmtId="0" fontId="15" fillId="0" borderId="0" xfId="0" applyFont="1" applyBorder="1" applyAlignment="1">
      <alignment horizontal="center" vertical="top"/>
    </xf>
    <xf numFmtId="1" fontId="13" fillId="8" borderId="11" xfId="0" applyNumberFormat="1" applyFont="1" applyFill="1" applyBorder="1" applyAlignment="1">
      <alignment vertical="center" shrinkToFit="1"/>
    </xf>
    <xf numFmtId="0" fontId="6" fillId="0" borderId="14" xfId="0" applyFont="1" applyFill="1" applyBorder="1" applyAlignment="1">
      <alignment vertical="center"/>
    </xf>
    <xf numFmtId="0" fontId="8" fillId="2" borderId="22" xfId="0" applyFont="1" applyFill="1" applyBorder="1" applyAlignment="1">
      <alignment horizontal="center" vertical="center" wrapText="1"/>
    </xf>
    <xf numFmtId="1" fontId="6" fillId="2" borderId="23" xfId="0" applyNumberFormat="1" applyFont="1" applyFill="1" applyBorder="1" applyAlignment="1">
      <alignment vertical="center" shrinkToFit="1"/>
    </xf>
    <xf numFmtId="0" fontId="6" fillId="0" borderId="24" xfId="0" applyFont="1" applyFill="1" applyBorder="1" applyAlignment="1">
      <alignment vertical="center"/>
    </xf>
    <xf numFmtId="0" fontId="25" fillId="0" borderId="0" xfId="0" applyFont="1" applyFill="1" applyBorder="1" applyAlignment="1">
      <alignment vertical="center"/>
    </xf>
    <xf numFmtId="0" fontId="6" fillId="0" borderId="0" xfId="0" applyFont="1" applyFill="1" applyBorder="1" applyAlignment="1">
      <alignment horizontal="left" vertical="center" indent="1"/>
    </xf>
    <xf numFmtId="0" fontId="10" fillId="0" borderId="0" xfId="0" applyFont="1" applyAlignment="1">
      <alignment vertical="center"/>
    </xf>
    <xf numFmtId="0" fontId="12" fillId="0" borderId="0" xfId="0" applyFont="1" applyFill="1" applyBorder="1" applyAlignment="1">
      <alignment horizontal="right" vertical="center"/>
    </xf>
    <xf numFmtId="0" fontId="12" fillId="0" borderId="0" xfId="0" applyFont="1" applyFill="1" applyBorder="1" applyAlignment="1">
      <alignment vertical="center"/>
    </xf>
    <xf numFmtId="0" fontId="28" fillId="0" borderId="0" xfId="0" applyFont="1" applyFill="1" applyBorder="1" applyAlignment="1">
      <alignment vertical="center"/>
    </xf>
    <xf numFmtId="1" fontId="6" fillId="3" borderId="11" xfId="0" applyNumberFormat="1" applyFont="1" applyFill="1" applyBorder="1" applyAlignment="1">
      <alignment vertical="center" shrinkToFit="1"/>
    </xf>
    <xf numFmtId="1" fontId="6" fillId="9" borderId="11" xfId="0" applyNumberFormat="1" applyFont="1" applyFill="1" applyBorder="1" applyAlignment="1">
      <alignment vertical="center" shrinkToFit="1"/>
    </xf>
    <xf numFmtId="0" fontId="13" fillId="0" borderId="0" xfId="0" applyFont="1" applyFill="1" applyBorder="1" applyAlignment="1">
      <alignment horizontal="center" vertical="top" wrapText="1"/>
    </xf>
    <xf numFmtId="0" fontId="6" fillId="0" borderId="0" xfId="0" applyFont="1" applyFill="1" applyAlignment="1">
      <alignment horizontal="center" vertical="top" wrapText="1"/>
    </xf>
    <xf numFmtId="0" fontId="29" fillId="0" borderId="0" xfId="0" applyFont="1" applyFill="1" applyBorder="1" applyAlignment="1">
      <alignment horizontal="center" vertical="top" wrapText="1"/>
    </xf>
    <xf numFmtId="0" fontId="19" fillId="0" borderId="0" xfId="0" applyFont="1" applyFill="1" applyBorder="1" applyAlignment="1">
      <alignment horizontal="center" vertical="top" wrapText="1"/>
    </xf>
    <xf numFmtId="0" fontId="19" fillId="0" borderId="0" xfId="0" applyFont="1" applyFill="1" applyAlignment="1">
      <alignment horizontal="center" vertical="top" wrapText="1"/>
    </xf>
    <xf numFmtId="0" fontId="20" fillId="0" borderId="0" xfId="1" applyFill="1" applyBorder="1" applyAlignment="1">
      <alignment vertical="center"/>
    </xf>
    <xf numFmtId="0" fontId="10" fillId="0" borderId="11" xfId="0" applyNumberFormat="1" applyFont="1" applyFill="1" applyBorder="1" applyAlignment="1">
      <alignment vertical="center"/>
    </xf>
    <xf numFmtId="0" fontId="6" fillId="0" borderId="11" xfId="0" applyFont="1" applyBorder="1">
      <alignment vertical="center"/>
    </xf>
    <xf numFmtId="0" fontId="10" fillId="0" borderId="0" xfId="0" applyFont="1" applyAlignment="1"/>
    <xf numFmtId="2" fontId="6" fillId="0" borderId="11" xfId="0" applyNumberFormat="1" applyFont="1" applyFill="1" applyBorder="1" applyAlignment="1">
      <alignment vertical="center" shrinkToFit="1"/>
    </xf>
    <xf numFmtId="2" fontId="6" fillId="2" borderId="11" xfId="0" applyNumberFormat="1" applyFont="1" applyFill="1" applyBorder="1" applyAlignment="1">
      <alignment vertical="center" shrinkToFit="1"/>
    </xf>
    <xf numFmtId="57" fontId="6" fillId="0" borderId="14" xfId="0" applyNumberFormat="1" applyFont="1" applyFill="1" applyBorder="1" applyAlignment="1">
      <alignment vertical="center" shrinkToFit="1"/>
    </xf>
    <xf numFmtId="0" fontId="6" fillId="2" borderId="14" xfId="0" applyFont="1" applyFill="1" applyBorder="1" applyAlignment="1">
      <alignment vertical="center"/>
    </xf>
    <xf numFmtId="57" fontId="6" fillId="0" borderId="0" xfId="0" applyNumberFormat="1" applyFont="1" applyFill="1" applyBorder="1" applyAlignment="1">
      <alignment vertical="center"/>
    </xf>
    <xf numFmtId="0" fontId="19" fillId="0" borderId="0" xfId="0" applyFont="1" applyFill="1" applyBorder="1" applyAlignment="1">
      <alignment horizontal="left" vertical="center"/>
    </xf>
    <xf numFmtId="176" fontId="25" fillId="0" borderId="0" xfId="0" applyNumberFormat="1" applyFont="1" applyFill="1" applyBorder="1" applyAlignment="1">
      <alignment vertical="center"/>
    </xf>
    <xf numFmtId="0" fontId="13" fillId="0" borderId="0" xfId="0" quotePrefix="1" applyFont="1" applyFill="1" applyBorder="1" applyAlignment="1">
      <alignment vertical="center"/>
    </xf>
    <xf numFmtId="0" fontId="13" fillId="0" borderId="0" xfId="2" applyFont="1" applyBorder="1" applyAlignment="1">
      <alignment vertical="center"/>
    </xf>
    <xf numFmtId="0" fontId="4" fillId="0" borderId="0" xfId="2">
      <alignment vertical="center"/>
    </xf>
    <xf numFmtId="0" fontId="15" fillId="0" borderId="0" xfId="2" applyFont="1" applyBorder="1" applyAlignment="1">
      <alignment vertical="center"/>
    </xf>
    <xf numFmtId="0" fontId="15" fillId="0" borderId="0" xfId="2" applyFont="1" applyFill="1" applyBorder="1" applyAlignment="1">
      <alignment vertical="center"/>
    </xf>
    <xf numFmtId="0" fontId="4" fillId="0" borderId="0" xfId="2" applyBorder="1">
      <alignment vertical="center"/>
    </xf>
    <xf numFmtId="0" fontId="13" fillId="0" borderId="0" xfId="2" quotePrefix="1" applyFont="1" applyFill="1" applyBorder="1" applyAlignment="1">
      <alignment vertical="center"/>
    </xf>
    <xf numFmtId="0" fontId="13" fillId="0" borderId="0" xfId="2" applyFont="1" applyBorder="1">
      <alignment vertical="center"/>
    </xf>
    <xf numFmtId="0" fontId="30" fillId="0" borderId="0" xfId="2" applyFont="1" applyFill="1" applyBorder="1" applyAlignment="1">
      <alignment vertical="center"/>
    </xf>
    <xf numFmtId="0" fontId="4" fillId="0" borderId="0" xfId="2" applyFill="1" applyBorder="1" applyAlignment="1">
      <alignment horizontal="distributed" vertical="center"/>
    </xf>
    <xf numFmtId="0" fontId="13" fillId="0" borderId="0" xfId="2" applyFont="1" applyFill="1" applyBorder="1" applyAlignment="1">
      <alignment horizontal="right" vertical="center"/>
    </xf>
    <xf numFmtId="0" fontId="13" fillId="0" borderId="0" xfId="2" applyFont="1" applyFill="1" applyBorder="1" applyAlignment="1">
      <alignment vertical="center"/>
    </xf>
    <xf numFmtId="0" fontId="13" fillId="0" borderId="0" xfId="2" applyFont="1" applyBorder="1" applyAlignment="1">
      <alignment horizontal="center" vertical="center"/>
    </xf>
    <xf numFmtId="0" fontId="4" fillId="0" borderId="0" xfId="2" applyBorder="1" applyAlignment="1">
      <alignment horizontal="distributed" vertical="center"/>
    </xf>
    <xf numFmtId="57" fontId="23" fillId="0" borderId="0" xfId="2" applyNumberFormat="1" applyFont="1" applyBorder="1" applyAlignment="1">
      <alignment horizontal="left" vertical="center" indent="1"/>
    </xf>
    <xf numFmtId="0" fontId="23" fillId="0" borderId="0" xfId="2" applyFont="1" applyFill="1" applyBorder="1" applyAlignment="1">
      <alignment vertical="center"/>
    </xf>
    <xf numFmtId="0" fontId="4" fillId="0" borderId="0" xfId="2" applyBorder="1" applyAlignment="1">
      <alignment horizontal="center" vertical="center"/>
    </xf>
    <xf numFmtId="0" fontId="23" fillId="0" borderId="0" xfId="2" applyFont="1" applyBorder="1" applyAlignment="1">
      <alignment vertical="center"/>
    </xf>
    <xf numFmtId="0" fontId="4" fillId="0" borderId="0" xfId="2" applyFont="1" applyBorder="1" applyAlignment="1">
      <alignment vertical="center"/>
    </xf>
    <xf numFmtId="179" fontId="13" fillId="0" borderId="0" xfId="2" applyNumberFormat="1" applyFont="1" applyBorder="1" applyAlignment="1">
      <alignment vertical="center" shrinkToFit="1"/>
    </xf>
    <xf numFmtId="2" fontId="13" fillId="0" borderId="0" xfId="2" applyNumberFormat="1" applyFont="1" applyBorder="1" applyAlignment="1">
      <alignment vertical="center" shrinkToFit="1"/>
    </xf>
    <xf numFmtId="180" fontId="13" fillId="2" borderId="11" xfId="2" applyNumberFormat="1" applyFont="1" applyFill="1" applyBorder="1" applyAlignment="1">
      <alignment horizontal="center" shrinkToFit="1"/>
    </xf>
    <xf numFmtId="0" fontId="15" fillId="0" borderId="30" xfId="2" applyFont="1" applyBorder="1" applyAlignment="1">
      <alignment horizontal="right" vertical="center"/>
    </xf>
    <xf numFmtId="0" fontId="15" fillId="0" borderId="0" xfId="2" applyFont="1" applyBorder="1" applyAlignment="1">
      <alignment horizontal="right" vertical="center"/>
    </xf>
    <xf numFmtId="179" fontId="4" fillId="0" borderId="29" xfId="2" applyNumberFormat="1" applyBorder="1" applyAlignment="1">
      <alignment vertical="center" shrinkToFit="1"/>
    </xf>
    <xf numFmtId="179" fontId="13" fillId="0" borderId="29" xfId="2" applyNumberFormat="1" applyFont="1" applyBorder="1" applyAlignment="1">
      <alignment vertical="center" shrinkToFit="1"/>
    </xf>
    <xf numFmtId="2" fontId="13" fillId="0" borderId="29" xfId="2" applyNumberFormat="1" applyFont="1" applyBorder="1" applyAlignment="1">
      <alignment vertical="center" shrinkToFit="1"/>
    </xf>
    <xf numFmtId="0" fontId="31" fillId="0" borderId="29" xfId="2" applyFont="1" applyBorder="1" applyAlignment="1">
      <alignment vertical="center"/>
    </xf>
    <xf numFmtId="0" fontId="23" fillId="0" borderId="32" xfId="2" applyFont="1" applyFill="1" applyBorder="1" applyAlignment="1">
      <alignment horizontal="center" vertical="center" wrapText="1"/>
    </xf>
    <xf numFmtId="0" fontId="23" fillId="0" borderId="36" xfId="2" applyFont="1" applyFill="1" applyBorder="1" applyAlignment="1">
      <alignment horizontal="center" vertical="center" wrapText="1"/>
    </xf>
    <xf numFmtId="0" fontId="23" fillId="0" borderId="38" xfId="2" applyFont="1" applyFill="1" applyBorder="1" applyAlignment="1">
      <alignment horizontal="center" vertical="center" wrapText="1"/>
    </xf>
    <xf numFmtId="0" fontId="4" fillId="0" borderId="16" xfId="2" applyBorder="1" applyAlignment="1">
      <alignment horizontal="center" vertical="center"/>
    </xf>
    <xf numFmtId="1" fontId="4" fillId="0" borderId="16" xfId="2" applyNumberFormat="1" applyBorder="1" applyAlignment="1">
      <alignment horizontal="center" vertical="center"/>
    </xf>
    <xf numFmtId="0" fontId="4" fillId="0" borderId="11" xfId="2" applyBorder="1">
      <alignment vertical="center"/>
    </xf>
    <xf numFmtId="0" fontId="4" fillId="0" borderId="40" xfId="2" applyBorder="1">
      <alignment vertical="center"/>
    </xf>
    <xf numFmtId="0" fontId="4" fillId="0" borderId="36" xfId="2" applyBorder="1" applyAlignment="1">
      <alignment horizontal="center" vertical="center"/>
    </xf>
    <xf numFmtId="0" fontId="15" fillId="0" borderId="16" xfId="2" applyFont="1" applyFill="1" applyBorder="1" applyAlignment="1">
      <alignment horizontal="center" vertical="center" shrinkToFit="1"/>
    </xf>
    <xf numFmtId="0" fontId="15" fillId="0" borderId="35" xfId="2" applyFont="1" applyFill="1" applyBorder="1" applyAlignment="1">
      <alignment horizontal="center" vertical="center" shrinkToFit="1"/>
    </xf>
    <xf numFmtId="0" fontId="15" fillId="0" borderId="36" xfId="2" applyFont="1" applyFill="1" applyBorder="1" applyAlignment="1">
      <alignment horizontal="center" vertical="center" shrinkToFit="1"/>
    </xf>
    <xf numFmtId="0" fontId="13" fillId="0" borderId="16" xfId="2" applyFont="1" applyBorder="1" applyAlignment="1">
      <alignment horizontal="center" vertical="center" shrinkToFit="1"/>
    </xf>
    <xf numFmtId="0" fontId="4" fillId="0" borderId="16" xfId="2" applyBorder="1">
      <alignment vertical="center"/>
    </xf>
    <xf numFmtId="0" fontId="4" fillId="0" borderId="35" xfId="2" applyBorder="1">
      <alignment vertical="center"/>
    </xf>
    <xf numFmtId="0" fontId="13" fillId="0" borderId="36" xfId="2" applyFont="1" applyBorder="1" applyAlignment="1">
      <alignment horizontal="center" vertical="center" shrinkToFit="1"/>
    </xf>
    <xf numFmtId="2" fontId="4" fillId="0" borderId="11" xfId="2" applyNumberFormat="1" applyBorder="1" applyAlignment="1">
      <alignment vertical="center" shrinkToFit="1"/>
    </xf>
    <xf numFmtId="2" fontId="4" fillId="0" borderId="40" xfId="2" applyNumberFormat="1" applyBorder="1" applyAlignment="1">
      <alignment vertical="center" shrinkToFit="1"/>
    </xf>
    <xf numFmtId="0" fontId="4" fillId="0" borderId="14" xfId="2" applyBorder="1">
      <alignment vertical="center"/>
    </xf>
    <xf numFmtId="0" fontId="15" fillId="0" borderId="16" xfId="2" applyFont="1" applyBorder="1" applyAlignment="1">
      <alignment horizontal="center" vertical="center" shrinkToFit="1"/>
    </xf>
    <xf numFmtId="0" fontId="4" fillId="0" borderId="17" xfId="2" applyBorder="1" applyAlignment="1">
      <alignment horizontal="center" vertical="center"/>
    </xf>
    <xf numFmtId="1" fontId="4" fillId="0" borderId="17" xfId="2" applyNumberFormat="1" applyBorder="1" applyAlignment="1">
      <alignment horizontal="center" vertical="center"/>
    </xf>
    <xf numFmtId="0" fontId="4" fillId="0" borderId="38" xfId="2" applyBorder="1" applyAlignment="1">
      <alignment horizontal="center" vertical="center"/>
    </xf>
    <xf numFmtId="0" fontId="15" fillId="0" borderId="17" xfId="2" applyFont="1" applyFill="1" applyBorder="1" applyAlignment="1">
      <alignment horizontal="center" vertical="center" shrinkToFit="1"/>
    </xf>
    <xf numFmtId="0" fontId="15" fillId="0" borderId="39" xfId="2" applyFont="1" applyFill="1" applyBorder="1" applyAlignment="1">
      <alignment horizontal="center" vertical="center" shrinkToFit="1"/>
    </xf>
    <xf numFmtId="0" fontId="15" fillId="0" borderId="38" xfId="2" applyFont="1" applyFill="1" applyBorder="1" applyAlignment="1">
      <alignment horizontal="center" vertical="center" shrinkToFit="1"/>
    </xf>
    <xf numFmtId="0" fontId="15" fillId="0" borderId="17" xfId="2" applyFont="1" applyFill="1" applyBorder="1" applyAlignment="1">
      <alignment vertical="center"/>
    </xf>
    <xf numFmtId="0" fontId="4" fillId="0" borderId="17" xfId="2" applyBorder="1">
      <alignment vertical="center"/>
    </xf>
    <xf numFmtId="0" fontId="15" fillId="0" borderId="39" xfId="2" applyFont="1" applyFill="1" applyBorder="1" applyAlignment="1">
      <alignment vertical="center"/>
    </xf>
    <xf numFmtId="0" fontId="4" fillId="0" borderId="38" xfId="2" applyFill="1" applyBorder="1" applyAlignment="1">
      <alignment horizontal="distributed" vertical="center"/>
    </xf>
    <xf numFmtId="0" fontId="4" fillId="0" borderId="17" xfId="2" applyFill="1" applyBorder="1" applyAlignment="1">
      <alignment horizontal="distributed" vertical="center"/>
    </xf>
    <xf numFmtId="0" fontId="4" fillId="5" borderId="11" xfId="2" applyFill="1" applyBorder="1" applyAlignment="1">
      <alignment vertical="center" shrinkToFit="1"/>
    </xf>
    <xf numFmtId="0" fontId="4" fillId="5" borderId="14" xfId="2" applyFill="1" applyBorder="1" applyAlignment="1">
      <alignment vertical="center" shrinkToFit="1"/>
    </xf>
    <xf numFmtId="0" fontId="13" fillId="0" borderId="17" xfId="2" applyFont="1" applyBorder="1" applyAlignment="1">
      <alignment horizontal="center" vertical="center" shrinkToFit="1"/>
    </xf>
    <xf numFmtId="0" fontId="15" fillId="0" borderId="17" xfId="2" applyFont="1" applyBorder="1" applyAlignment="1">
      <alignment horizontal="center" vertical="center" shrinkToFit="1"/>
    </xf>
    <xf numFmtId="0" fontId="13" fillId="8" borderId="11" xfId="2" applyFont="1" applyFill="1" applyBorder="1" applyAlignment="1">
      <alignment vertical="center" shrinkToFit="1"/>
    </xf>
    <xf numFmtId="57" fontId="13" fillId="8" borderId="11" xfId="2" applyNumberFormat="1" applyFont="1" applyFill="1" applyBorder="1" applyAlignment="1">
      <alignment vertical="center" shrinkToFit="1"/>
    </xf>
    <xf numFmtId="1" fontId="13" fillId="8" borderId="11" xfId="2" applyNumberFormat="1" applyFont="1" applyFill="1" applyBorder="1" applyAlignment="1">
      <alignment vertical="center" shrinkToFit="1"/>
    </xf>
    <xf numFmtId="0" fontId="4" fillId="0" borderId="11" xfId="2" applyBorder="1" applyAlignment="1">
      <alignment vertical="center" shrinkToFit="1"/>
    </xf>
    <xf numFmtId="0" fontId="4" fillId="0" borderId="40" xfId="2" applyBorder="1" applyAlignment="1">
      <alignment vertical="center" shrinkToFit="1"/>
    </xf>
    <xf numFmtId="57" fontId="13" fillId="8" borderId="14" xfId="2" applyNumberFormat="1" applyFont="1" applyFill="1" applyBorder="1" applyAlignment="1">
      <alignment vertical="center" shrinkToFit="1"/>
    </xf>
    <xf numFmtId="0" fontId="13" fillId="8" borderId="40" xfId="2" applyFont="1" applyFill="1" applyBorder="1" applyAlignment="1">
      <alignment vertical="center" shrinkToFit="1"/>
    </xf>
    <xf numFmtId="0" fontId="13" fillId="8" borderId="38" xfId="2" applyFont="1" applyFill="1" applyBorder="1" applyAlignment="1">
      <alignment vertical="center" shrinkToFit="1"/>
    </xf>
    <xf numFmtId="0" fontId="13" fillId="8" borderId="17" xfId="2" applyFont="1" applyFill="1" applyBorder="1" applyAlignment="1">
      <alignment vertical="center" shrinkToFit="1"/>
    </xf>
    <xf numFmtId="0" fontId="4" fillId="0" borderId="0" xfId="2" applyAlignment="1">
      <alignment vertical="center" shrinkToFit="1"/>
    </xf>
    <xf numFmtId="1" fontId="13" fillId="2" borderId="11" xfId="2" applyNumberFormat="1" applyFont="1" applyFill="1" applyBorder="1" applyAlignment="1">
      <alignment vertical="center" shrinkToFit="1"/>
    </xf>
    <xf numFmtId="179" fontId="13" fillId="8" borderId="11" xfId="2" applyNumberFormat="1" applyFont="1" applyFill="1" applyBorder="1" applyAlignment="1">
      <alignment vertical="center" shrinkToFit="1"/>
    </xf>
    <xf numFmtId="1" fontId="13" fillId="8" borderId="17" xfId="2" applyNumberFormat="1" applyFont="1" applyFill="1" applyBorder="1" applyAlignment="1">
      <alignment vertical="center" shrinkToFit="1"/>
    </xf>
    <xf numFmtId="0" fontId="13" fillId="0" borderId="11" xfId="2" applyFont="1" applyBorder="1" applyAlignment="1">
      <alignment vertical="center" shrinkToFit="1"/>
    </xf>
    <xf numFmtId="57" fontId="13" fillId="0" borderId="11" xfId="2" applyNumberFormat="1" applyFont="1" applyBorder="1" applyAlignment="1">
      <alignment vertical="center" shrinkToFit="1"/>
    </xf>
    <xf numFmtId="1" fontId="13" fillId="0" borderId="11" xfId="2" applyNumberFormat="1" applyFont="1" applyBorder="1" applyAlignment="1">
      <alignment vertical="center" shrinkToFit="1"/>
    </xf>
    <xf numFmtId="57" fontId="13" fillId="0" borderId="14" xfId="2" applyNumberFormat="1" applyFont="1" applyBorder="1" applyAlignment="1">
      <alignment vertical="center" shrinkToFit="1"/>
    </xf>
    <xf numFmtId="1" fontId="13" fillId="2" borderId="40" xfId="2" applyNumberFormat="1" applyFont="1" applyFill="1" applyBorder="1" applyAlignment="1">
      <alignment vertical="center" shrinkToFit="1"/>
    </xf>
    <xf numFmtId="0" fontId="13" fillId="0" borderId="38" xfId="2" applyFont="1" applyBorder="1" applyAlignment="1">
      <alignment vertical="center" shrinkToFit="1"/>
    </xf>
    <xf numFmtId="0" fontId="13" fillId="0" borderId="17" xfId="2" applyFont="1" applyBorder="1" applyAlignment="1">
      <alignment vertical="center" shrinkToFit="1"/>
    </xf>
    <xf numFmtId="180" fontId="13" fillId="2" borderId="11" xfId="2" applyNumberFormat="1" applyFont="1" applyFill="1" applyBorder="1" applyAlignment="1">
      <alignment vertical="center" shrinkToFit="1"/>
    </xf>
    <xf numFmtId="0" fontId="4" fillId="3" borderId="11" xfId="2" applyFill="1" applyBorder="1" applyAlignment="1">
      <alignment vertical="center" shrinkToFit="1"/>
    </xf>
    <xf numFmtId="2" fontId="4" fillId="2" borderId="11" xfId="2" applyNumberFormat="1" applyFill="1" applyBorder="1" applyAlignment="1">
      <alignment vertical="center" shrinkToFit="1"/>
    </xf>
    <xf numFmtId="2" fontId="4" fillId="2" borderId="40" xfId="2" applyNumberFormat="1" applyFill="1" applyBorder="1" applyAlignment="1">
      <alignment vertical="center" shrinkToFit="1"/>
    </xf>
    <xf numFmtId="0" fontId="4" fillId="3" borderId="14" xfId="2" applyFill="1" applyBorder="1" applyAlignment="1">
      <alignment vertical="center" shrinkToFit="1"/>
    </xf>
    <xf numFmtId="0" fontId="13" fillId="0" borderId="14" xfId="2" applyFont="1" applyBorder="1" applyAlignment="1">
      <alignment vertical="center" shrinkToFit="1"/>
    </xf>
    <xf numFmtId="0" fontId="13" fillId="2" borderId="14" xfId="2" applyFont="1" applyFill="1" applyBorder="1" applyAlignment="1">
      <alignment vertical="center" shrinkToFit="1"/>
    </xf>
    <xf numFmtId="0" fontId="13" fillId="2" borderId="11" xfId="2" applyFont="1" applyFill="1" applyBorder="1" applyAlignment="1">
      <alignment vertical="center" shrinkToFit="1"/>
    </xf>
    <xf numFmtId="180" fontId="13" fillId="2" borderId="14" xfId="2" applyNumberFormat="1" applyFont="1" applyFill="1" applyBorder="1" applyAlignment="1">
      <alignment vertical="center" shrinkToFit="1"/>
    </xf>
    <xf numFmtId="57" fontId="16" fillId="0" borderId="11" xfId="2" applyNumberFormat="1" applyFont="1" applyBorder="1" applyAlignment="1">
      <alignment vertical="center" shrinkToFit="1"/>
    </xf>
    <xf numFmtId="1" fontId="16" fillId="0" borderId="11" xfId="2" applyNumberFormat="1" applyFont="1" applyBorder="1" applyAlignment="1">
      <alignment vertical="center" shrinkToFit="1"/>
    </xf>
    <xf numFmtId="0" fontId="16" fillId="0" borderId="11" xfId="2" applyFont="1" applyBorder="1" applyAlignment="1">
      <alignment vertical="center" shrinkToFit="1"/>
    </xf>
    <xf numFmtId="57" fontId="34" fillId="0" borderId="11" xfId="2" applyNumberFormat="1" applyFont="1" applyBorder="1" applyAlignment="1">
      <alignment vertical="center" shrinkToFit="1"/>
    </xf>
    <xf numFmtId="1" fontId="34" fillId="0" borderId="11" xfId="2" applyNumberFormat="1" applyFont="1" applyBorder="1" applyAlignment="1">
      <alignment vertical="center" shrinkToFit="1"/>
    </xf>
    <xf numFmtId="0" fontId="13" fillId="11" borderId="11" xfId="2" applyFont="1" applyFill="1" applyBorder="1" applyAlignment="1">
      <alignment vertical="center" shrinkToFit="1"/>
    </xf>
    <xf numFmtId="57" fontId="34" fillId="11" borderId="11" xfId="2" applyNumberFormat="1" applyFont="1" applyFill="1" applyBorder="1" applyAlignment="1">
      <alignment vertical="center" shrinkToFit="1"/>
    </xf>
    <xf numFmtId="1" fontId="34" fillId="11" borderId="11" xfId="2" applyNumberFormat="1" applyFont="1" applyFill="1" applyBorder="1" applyAlignment="1">
      <alignment vertical="center" shrinkToFit="1"/>
    </xf>
    <xf numFmtId="0" fontId="13" fillId="0" borderId="11" xfId="2" applyFont="1" applyFill="1" applyBorder="1" applyAlignment="1">
      <alignment vertical="center" shrinkToFit="1"/>
    </xf>
    <xf numFmtId="57" fontId="34" fillId="0" borderId="11" xfId="2" applyNumberFormat="1" applyFont="1" applyFill="1" applyBorder="1" applyAlignment="1">
      <alignment vertical="center" shrinkToFit="1"/>
    </xf>
    <xf numFmtId="57" fontId="34" fillId="0" borderId="14" xfId="2" applyNumberFormat="1" applyFont="1" applyFill="1" applyBorder="1" applyAlignment="1">
      <alignment vertical="center" shrinkToFit="1"/>
    </xf>
    <xf numFmtId="0" fontId="13" fillId="0" borderId="40" xfId="2" applyFont="1" applyFill="1" applyBorder="1" applyAlignment="1">
      <alignment vertical="center" shrinkToFit="1"/>
    </xf>
    <xf numFmtId="180" fontId="16" fillId="0" borderId="14" xfId="2" applyNumberFormat="1" applyFont="1" applyFill="1" applyBorder="1" applyAlignment="1">
      <alignment vertical="center" shrinkToFit="1"/>
    </xf>
    <xf numFmtId="180" fontId="13" fillId="0" borderId="11" xfId="2" applyNumberFormat="1" applyFont="1" applyFill="1" applyBorder="1" applyAlignment="1">
      <alignment vertical="center" shrinkToFit="1"/>
    </xf>
    <xf numFmtId="180" fontId="13" fillId="0" borderId="17" xfId="2" applyNumberFormat="1" applyFont="1" applyFill="1" applyBorder="1" applyAlignment="1">
      <alignment vertical="center" shrinkToFit="1"/>
    </xf>
    <xf numFmtId="179" fontId="13" fillId="0" borderId="11" xfId="2" applyNumberFormat="1" applyFont="1" applyFill="1" applyBorder="1" applyAlignment="1">
      <alignment vertical="center" shrinkToFit="1"/>
    </xf>
    <xf numFmtId="179" fontId="13" fillId="0" borderId="14" xfId="2" applyNumberFormat="1" applyFont="1" applyFill="1" applyBorder="1" applyAlignment="1">
      <alignment vertical="center" shrinkToFit="1"/>
    </xf>
    <xf numFmtId="1" fontId="13" fillId="0" borderId="11" xfId="2" applyNumberFormat="1" applyFont="1" applyFill="1" applyBorder="1" applyAlignment="1">
      <alignment vertical="center" shrinkToFit="1"/>
    </xf>
    <xf numFmtId="0" fontId="13" fillId="0" borderId="37" xfId="2" applyFont="1" applyFill="1" applyBorder="1" applyAlignment="1">
      <alignment vertical="center"/>
    </xf>
    <xf numFmtId="0" fontId="35" fillId="0" borderId="0" xfId="2" applyFont="1" applyBorder="1" applyAlignment="1">
      <alignment vertical="center" wrapText="1"/>
    </xf>
    <xf numFmtId="0" fontId="16" fillId="0" borderId="0" xfId="2" applyFont="1" applyFill="1" applyBorder="1" applyAlignment="1">
      <alignment vertical="center"/>
    </xf>
    <xf numFmtId="57" fontId="16" fillId="0" borderId="0" xfId="2" applyNumberFormat="1" applyFont="1" applyBorder="1" applyAlignment="1">
      <alignment vertical="center"/>
    </xf>
    <xf numFmtId="2" fontId="15" fillId="10" borderId="11" xfId="2" applyNumberFormat="1" applyFont="1" applyFill="1" applyBorder="1" applyAlignment="1">
      <alignment vertical="center" shrinkToFit="1"/>
    </xf>
    <xf numFmtId="0" fontId="4" fillId="10" borderId="11" xfId="2" applyFill="1" applyBorder="1" applyAlignment="1">
      <alignment vertical="center" shrinkToFit="1"/>
    </xf>
    <xf numFmtId="0" fontId="13" fillId="10" borderId="11" xfId="2" applyFont="1" applyFill="1" applyBorder="1" applyAlignment="1">
      <alignment horizontal="center" vertical="center" shrinkToFit="1"/>
    </xf>
    <xf numFmtId="0" fontId="4" fillId="10" borderId="11" xfId="2" applyFill="1" applyBorder="1">
      <alignment vertical="center"/>
    </xf>
    <xf numFmtId="0" fontId="36" fillId="0" borderId="0" xfId="2" applyFont="1" applyBorder="1" applyAlignment="1">
      <alignment vertical="center"/>
    </xf>
    <xf numFmtId="0" fontId="38" fillId="0" borderId="0" xfId="1" applyFont="1" applyFill="1" applyBorder="1" applyAlignment="1">
      <alignment vertical="center"/>
    </xf>
    <xf numFmtId="57" fontId="6" fillId="0" borderId="11" xfId="0" applyNumberFormat="1" applyFont="1" applyFill="1" applyBorder="1" applyAlignment="1">
      <alignment horizontal="center" vertical="center" shrinkToFit="1"/>
    </xf>
    <xf numFmtId="0" fontId="6" fillId="0" borderId="11" xfId="0" quotePrefix="1" applyFont="1" applyBorder="1" applyAlignment="1">
      <alignment horizontal="center" vertical="top" wrapText="1"/>
    </xf>
    <xf numFmtId="0" fontId="6" fillId="0" borderId="11" xfId="0" quotePrefix="1" applyFont="1" applyBorder="1" applyAlignment="1">
      <alignment horizontal="left" vertical="top" wrapText="1"/>
    </xf>
    <xf numFmtId="0" fontId="6" fillId="6" borderId="11" xfId="0" quotePrefix="1" applyFont="1" applyFill="1" applyBorder="1" applyAlignment="1">
      <alignment horizontal="left" vertical="top" wrapText="1"/>
    </xf>
    <xf numFmtId="0" fontId="6" fillId="0" borderId="11" xfId="0" applyFont="1" applyBorder="1" applyAlignment="1">
      <alignment vertical="top"/>
    </xf>
    <xf numFmtId="0" fontId="6" fillId="0" borderId="0" xfId="0" applyFont="1" applyAlignment="1">
      <alignment vertical="top"/>
    </xf>
    <xf numFmtId="0" fontId="10" fillId="0" borderId="11" xfId="0" quotePrefix="1" applyFont="1" applyBorder="1" applyAlignment="1">
      <alignment horizontal="left" vertical="top" wrapText="1"/>
    </xf>
    <xf numFmtId="0" fontId="26" fillId="0" borderId="11" xfId="0" quotePrefix="1" applyFont="1" applyBorder="1" applyAlignment="1">
      <alignment horizontal="left" vertical="top" wrapText="1"/>
    </xf>
    <xf numFmtId="0" fontId="12" fillId="6" borderId="11" xfId="0" quotePrefix="1" applyFont="1" applyFill="1" applyBorder="1" applyAlignment="1">
      <alignment horizontal="left" vertical="top" wrapText="1"/>
    </xf>
    <xf numFmtId="0" fontId="12" fillId="7" borderId="11" xfId="0" quotePrefix="1" applyFont="1" applyFill="1" applyBorder="1" applyAlignment="1">
      <alignment horizontal="left" vertical="top" wrapText="1"/>
    </xf>
    <xf numFmtId="0" fontId="26" fillId="7" borderId="11" xfId="0" quotePrefix="1" applyFont="1" applyFill="1" applyBorder="1" applyAlignment="1">
      <alignment horizontal="left" vertical="top" wrapText="1"/>
    </xf>
    <xf numFmtId="0" fontId="12" fillId="0" borderId="11" xfId="0" quotePrefix="1" applyFont="1" applyBorder="1" applyAlignment="1">
      <alignment horizontal="left" vertical="top" wrapText="1"/>
    </xf>
    <xf numFmtId="0" fontId="6" fillId="12" borderId="11" xfId="0" applyFont="1" applyFill="1" applyBorder="1" applyAlignment="1">
      <alignment vertical="top" wrapText="1"/>
    </xf>
    <xf numFmtId="0" fontId="6" fillId="0" borderId="0" xfId="0" applyFont="1">
      <alignment vertical="center"/>
    </xf>
    <xf numFmtId="57" fontId="6" fillId="0" borderId="15" xfId="0" applyNumberFormat="1" applyFont="1" applyFill="1" applyBorder="1" applyAlignment="1">
      <alignment horizontal="center" vertical="center" shrinkToFit="1"/>
    </xf>
    <xf numFmtId="0" fontId="6" fillId="0" borderId="15" xfId="0" quotePrefix="1" applyFont="1" applyBorder="1" applyAlignment="1">
      <alignment horizontal="center" vertical="top" wrapText="1"/>
    </xf>
    <xf numFmtId="0" fontId="6" fillId="0" borderId="15" xfId="0" quotePrefix="1" applyFont="1" applyBorder="1" applyAlignment="1">
      <alignment horizontal="left" vertical="top" wrapText="1"/>
    </xf>
    <xf numFmtId="0" fontId="6" fillId="6" borderId="15" xfId="0" quotePrefix="1" applyFont="1" applyFill="1" applyBorder="1" applyAlignment="1">
      <alignment horizontal="left" vertical="top" wrapText="1"/>
    </xf>
    <xf numFmtId="0" fontId="6" fillId="7" borderId="15" xfId="0" quotePrefix="1" applyFont="1" applyFill="1" applyBorder="1" applyAlignment="1">
      <alignment horizontal="left" vertical="top" wrapText="1"/>
    </xf>
    <xf numFmtId="0" fontId="10" fillId="7" borderId="15" xfId="0" quotePrefix="1" applyFont="1" applyFill="1" applyBorder="1" applyAlignment="1">
      <alignment horizontal="left" vertical="top" wrapText="1"/>
    </xf>
    <xf numFmtId="0" fontId="6" fillId="0" borderId="15" xfId="0" quotePrefix="1" applyFont="1" applyBorder="1" applyAlignment="1">
      <alignment horizontal="left" vertical="top"/>
    </xf>
    <xf numFmtId="0" fontId="6" fillId="0" borderId="15" xfId="0" applyFont="1" applyBorder="1" applyAlignment="1">
      <alignment vertical="top"/>
    </xf>
    <xf numFmtId="182" fontId="6" fillId="0" borderId="11" xfId="0" applyNumberFormat="1" applyFont="1" applyBorder="1">
      <alignment vertical="center"/>
    </xf>
    <xf numFmtId="0" fontId="6" fillId="0" borderId="0" xfId="0" applyFont="1" applyBorder="1" applyAlignment="1">
      <alignment vertical="center"/>
    </xf>
    <xf numFmtId="0" fontId="6" fillId="13" borderId="0" xfId="0" applyFont="1" applyFill="1" applyBorder="1" applyAlignment="1">
      <alignment vertical="center"/>
    </xf>
    <xf numFmtId="0" fontId="7" fillId="0" borderId="41" xfId="0" applyNumberFormat="1" applyFont="1" applyFill="1" applyBorder="1" applyAlignment="1">
      <alignment vertical="center"/>
    </xf>
    <xf numFmtId="0" fontId="6" fillId="0" borderId="42" xfId="0" applyFont="1" applyFill="1" applyBorder="1" applyAlignment="1">
      <alignment vertical="center"/>
    </xf>
    <xf numFmtId="0" fontId="6" fillId="0" borderId="43" xfId="0" applyFont="1" applyFill="1" applyBorder="1" applyAlignment="1">
      <alignment vertical="center"/>
    </xf>
    <xf numFmtId="0" fontId="6" fillId="0" borderId="44" xfId="0" applyFont="1" applyFill="1" applyBorder="1" applyAlignment="1">
      <alignment vertical="center"/>
    </xf>
    <xf numFmtId="56" fontId="7" fillId="0" borderId="1" xfId="0" quotePrefix="1" applyNumberFormat="1" applyFont="1" applyFill="1" applyBorder="1" applyAlignment="1">
      <alignment vertical="center" shrinkToFit="1"/>
    </xf>
    <xf numFmtId="183" fontId="7" fillId="0" borderId="1" xfId="0" quotePrefix="1" applyNumberFormat="1" applyFont="1" applyFill="1" applyBorder="1" applyAlignment="1">
      <alignment horizontal="center" vertical="center" shrinkToFit="1"/>
    </xf>
    <xf numFmtId="179" fontId="7" fillId="0" borderId="1" xfId="0" applyNumberFormat="1" applyFont="1" applyFill="1" applyBorder="1" applyAlignment="1">
      <alignment vertical="center" shrinkToFit="1"/>
    </xf>
    <xf numFmtId="0" fontId="7" fillId="3" borderId="2" xfId="0" applyNumberFormat="1" applyFont="1" applyFill="1" applyBorder="1" applyAlignment="1">
      <alignment vertical="center"/>
    </xf>
    <xf numFmtId="0" fontId="7" fillId="3" borderId="2" xfId="0" applyNumberFormat="1" applyFont="1" applyFill="1" applyBorder="1" applyAlignment="1">
      <alignment vertical="center" wrapText="1"/>
    </xf>
    <xf numFmtId="0" fontId="6" fillId="3" borderId="3" xfId="0" applyFont="1" applyFill="1" applyBorder="1" applyAlignment="1">
      <alignment vertical="center"/>
    </xf>
    <xf numFmtId="176" fontId="7" fillId="3" borderId="2" xfId="0" applyNumberFormat="1" applyFont="1" applyFill="1" applyBorder="1" applyAlignment="1">
      <alignment vertical="center"/>
    </xf>
    <xf numFmtId="176" fontId="6" fillId="0" borderId="4" xfId="0" applyNumberFormat="1" applyFont="1" applyFill="1" applyBorder="1" applyAlignment="1">
      <alignment vertical="center"/>
    </xf>
    <xf numFmtId="176" fontId="6" fillId="2" borderId="4" xfId="0" applyNumberFormat="1" applyFont="1" applyFill="1" applyBorder="1" applyAlignment="1">
      <alignment vertical="center"/>
    </xf>
    <xf numFmtId="0" fontId="6" fillId="0" borderId="45" xfId="0" applyFont="1" applyFill="1" applyBorder="1" applyAlignment="1">
      <alignment vertical="center"/>
    </xf>
    <xf numFmtId="0" fontId="7" fillId="0" borderId="0" xfId="0" applyNumberFormat="1" applyFont="1" applyFill="1" applyBorder="1" applyAlignment="1">
      <alignment vertical="center"/>
    </xf>
    <xf numFmtId="0" fontId="6" fillId="0" borderId="46" xfId="0" applyFont="1" applyFill="1" applyBorder="1" applyAlignment="1">
      <alignment vertical="center"/>
    </xf>
    <xf numFmtId="0" fontId="6" fillId="0" borderId="47" xfId="0" applyFont="1" applyFill="1" applyBorder="1" applyAlignment="1">
      <alignment vertical="center"/>
    </xf>
    <xf numFmtId="0" fontId="7" fillId="0" borderId="2" xfId="0" applyNumberFormat="1" applyFont="1" applyFill="1" applyBorder="1" applyAlignment="1">
      <alignment vertical="center" wrapText="1"/>
    </xf>
    <xf numFmtId="0" fontId="7" fillId="0" borderId="42" xfId="0" applyNumberFormat="1" applyFont="1" applyFill="1" applyBorder="1" applyAlignment="1">
      <alignment vertical="center"/>
    </xf>
    <xf numFmtId="0" fontId="7" fillId="0" borderId="5" xfId="0" applyNumberFormat="1" applyFont="1" applyFill="1" applyBorder="1" applyAlignment="1">
      <alignment vertical="center"/>
    </xf>
    <xf numFmtId="0" fontId="6" fillId="0" borderId="48" xfId="0" applyFont="1" applyFill="1" applyBorder="1" applyAlignment="1">
      <alignment vertical="center"/>
    </xf>
    <xf numFmtId="0" fontId="6" fillId="0" borderId="49" xfId="0" applyFont="1" applyFill="1" applyBorder="1" applyAlignment="1">
      <alignment vertical="center"/>
    </xf>
    <xf numFmtId="0" fontId="6" fillId="0" borderId="50" xfId="0" applyFont="1" applyFill="1" applyBorder="1" applyAlignment="1">
      <alignment vertical="center"/>
    </xf>
    <xf numFmtId="0" fontId="7" fillId="0" borderId="49" xfId="0" applyNumberFormat="1" applyFont="1" applyFill="1" applyBorder="1" applyAlignment="1">
      <alignment vertical="center"/>
    </xf>
    <xf numFmtId="0" fontId="6" fillId="0" borderId="51" xfId="0" applyFont="1" applyFill="1" applyBorder="1" applyAlignment="1">
      <alignment vertical="center"/>
    </xf>
    <xf numFmtId="0" fontId="6" fillId="0" borderId="52" xfId="0" applyFont="1" applyFill="1" applyBorder="1" applyAlignment="1">
      <alignment vertical="center"/>
    </xf>
    <xf numFmtId="0" fontId="6" fillId="0" borderId="53" xfId="0" applyFont="1" applyFill="1" applyBorder="1" applyAlignment="1">
      <alignment vertical="center"/>
    </xf>
    <xf numFmtId="0" fontId="6" fillId="0" borderId="54" xfId="0" applyFont="1" applyFill="1" applyBorder="1" applyAlignment="1">
      <alignment vertical="center"/>
    </xf>
    <xf numFmtId="0" fontId="7" fillId="0" borderId="55" xfId="0" applyNumberFormat="1" applyFont="1" applyFill="1" applyBorder="1" applyAlignment="1">
      <alignment vertical="center"/>
    </xf>
    <xf numFmtId="0" fontId="7" fillId="0" borderId="56" xfId="0" applyNumberFormat="1" applyFont="1" applyFill="1" applyBorder="1" applyAlignment="1">
      <alignment vertical="center"/>
    </xf>
    <xf numFmtId="0" fontId="6" fillId="0" borderId="57" xfId="0" applyFont="1" applyFill="1" applyBorder="1" applyAlignment="1">
      <alignment vertical="center"/>
    </xf>
    <xf numFmtId="2" fontId="7" fillId="0" borderId="2" xfId="0" applyNumberFormat="1" applyFont="1" applyFill="1" applyBorder="1" applyAlignment="1">
      <alignment vertical="center"/>
    </xf>
    <xf numFmtId="0" fontId="6" fillId="0" borderId="41" xfId="0" applyFont="1" applyFill="1" applyBorder="1" applyAlignment="1">
      <alignment vertical="center"/>
    </xf>
    <xf numFmtId="2" fontId="6" fillId="0" borderId="3" xfId="0" applyNumberFormat="1" applyFont="1" applyFill="1" applyBorder="1" applyAlignment="1">
      <alignment vertical="center"/>
    </xf>
    <xf numFmtId="0" fontId="7" fillId="0" borderId="1" xfId="0" applyNumberFormat="1" applyFont="1" applyFill="1" applyBorder="1" applyAlignment="1">
      <alignment horizontal="center" vertical="center"/>
    </xf>
    <xf numFmtId="56" fontId="7" fillId="0" borderId="6" xfId="0" applyNumberFormat="1" applyFont="1" applyFill="1" applyBorder="1" applyAlignment="1">
      <alignment vertical="center" shrinkToFit="1"/>
    </xf>
    <xf numFmtId="56" fontId="7" fillId="0" borderId="41" xfId="0" applyNumberFormat="1" applyFont="1" applyFill="1" applyBorder="1" applyAlignment="1">
      <alignment vertical="center" shrinkToFit="1"/>
    </xf>
    <xf numFmtId="0" fontId="41" fillId="0" borderId="6" xfId="0" applyNumberFormat="1" applyFont="1" applyFill="1" applyBorder="1" applyAlignment="1">
      <alignment vertical="center"/>
    </xf>
    <xf numFmtId="0" fontId="9" fillId="0" borderId="41" xfId="0" applyNumberFormat="1" applyFont="1" applyFill="1" applyBorder="1" applyAlignment="1">
      <alignment vertical="center"/>
    </xf>
    <xf numFmtId="176" fontId="7" fillId="0" borderId="41" xfId="0" applyNumberFormat="1" applyFont="1" applyFill="1" applyBorder="1" applyAlignment="1">
      <alignment vertical="center"/>
    </xf>
    <xf numFmtId="0" fontId="7" fillId="0" borderId="1" xfId="0" applyNumberFormat="1" applyFont="1" applyFill="1" applyBorder="1" applyAlignment="1">
      <alignment vertical="center" wrapText="1"/>
    </xf>
    <xf numFmtId="0" fontId="19" fillId="0" borderId="7" xfId="0" applyFont="1" applyFill="1" applyBorder="1" applyAlignment="1">
      <alignment vertical="center"/>
    </xf>
    <xf numFmtId="2" fontId="6" fillId="0" borderId="4" xfId="0" applyNumberFormat="1" applyFont="1" applyFill="1" applyBorder="1" applyAlignment="1">
      <alignment vertical="center"/>
    </xf>
    <xf numFmtId="0" fontId="9" fillId="0" borderId="49" xfId="0" applyNumberFormat="1" applyFont="1" applyFill="1" applyBorder="1" applyAlignment="1">
      <alignment vertical="center"/>
    </xf>
    <xf numFmtId="0" fontId="6" fillId="3" borderId="1" xfId="0" applyFont="1" applyFill="1" applyBorder="1" applyAlignment="1">
      <alignment vertical="center"/>
    </xf>
    <xf numFmtId="0" fontId="10" fillId="0" borderId="1" xfId="0" applyFont="1" applyFill="1" applyBorder="1" applyAlignment="1">
      <alignment vertical="center"/>
    </xf>
    <xf numFmtId="56" fontId="7" fillId="3" borderId="41" xfId="0" applyNumberFormat="1" applyFont="1" applyFill="1" applyBorder="1" applyAlignment="1">
      <alignment vertical="center" shrinkToFit="1"/>
    </xf>
    <xf numFmtId="0" fontId="9" fillId="0" borderId="0" xfId="0" applyNumberFormat="1" applyFont="1" applyFill="1" applyBorder="1" applyAlignment="1">
      <alignment vertical="center"/>
    </xf>
    <xf numFmtId="176" fontId="7" fillId="3" borderId="1" xfId="0" applyNumberFormat="1" applyFont="1" applyFill="1" applyBorder="1" applyAlignment="1">
      <alignment vertical="center"/>
    </xf>
    <xf numFmtId="176" fontId="7" fillId="3" borderId="41" xfId="0" applyNumberFormat="1" applyFont="1" applyFill="1" applyBorder="1" applyAlignment="1">
      <alignment vertical="center"/>
    </xf>
    <xf numFmtId="176" fontId="6" fillId="0" borderId="42" xfId="0" applyNumberFormat="1" applyFont="1" applyFill="1" applyBorder="1" applyAlignment="1">
      <alignment vertical="center"/>
    </xf>
    <xf numFmtId="176" fontId="6" fillId="0" borderId="43" xfId="0" applyNumberFormat="1" applyFont="1" applyFill="1" applyBorder="1" applyAlignment="1">
      <alignment vertical="center"/>
    </xf>
    <xf numFmtId="176" fontId="6" fillId="3" borderId="42" xfId="0" applyNumberFormat="1" applyFont="1" applyFill="1" applyBorder="1" applyAlignment="1">
      <alignment vertical="center"/>
    </xf>
    <xf numFmtId="179" fontId="7" fillId="0" borderId="41" xfId="0" applyNumberFormat="1" applyFont="1" applyFill="1" applyBorder="1" applyAlignment="1">
      <alignment vertical="center" shrinkToFit="1"/>
    </xf>
    <xf numFmtId="0" fontId="9" fillId="0" borderId="6" xfId="0" applyNumberFormat="1" applyFont="1" applyFill="1" applyBorder="1" applyAlignment="1">
      <alignment vertical="center"/>
    </xf>
    <xf numFmtId="179" fontId="39" fillId="0" borderId="1" xfId="0" applyNumberFormat="1" applyFont="1" applyFill="1" applyBorder="1" applyAlignment="1">
      <alignment vertical="center"/>
    </xf>
    <xf numFmtId="0" fontId="7" fillId="0" borderId="6" xfId="0" applyNumberFormat="1" applyFont="1" applyFill="1" applyBorder="1" applyAlignment="1">
      <alignment vertical="center" wrapText="1"/>
    </xf>
    <xf numFmtId="0" fontId="0" fillId="0" borderId="0" xfId="0" applyBorder="1" applyAlignment="1">
      <alignment vertical="top" wrapText="1"/>
    </xf>
    <xf numFmtId="179" fontId="6" fillId="0" borderId="1" xfId="0" applyNumberFormat="1" applyFont="1" applyFill="1" applyBorder="1" applyAlignment="1">
      <alignment vertical="center" shrinkToFit="1"/>
    </xf>
    <xf numFmtId="0" fontId="6" fillId="0" borderId="42" xfId="0" applyFont="1" applyBorder="1" applyAlignment="1">
      <alignment vertical="center"/>
    </xf>
    <xf numFmtId="0" fontId="6" fillId="0" borderId="43" xfId="0" applyFont="1" applyBorder="1" applyAlignment="1">
      <alignment vertical="center"/>
    </xf>
    <xf numFmtId="56" fontId="7" fillId="0" borderId="1" xfId="0" applyNumberFormat="1" applyFont="1" applyFill="1" applyBorder="1" applyAlignment="1">
      <alignment vertical="center" shrinkToFit="1"/>
    </xf>
    <xf numFmtId="0" fontId="7" fillId="3" borderId="1" xfId="0" applyNumberFormat="1" applyFont="1" applyFill="1" applyBorder="1" applyAlignment="1">
      <alignment vertical="center" wrapText="1"/>
    </xf>
    <xf numFmtId="0" fontId="6" fillId="0" borderId="5" xfId="0" applyFont="1" applyBorder="1" applyAlignment="1">
      <alignment vertical="center"/>
    </xf>
    <xf numFmtId="0" fontId="6" fillId="0" borderId="8" xfId="0" applyFont="1" applyBorder="1" applyAlignment="1">
      <alignment vertical="center"/>
    </xf>
    <xf numFmtId="0" fontId="6" fillId="0" borderId="58" xfId="0" applyFont="1" applyFill="1" applyBorder="1" applyAlignment="1">
      <alignment vertical="center"/>
    </xf>
    <xf numFmtId="0" fontId="6" fillId="0" borderId="59" xfId="0" applyFont="1" applyFill="1" applyBorder="1" applyAlignment="1">
      <alignment vertical="center"/>
    </xf>
    <xf numFmtId="0" fontId="6" fillId="3" borderId="41" xfId="0" applyFont="1" applyFill="1" applyBorder="1" applyAlignment="1">
      <alignment vertical="center"/>
    </xf>
    <xf numFmtId="0" fontId="7" fillId="3" borderId="1" xfId="0" applyNumberFormat="1" applyFont="1" applyFill="1" applyBorder="1" applyAlignment="1">
      <alignment horizontal="right" vertical="center"/>
    </xf>
    <xf numFmtId="56" fontId="7" fillId="3" borderId="1" xfId="0" quotePrefix="1" applyNumberFormat="1" applyFont="1" applyFill="1" applyBorder="1" applyAlignment="1">
      <alignment vertical="center" shrinkToFit="1"/>
    </xf>
    <xf numFmtId="0" fontId="7" fillId="3" borderId="41" xfId="0" applyNumberFormat="1" applyFont="1" applyFill="1" applyBorder="1" applyAlignment="1">
      <alignment vertical="center"/>
    </xf>
    <xf numFmtId="0" fontId="7" fillId="3" borderId="1" xfId="0" applyNumberFormat="1" applyFont="1" applyFill="1" applyBorder="1" applyAlignment="1">
      <alignment vertical="center" shrinkToFit="1"/>
    </xf>
    <xf numFmtId="0" fontId="6" fillId="3" borderId="4" xfId="0" applyFont="1" applyFill="1" applyBorder="1" applyAlignment="1">
      <alignment vertical="center"/>
    </xf>
    <xf numFmtId="0" fontId="6" fillId="0" borderId="60" xfId="0" applyFont="1" applyFill="1" applyBorder="1" applyAlignment="1">
      <alignment vertical="center"/>
    </xf>
    <xf numFmtId="0" fontId="6" fillId="0" borderId="61" xfId="0" applyFont="1" applyFill="1" applyBorder="1" applyAlignment="1">
      <alignment vertical="center"/>
    </xf>
    <xf numFmtId="0" fontId="6" fillId="0" borderId="6" xfId="0" applyFont="1" applyFill="1" applyBorder="1" applyAlignment="1">
      <alignment vertical="center"/>
    </xf>
    <xf numFmtId="0" fontId="7" fillId="0" borderId="62" xfId="0" applyNumberFormat="1" applyFont="1" applyFill="1" applyBorder="1" applyAlignment="1">
      <alignment vertical="center"/>
    </xf>
    <xf numFmtId="0" fontId="7" fillId="0" borderId="63" xfId="0" applyNumberFormat="1" applyFont="1" applyFill="1" applyBorder="1" applyAlignment="1">
      <alignment vertical="center"/>
    </xf>
    <xf numFmtId="0" fontId="6" fillId="0" borderId="64" xfId="0" applyFont="1" applyFill="1" applyBorder="1" applyAlignment="1">
      <alignment vertical="center"/>
    </xf>
    <xf numFmtId="0" fontId="7" fillId="0" borderId="65" xfId="0" applyNumberFormat="1" applyFont="1" applyFill="1" applyBorder="1" applyAlignment="1">
      <alignment vertical="center"/>
    </xf>
    <xf numFmtId="183" fontId="7" fillId="0" borderId="1" xfId="0" applyNumberFormat="1" applyFont="1" applyFill="1" applyBorder="1" applyAlignment="1">
      <alignment horizontal="center" vertical="center" shrinkToFit="1"/>
    </xf>
    <xf numFmtId="0" fontId="6" fillId="0" borderId="7" xfId="0" applyFont="1" applyFill="1" applyBorder="1" applyAlignment="1">
      <alignment vertical="center" shrinkToFit="1"/>
    </xf>
    <xf numFmtId="0" fontId="43" fillId="0" borderId="0" xfId="0" applyNumberFormat="1" applyFont="1" applyFill="1" applyBorder="1" applyAlignment="1">
      <alignment vertical="center"/>
    </xf>
    <xf numFmtId="179" fontId="45" fillId="0" borderId="1" xfId="0" applyNumberFormat="1" applyFont="1" applyFill="1" applyBorder="1" applyAlignment="1">
      <alignment vertical="center"/>
    </xf>
    <xf numFmtId="0" fontId="7" fillId="0" borderId="1" xfId="0" applyNumberFormat="1" applyFont="1" applyFill="1" applyBorder="1" applyAlignment="1">
      <alignment vertical="center" shrinkToFit="1"/>
    </xf>
    <xf numFmtId="0" fontId="9" fillId="0" borderId="65" xfId="0" applyNumberFormat="1" applyFont="1" applyFill="1" applyBorder="1" applyAlignment="1">
      <alignment vertical="center"/>
    </xf>
    <xf numFmtId="0" fontId="8" fillId="0" borderId="4" xfId="0" applyFont="1" applyBorder="1" applyAlignment="1">
      <alignment horizontal="center" vertical="top"/>
    </xf>
    <xf numFmtId="56" fontId="7" fillId="0" borderId="1" xfId="0" applyNumberFormat="1" applyFont="1" applyFill="1" applyBorder="1" applyAlignment="1">
      <alignment horizontal="center" vertical="center" shrinkToFit="1"/>
    </xf>
    <xf numFmtId="179" fontId="43" fillId="0" borderId="1" xfId="0" applyNumberFormat="1" applyFont="1" applyFill="1" applyBorder="1" applyAlignment="1">
      <alignment vertical="center"/>
    </xf>
    <xf numFmtId="56" fontId="7" fillId="3" borderId="1" xfId="0" applyNumberFormat="1" applyFont="1" applyFill="1" applyBorder="1" applyAlignment="1">
      <alignment horizontal="center" vertical="center" shrinkToFit="1"/>
    </xf>
    <xf numFmtId="0" fontId="6" fillId="0" borderId="66" xfId="0" applyFont="1" applyFill="1" applyBorder="1" applyAlignment="1">
      <alignment vertical="center"/>
    </xf>
    <xf numFmtId="2" fontId="7" fillId="3" borderId="1" xfId="0" applyNumberFormat="1" applyFont="1" applyFill="1" applyBorder="1" applyAlignment="1">
      <alignment vertical="center"/>
    </xf>
    <xf numFmtId="0" fontId="7" fillId="0" borderId="41" xfId="0" applyNumberFormat="1" applyFont="1" applyFill="1" applyBorder="1" applyAlignment="1">
      <alignment horizontal="center" vertical="center"/>
    </xf>
    <xf numFmtId="176" fontId="7" fillId="3" borderId="6" xfId="0" applyNumberFormat="1" applyFont="1" applyFill="1" applyBorder="1" applyAlignment="1">
      <alignment vertical="center"/>
    </xf>
    <xf numFmtId="0" fontId="6" fillId="0" borderId="41" xfId="0" applyNumberFormat="1" applyFont="1" applyFill="1" applyBorder="1" applyAlignment="1">
      <alignment vertical="center"/>
    </xf>
    <xf numFmtId="176" fontId="6" fillId="0" borderId="7" xfId="0" applyNumberFormat="1" applyFont="1" applyFill="1" applyBorder="1" applyAlignment="1">
      <alignment vertical="center"/>
    </xf>
    <xf numFmtId="0" fontId="6" fillId="0" borderId="41" xfId="0" applyNumberFormat="1" applyFont="1" applyFill="1" applyBorder="1" applyAlignment="1">
      <alignment vertical="center" wrapText="1"/>
    </xf>
    <xf numFmtId="0" fontId="6" fillId="0" borderId="56" xfId="0" applyNumberFormat="1" applyFont="1" applyFill="1" applyBorder="1" applyAlignment="1">
      <alignment vertical="center"/>
    </xf>
    <xf numFmtId="56" fontId="6" fillId="0" borderId="6" xfId="0" applyNumberFormat="1" applyFont="1" applyFill="1" applyBorder="1" applyAlignment="1">
      <alignment vertical="center" shrinkToFit="1"/>
    </xf>
    <xf numFmtId="56" fontId="6" fillId="0" borderId="41" xfId="0" applyNumberFormat="1" applyFont="1" applyFill="1" applyBorder="1" applyAlignment="1">
      <alignment vertical="center" shrinkToFit="1"/>
    </xf>
    <xf numFmtId="176" fontId="6" fillId="0" borderId="41" xfId="0" applyNumberFormat="1" applyFont="1" applyFill="1" applyBorder="1" applyAlignment="1">
      <alignment vertical="center"/>
    </xf>
    <xf numFmtId="179" fontId="6" fillId="0" borderId="41" xfId="0" applyNumberFormat="1" applyFont="1" applyFill="1" applyBorder="1" applyAlignment="1">
      <alignment vertical="center" shrinkToFit="1"/>
    </xf>
    <xf numFmtId="179" fontId="6" fillId="0" borderId="1" xfId="0" applyNumberFormat="1" applyFont="1" applyFill="1" applyBorder="1" applyAlignment="1">
      <alignment vertical="center"/>
    </xf>
    <xf numFmtId="0" fontId="6" fillId="0" borderId="63" xfId="0" applyNumberFormat="1" applyFont="1" applyFill="1" applyBorder="1" applyAlignment="1">
      <alignment vertical="center"/>
    </xf>
    <xf numFmtId="0" fontId="7" fillId="3" borderId="41" xfId="0" applyNumberFormat="1" applyFont="1" applyFill="1" applyBorder="1" applyAlignment="1">
      <alignment vertical="center" wrapText="1"/>
    </xf>
    <xf numFmtId="180" fontId="7" fillId="3" borderId="1" xfId="0" applyNumberFormat="1" applyFont="1" applyFill="1" applyBorder="1" applyAlignment="1">
      <alignment vertical="center" shrinkToFit="1"/>
    </xf>
    <xf numFmtId="0" fontId="6" fillId="3" borderId="42" xfId="0" applyFont="1" applyFill="1" applyBorder="1" applyAlignment="1">
      <alignment vertical="center"/>
    </xf>
    <xf numFmtId="56" fontId="7" fillId="3" borderId="41" xfId="0" applyNumberFormat="1" applyFont="1" applyFill="1" applyBorder="1" applyAlignment="1">
      <alignment horizontal="center" vertical="center" shrinkToFit="1"/>
    </xf>
    <xf numFmtId="0" fontId="6" fillId="3" borderId="43" xfId="0" applyFont="1" applyFill="1" applyBorder="1" applyAlignment="1">
      <alignment vertical="center"/>
    </xf>
    <xf numFmtId="0" fontId="6" fillId="13" borderId="0" xfId="0" applyFont="1" applyFill="1">
      <alignment vertical="center"/>
    </xf>
    <xf numFmtId="57" fontId="6" fillId="13" borderId="11" xfId="0" applyNumberFormat="1" applyFont="1" applyFill="1" applyBorder="1" applyAlignment="1">
      <alignment vertical="center" shrinkToFit="1"/>
    </xf>
    <xf numFmtId="0" fontId="6" fillId="0" borderId="0" xfId="0" applyFont="1" applyFill="1">
      <alignment vertical="center"/>
    </xf>
    <xf numFmtId="0" fontId="6" fillId="2" borderId="67" xfId="0" applyFont="1" applyFill="1" applyBorder="1">
      <alignment vertical="center"/>
    </xf>
    <xf numFmtId="0" fontId="6" fillId="0" borderId="68" xfId="0" applyFont="1" applyBorder="1">
      <alignment vertical="center"/>
    </xf>
    <xf numFmtId="0" fontId="6" fillId="13" borderId="14" xfId="0" applyFont="1" applyFill="1" applyBorder="1">
      <alignment vertical="center"/>
    </xf>
    <xf numFmtId="0" fontId="6" fillId="13" borderId="11" xfId="0" applyFont="1" applyFill="1" applyBorder="1">
      <alignment vertical="center"/>
    </xf>
    <xf numFmtId="0" fontId="6" fillId="0" borderId="0" xfId="0" applyFont="1" applyFill="1" applyBorder="1">
      <alignment vertical="center"/>
    </xf>
    <xf numFmtId="0" fontId="6" fillId="0" borderId="11" xfId="0" applyFont="1" applyBorder="1" applyAlignment="1">
      <alignment horizontal="right" vertical="center"/>
    </xf>
    <xf numFmtId="57" fontId="6" fillId="3" borderId="11" xfId="0" applyNumberFormat="1" applyFont="1" applyFill="1" applyBorder="1" applyAlignment="1">
      <alignment vertical="center" shrinkToFit="1"/>
    </xf>
    <xf numFmtId="0" fontId="10" fillId="0" borderId="0" xfId="0" applyFont="1">
      <alignment vertical="center"/>
    </xf>
    <xf numFmtId="57" fontId="6" fillId="0" borderId="0" xfId="0" applyNumberFormat="1" applyFont="1" applyAlignment="1">
      <alignment vertical="center" shrinkToFit="1"/>
    </xf>
    <xf numFmtId="180" fontId="6" fillId="0" borderId="11" xfId="0" applyNumberFormat="1" applyFont="1" applyBorder="1">
      <alignment vertical="center"/>
    </xf>
    <xf numFmtId="0" fontId="6" fillId="0" borderId="0" xfId="0" applyFont="1" applyBorder="1">
      <alignment vertical="center"/>
    </xf>
    <xf numFmtId="57" fontId="6" fillId="13" borderId="11" xfId="0" quotePrefix="1" applyNumberFormat="1" applyFont="1" applyFill="1" applyBorder="1" applyAlignment="1">
      <alignment vertical="center" shrinkToFit="1"/>
    </xf>
    <xf numFmtId="0" fontId="6" fillId="4" borderId="0" xfId="0" applyFont="1" applyFill="1">
      <alignment vertical="center"/>
    </xf>
    <xf numFmtId="0" fontId="3" fillId="0" borderId="0" xfId="3" applyFill="1">
      <alignment vertical="center"/>
    </xf>
    <xf numFmtId="0" fontId="47" fillId="0" borderId="0" xfId="3" applyFont="1" applyFill="1">
      <alignment vertical="center"/>
    </xf>
    <xf numFmtId="0" fontId="48" fillId="0" borderId="0" xfId="3" applyFont="1" applyFill="1">
      <alignment vertical="center"/>
    </xf>
    <xf numFmtId="0" fontId="3" fillId="0" borderId="0" xfId="3" applyFont="1" applyFill="1">
      <alignment vertical="center"/>
    </xf>
    <xf numFmtId="0" fontId="49" fillId="0" borderId="0" xfId="4" applyFill="1">
      <alignment vertical="center"/>
    </xf>
    <xf numFmtId="0" fontId="3" fillId="5" borderId="11" xfId="3" applyFont="1" applyFill="1" applyBorder="1">
      <alignment vertical="center"/>
    </xf>
    <xf numFmtId="0" fontId="3" fillId="5" borderId="11" xfId="3" applyFill="1" applyBorder="1">
      <alignment vertical="center"/>
    </xf>
    <xf numFmtId="0" fontId="15" fillId="5" borderId="11" xfId="3" applyFont="1" applyFill="1" applyBorder="1" applyAlignment="1">
      <alignment horizontal="center" vertical="top" wrapText="1"/>
    </xf>
    <xf numFmtId="0" fontId="13" fillId="5" borderId="11" xfId="3" applyFont="1" applyFill="1" applyBorder="1" applyAlignment="1">
      <alignment horizontal="center" vertical="top" wrapText="1"/>
    </xf>
    <xf numFmtId="0" fontId="29" fillId="5" borderId="11" xfId="3" applyFont="1" applyFill="1" applyBorder="1" applyAlignment="1">
      <alignment horizontal="center" vertical="top" wrapText="1"/>
    </xf>
    <xf numFmtId="0" fontId="3" fillId="0" borderId="0" xfId="3" applyFont="1" applyFill="1" applyAlignment="1">
      <alignment horizontal="center" vertical="top" wrapText="1"/>
    </xf>
    <xf numFmtId="0" fontId="3" fillId="0" borderId="0" xfId="3" applyFill="1" applyAlignment="1">
      <alignment vertical="top" wrapText="1"/>
    </xf>
    <xf numFmtId="0" fontId="3" fillId="0" borderId="0" xfId="3" applyFont="1" applyFill="1" applyAlignment="1">
      <alignment vertical="top" wrapText="1"/>
    </xf>
    <xf numFmtId="0" fontId="15" fillId="0" borderId="0" xfId="3" applyFont="1" applyFill="1">
      <alignment vertical="center"/>
    </xf>
    <xf numFmtId="57" fontId="3" fillId="0" borderId="11" xfId="3" applyNumberFormat="1" applyFill="1" applyBorder="1" applyAlignment="1">
      <alignment vertical="center" shrinkToFit="1"/>
    </xf>
    <xf numFmtId="183" fontId="3" fillId="0" borderId="11" xfId="3" applyNumberFormat="1" applyFill="1" applyBorder="1" applyAlignment="1">
      <alignment horizontal="center" vertical="center" shrinkToFit="1"/>
    </xf>
    <xf numFmtId="0" fontId="3" fillId="0" borderId="11" xfId="3" applyFill="1" applyBorder="1" applyAlignment="1">
      <alignment vertical="center" shrinkToFit="1"/>
    </xf>
    <xf numFmtId="179" fontId="3" fillId="0" borderId="11" xfId="3" applyNumberFormat="1" applyFill="1" applyBorder="1" applyAlignment="1">
      <alignment vertical="center" shrinkToFit="1"/>
    </xf>
    <xf numFmtId="0" fontId="50" fillId="0" borderId="11" xfId="3" applyFont="1" applyFill="1" applyBorder="1">
      <alignment vertical="center"/>
    </xf>
    <xf numFmtId="0" fontId="51" fillId="0" borderId="0" xfId="3" applyFont="1" applyFill="1">
      <alignment vertical="center"/>
    </xf>
    <xf numFmtId="0" fontId="29" fillId="0" borderId="0" xfId="3" applyFont="1" applyFill="1">
      <alignment vertical="center"/>
    </xf>
    <xf numFmtId="0" fontId="3" fillId="0" borderId="0" xfId="3" applyFill="1" applyAlignment="1">
      <alignment vertical="center" shrinkToFit="1"/>
    </xf>
    <xf numFmtId="0" fontId="3" fillId="2" borderId="0" xfId="3" applyFill="1" applyAlignment="1">
      <alignment vertical="center" shrinkToFit="1"/>
    </xf>
    <xf numFmtId="2" fontId="3" fillId="2" borderId="0" xfId="3" applyNumberFormat="1" applyFill="1" applyAlignment="1">
      <alignment vertical="center" shrinkToFit="1"/>
    </xf>
    <xf numFmtId="57" fontId="3" fillId="0" borderId="11" xfId="3" applyNumberFormat="1" applyFill="1" applyBorder="1" applyAlignment="1">
      <alignment horizontal="center" vertical="center" shrinkToFit="1"/>
    </xf>
    <xf numFmtId="0" fontId="3" fillId="0" borderId="0" xfId="3" applyFont="1" applyFill="1" applyAlignment="1">
      <alignment horizontal="center" vertical="center"/>
    </xf>
    <xf numFmtId="179" fontId="6" fillId="0" borderId="11" xfId="0" applyNumberFormat="1" applyFont="1" applyBorder="1" applyAlignment="1">
      <alignment vertical="center" shrinkToFit="1"/>
    </xf>
    <xf numFmtId="1" fontId="3" fillId="2" borderId="0" xfId="3" applyNumberFormat="1" applyFill="1" applyAlignment="1">
      <alignment vertical="center" shrinkToFit="1"/>
    </xf>
    <xf numFmtId="0" fontId="50" fillId="0" borderId="0" xfId="3" applyFont="1" applyFill="1" applyAlignment="1">
      <alignment horizontal="right" vertical="center"/>
    </xf>
    <xf numFmtId="1" fontId="3" fillId="0" borderId="0" xfId="3" applyNumberFormat="1" applyFill="1" applyAlignment="1">
      <alignment vertical="center" shrinkToFit="1"/>
    </xf>
    <xf numFmtId="2" fontId="3" fillId="0" borderId="0" xfId="3" applyNumberFormat="1" applyFill="1" applyAlignment="1">
      <alignment vertical="center" shrinkToFit="1"/>
    </xf>
    <xf numFmtId="0" fontId="19" fillId="0" borderId="0" xfId="0" applyFont="1" applyFill="1">
      <alignment vertical="center"/>
    </xf>
    <xf numFmtId="0" fontId="19" fillId="0" borderId="0" xfId="0" applyFont="1">
      <alignment vertical="center"/>
    </xf>
    <xf numFmtId="179" fontId="52" fillId="0" borderId="11" xfId="3" applyNumberFormat="1" applyFont="1" applyFill="1" applyBorder="1" applyAlignment="1">
      <alignment vertical="center" shrinkToFit="1"/>
    </xf>
    <xf numFmtId="179" fontId="52" fillId="0" borderId="11" xfId="0" applyNumberFormat="1" applyFont="1" applyBorder="1" applyAlignment="1">
      <alignment vertical="center" shrinkToFit="1"/>
    </xf>
    <xf numFmtId="179" fontId="53" fillId="0" borderId="11" xfId="3" applyNumberFormat="1" applyFont="1" applyFill="1" applyBorder="1" applyAlignment="1">
      <alignment vertical="center" shrinkToFit="1"/>
    </xf>
    <xf numFmtId="178" fontId="3" fillId="0" borderId="11" xfId="3" applyNumberFormat="1" applyFill="1" applyBorder="1" applyAlignment="1">
      <alignment vertical="center" shrinkToFit="1"/>
    </xf>
    <xf numFmtId="0" fontId="3" fillId="0" borderId="11" xfId="3" applyFill="1" applyBorder="1">
      <alignment vertical="center"/>
    </xf>
    <xf numFmtId="2" fontId="3" fillId="0" borderId="11" xfId="3" applyNumberFormat="1" applyFill="1" applyBorder="1" applyAlignment="1">
      <alignment vertical="center" shrinkToFit="1"/>
    </xf>
    <xf numFmtId="178" fontId="3" fillId="2" borderId="11" xfId="3" applyNumberFormat="1" applyFont="1" applyFill="1" applyBorder="1" applyAlignment="1">
      <alignment vertical="center" shrinkToFit="1"/>
    </xf>
    <xf numFmtId="0" fontId="3" fillId="2" borderId="11" xfId="3" applyFill="1" applyBorder="1">
      <alignment vertical="center"/>
    </xf>
    <xf numFmtId="2" fontId="3" fillId="2" borderId="11" xfId="3" applyNumberFormat="1" applyFill="1" applyBorder="1" applyAlignment="1">
      <alignment vertical="center" shrinkToFit="1"/>
    </xf>
    <xf numFmtId="179" fontId="3" fillId="14" borderId="11" xfId="3" applyNumberFormat="1" applyFill="1" applyBorder="1" applyAlignment="1">
      <alignment vertical="center" shrinkToFit="1"/>
    </xf>
    <xf numFmtId="57" fontId="3" fillId="0" borderId="11" xfId="3" applyNumberFormat="1" applyFont="1" applyFill="1" applyBorder="1" applyAlignment="1">
      <alignment vertical="center" shrinkToFit="1"/>
    </xf>
    <xf numFmtId="0" fontId="50" fillId="0" borderId="11" xfId="3" applyFont="1" applyFill="1" applyBorder="1" applyAlignment="1">
      <alignment vertical="center" shrinkToFit="1"/>
    </xf>
    <xf numFmtId="0" fontId="3" fillId="0" borderId="11" xfId="3" applyFont="1" applyFill="1" applyBorder="1">
      <alignment vertical="center"/>
    </xf>
    <xf numFmtId="179" fontId="3" fillId="0" borderId="11" xfId="3" applyNumberFormat="1" applyFill="1" applyBorder="1">
      <alignment vertical="center"/>
    </xf>
    <xf numFmtId="0" fontId="3" fillId="2" borderId="11" xfId="3" applyFill="1" applyBorder="1" applyAlignment="1">
      <alignment vertical="center" shrinkToFit="1"/>
    </xf>
    <xf numFmtId="57" fontId="3" fillId="0" borderId="69" xfId="3" applyNumberFormat="1" applyFill="1" applyBorder="1" applyAlignment="1">
      <alignment vertical="center" shrinkToFit="1"/>
    </xf>
    <xf numFmtId="183" fontId="3" fillId="0" borderId="70" xfId="3" applyNumberFormat="1" applyFill="1" applyBorder="1" applyAlignment="1">
      <alignment horizontal="center" vertical="center" shrinkToFit="1"/>
    </xf>
    <xf numFmtId="0" fontId="3" fillId="0" borderId="70" xfId="3" applyFill="1" applyBorder="1" applyAlignment="1">
      <alignment vertical="center" shrinkToFit="1"/>
    </xf>
    <xf numFmtId="0" fontId="3" fillId="0" borderId="70" xfId="3" applyFill="1" applyBorder="1">
      <alignment vertical="center"/>
    </xf>
    <xf numFmtId="0" fontId="3" fillId="0" borderId="71" xfId="3" applyFill="1" applyBorder="1">
      <alignment vertical="center"/>
    </xf>
    <xf numFmtId="57" fontId="3" fillId="0" borderId="72" xfId="3" applyNumberFormat="1" applyFill="1" applyBorder="1" applyAlignment="1">
      <alignment vertical="center" shrinkToFit="1"/>
    </xf>
    <xf numFmtId="0" fontId="3" fillId="0" borderId="40" xfId="3" applyFill="1" applyBorder="1">
      <alignment vertical="center"/>
    </xf>
    <xf numFmtId="57" fontId="3" fillId="0" borderId="73" xfId="3" applyNumberFormat="1" applyFill="1" applyBorder="1" applyAlignment="1">
      <alignment vertical="center" shrinkToFit="1"/>
    </xf>
    <xf numFmtId="183" fontId="3" fillId="0" borderId="74" xfId="3" applyNumberFormat="1" applyFill="1" applyBorder="1" applyAlignment="1">
      <alignment horizontal="center" vertical="center" shrinkToFit="1"/>
    </xf>
    <xf numFmtId="0" fontId="3" fillId="0" borderId="74" xfId="3" applyFill="1" applyBorder="1" applyAlignment="1">
      <alignment vertical="center" shrinkToFit="1"/>
    </xf>
    <xf numFmtId="0" fontId="3" fillId="0" borderId="74" xfId="3" applyFill="1" applyBorder="1">
      <alignment vertical="center"/>
    </xf>
    <xf numFmtId="0" fontId="3" fillId="0" borderId="75" xfId="3" applyFill="1" applyBorder="1">
      <alignment vertical="center"/>
    </xf>
    <xf numFmtId="1" fontId="3" fillId="2" borderId="11" xfId="3" applyNumberFormat="1" applyFill="1" applyBorder="1" applyAlignment="1">
      <alignment vertical="center" shrinkToFit="1"/>
    </xf>
    <xf numFmtId="0" fontId="3" fillId="0" borderId="71" xfId="3" applyFill="1" applyBorder="1" applyAlignment="1">
      <alignment vertical="center" shrinkToFit="1"/>
    </xf>
    <xf numFmtId="0" fontId="3" fillId="0" borderId="40" xfId="3" applyFill="1" applyBorder="1" applyAlignment="1">
      <alignment vertical="center" shrinkToFit="1"/>
    </xf>
    <xf numFmtId="0" fontId="3" fillId="0" borderId="75" xfId="3" applyFill="1" applyBorder="1" applyAlignment="1">
      <alignment vertical="center" shrinkToFit="1"/>
    </xf>
    <xf numFmtId="0" fontId="3" fillId="0" borderId="15" xfId="3" applyFill="1" applyBorder="1">
      <alignment vertical="center"/>
    </xf>
    <xf numFmtId="0" fontId="3" fillId="0" borderId="15" xfId="3" applyFill="1" applyBorder="1" applyAlignment="1">
      <alignment vertical="center" shrinkToFit="1"/>
    </xf>
    <xf numFmtId="0" fontId="50" fillId="0" borderId="15" xfId="3" applyFont="1" applyFill="1" applyBorder="1">
      <alignment vertical="center"/>
    </xf>
    <xf numFmtId="179" fontId="3" fillId="0" borderId="70" xfId="3" applyNumberFormat="1" applyFill="1" applyBorder="1" applyAlignment="1">
      <alignment vertical="center" shrinkToFit="1"/>
    </xf>
    <xf numFmtId="0" fontId="50" fillId="0" borderId="71" xfId="3" applyFont="1" applyFill="1" applyBorder="1">
      <alignment vertical="center"/>
    </xf>
    <xf numFmtId="57" fontId="3" fillId="0" borderId="72" xfId="3" applyNumberFormat="1" applyFill="1" applyBorder="1" applyAlignment="1">
      <alignment horizontal="center" vertical="center" shrinkToFit="1"/>
    </xf>
    <xf numFmtId="0" fontId="50" fillId="0" borderId="40" xfId="3" applyFont="1" applyFill="1" applyBorder="1">
      <alignment vertical="center"/>
    </xf>
    <xf numFmtId="57" fontId="6" fillId="13" borderId="72" xfId="0" applyNumberFormat="1" applyFont="1" applyFill="1" applyBorder="1" applyAlignment="1">
      <alignment vertical="center" shrinkToFit="1"/>
    </xf>
    <xf numFmtId="180" fontId="6" fillId="2" borderId="11" xfId="0" applyNumberFormat="1" applyFont="1" applyFill="1" applyBorder="1" applyAlignment="1">
      <alignment vertical="center" shrinkToFit="1"/>
    </xf>
    <xf numFmtId="181" fontId="13" fillId="2" borderId="11" xfId="0" applyNumberFormat="1" applyFont="1" applyFill="1" applyBorder="1" applyAlignment="1">
      <alignment horizontal="center" vertical="center" shrinkToFit="1"/>
    </xf>
    <xf numFmtId="1" fontId="13" fillId="2" borderId="11" xfId="3" applyNumberFormat="1" applyFont="1" applyFill="1" applyBorder="1" applyAlignment="1">
      <alignment vertical="center" shrinkToFit="1"/>
    </xf>
    <xf numFmtId="179" fontId="13" fillId="8" borderId="11" xfId="3" applyNumberFormat="1" applyFont="1" applyFill="1" applyBorder="1" applyAlignment="1">
      <alignment vertical="center" shrinkToFit="1"/>
    </xf>
    <xf numFmtId="2" fontId="13" fillId="8" borderId="40" xfId="3" applyNumberFormat="1" applyFont="1" applyFill="1" applyBorder="1" applyAlignment="1">
      <alignment vertical="center" shrinkToFit="1"/>
    </xf>
    <xf numFmtId="1" fontId="13" fillId="2" borderId="14" xfId="3" applyNumberFormat="1" applyFont="1" applyFill="1" applyBorder="1" applyAlignment="1">
      <alignment vertical="center" shrinkToFit="1"/>
    </xf>
    <xf numFmtId="2" fontId="13" fillId="8" borderId="11" xfId="3" applyNumberFormat="1" applyFont="1" applyFill="1" applyBorder="1" applyAlignment="1">
      <alignment vertical="center" shrinkToFit="1"/>
    </xf>
    <xf numFmtId="0" fontId="3" fillId="0" borderId="0" xfId="3" applyFill="1" applyBorder="1" applyAlignment="1">
      <alignment horizontal="distributed" vertical="center"/>
    </xf>
    <xf numFmtId="0" fontId="3" fillId="5" borderId="11" xfId="3" applyFill="1" applyBorder="1" applyAlignment="1">
      <alignment vertical="center" shrinkToFit="1"/>
    </xf>
    <xf numFmtId="2" fontId="3" fillId="0" borderId="11" xfId="3" applyNumberFormat="1" applyBorder="1" applyAlignment="1">
      <alignment vertical="center" shrinkToFit="1"/>
    </xf>
    <xf numFmtId="2" fontId="3" fillId="0" borderId="40" xfId="3" applyNumberFormat="1" applyBorder="1" applyAlignment="1">
      <alignment vertical="center" shrinkToFit="1"/>
    </xf>
    <xf numFmtId="0" fontId="3" fillId="5" borderId="14" xfId="3" applyFill="1" applyBorder="1" applyAlignment="1">
      <alignment vertical="center" shrinkToFit="1"/>
    </xf>
    <xf numFmtId="184" fontId="13" fillId="0" borderId="11" xfId="0" applyNumberFormat="1" applyFont="1" applyFill="1" applyBorder="1" applyAlignment="1">
      <alignment vertical="center" shrinkToFit="1"/>
    </xf>
    <xf numFmtId="2" fontId="13" fillId="2" borderId="11" xfId="3" applyNumberFormat="1" applyFont="1" applyFill="1" applyBorder="1" applyAlignment="1">
      <alignment vertical="center" shrinkToFit="1"/>
    </xf>
    <xf numFmtId="2" fontId="13" fillId="2" borderId="14" xfId="3" applyNumberFormat="1" applyFont="1" applyFill="1" applyBorder="1" applyAlignment="1">
      <alignment vertical="center" shrinkToFit="1"/>
    </xf>
    <xf numFmtId="180" fontId="13" fillId="2" borderId="14" xfId="3" applyNumberFormat="1" applyFont="1" applyFill="1" applyBorder="1" applyAlignment="1">
      <alignment vertical="center" shrinkToFit="1"/>
    </xf>
    <xf numFmtId="180" fontId="13" fillId="2" borderId="11" xfId="3" applyNumberFormat="1" applyFont="1" applyFill="1" applyBorder="1" applyAlignment="1">
      <alignment vertical="center" shrinkToFit="1"/>
    </xf>
    <xf numFmtId="1" fontId="6" fillId="2" borderId="11" xfId="0" applyNumberFormat="1" applyFont="1" applyFill="1" applyBorder="1" applyAlignment="1">
      <alignment vertical="center"/>
    </xf>
    <xf numFmtId="180" fontId="6" fillId="2" borderId="11" xfId="0" applyNumberFormat="1" applyFont="1" applyFill="1" applyBorder="1" applyAlignment="1">
      <alignment vertical="center"/>
    </xf>
    <xf numFmtId="0" fontId="0" fillId="2" borderId="38" xfId="0" applyFill="1" applyBorder="1" applyAlignment="1">
      <alignment horizontal="center" vertical="center" wrapText="1"/>
    </xf>
    <xf numFmtId="1" fontId="6" fillId="2" borderId="14" xfId="0" applyNumberFormat="1" applyFont="1" applyFill="1" applyBorder="1" applyAlignment="1">
      <alignment vertical="center" shrinkToFit="1"/>
    </xf>
    <xf numFmtId="0" fontId="6" fillId="5" borderId="76" xfId="0" applyFont="1" applyFill="1" applyBorder="1" applyAlignment="1">
      <alignment horizontal="left" vertical="center" indent="1"/>
    </xf>
    <xf numFmtId="0" fontId="6" fillId="0" borderId="40" xfId="0" applyFont="1" applyFill="1" applyBorder="1" applyAlignment="1">
      <alignment vertical="center"/>
    </xf>
    <xf numFmtId="0" fontId="6" fillId="2" borderId="40" xfId="0" applyFont="1" applyFill="1" applyBorder="1" applyAlignment="1">
      <alignment vertical="center"/>
    </xf>
    <xf numFmtId="180" fontId="7" fillId="2" borderId="40" xfId="0" applyNumberFormat="1" applyFont="1" applyFill="1" applyBorder="1" applyAlignment="1">
      <alignment vertical="center" shrinkToFit="1"/>
    </xf>
    <xf numFmtId="0" fontId="10" fillId="8" borderId="40" xfId="0" applyNumberFormat="1" applyFont="1" applyFill="1" applyBorder="1" applyAlignment="1">
      <alignment vertical="center"/>
    </xf>
    <xf numFmtId="0" fontId="0" fillId="2" borderId="78" xfId="0" applyFill="1" applyBorder="1" applyAlignment="1">
      <alignment horizontal="center" vertical="center" wrapText="1"/>
    </xf>
    <xf numFmtId="1" fontId="6" fillId="2" borderId="78" xfId="0" applyNumberFormat="1" applyFont="1" applyFill="1" applyBorder="1" applyAlignment="1">
      <alignment horizontal="center" vertical="center" shrinkToFit="1"/>
    </xf>
    <xf numFmtId="0" fontId="9" fillId="0" borderId="14" xfId="0" applyNumberFormat="1" applyFont="1" applyFill="1" applyBorder="1" applyAlignment="1">
      <alignment vertical="center"/>
    </xf>
    <xf numFmtId="0" fontId="10" fillId="0" borderId="14" xfId="0" applyNumberFormat="1" applyFont="1" applyFill="1" applyBorder="1" applyAlignment="1">
      <alignment vertical="center"/>
    </xf>
    <xf numFmtId="180" fontId="6" fillId="2" borderId="14" xfId="0" applyNumberFormat="1" applyFont="1" applyFill="1" applyBorder="1" applyAlignment="1">
      <alignment vertical="center" shrinkToFit="1"/>
    </xf>
    <xf numFmtId="2" fontId="6" fillId="2" borderId="14" xfId="0" applyNumberFormat="1" applyFont="1" applyFill="1" applyBorder="1" applyAlignment="1">
      <alignment vertical="center" shrinkToFit="1"/>
    </xf>
    <xf numFmtId="1" fontId="10" fillId="0" borderId="40" xfId="0" applyNumberFormat="1" applyFont="1" applyFill="1" applyBorder="1" applyAlignment="1">
      <alignment vertical="center"/>
    </xf>
    <xf numFmtId="1" fontId="6" fillId="8" borderId="40" xfId="0" applyNumberFormat="1" applyFont="1" applyFill="1" applyBorder="1" applyAlignment="1">
      <alignment vertical="center"/>
    </xf>
    <xf numFmtId="1" fontId="6" fillId="2" borderId="40" xfId="0" applyNumberFormat="1" applyFont="1" applyFill="1" applyBorder="1" applyAlignment="1">
      <alignment vertical="center" shrinkToFit="1"/>
    </xf>
    <xf numFmtId="1" fontId="10" fillId="8" borderId="40" xfId="0" applyNumberFormat="1" applyFont="1" applyFill="1" applyBorder="1" applyAlignment="1">
      <alignment vertical="center"/>
    </xf>
    <xf numFmtId="0" fontId="54" fillId="0" borderId="0" xfId="1" applyNumberFormat="1" applyFont="1" applyFill="1" applyBorder="1" applyAlignment="1">
      <alignment vertical="center"/>
    </xf>
    <xf numFmtId="57" fontId="3" fillId="0" borderId="32" xfId="3" applyNumberFormat="1" applyFill="1" applyBorder="1" applyAlignment="1">
      <alignment vertical="center" shrinkToFit="1"/>
    </xf>
    <xf numFmtId="57" fontId="3" fillId="0" borderId="80" xfId="3" applyNumberFormat="1" applyFill="1" applyBorder="1" applyAlignment="1">
      <alignment vertical="center" shrinkToFit="1"/>
    </xf>
    <xf numFmtId="57" fontId="55" fillId="0" borderId="79" xfId="3" applyNumberFormat="1" applyFont="1" applyFill="1" applyBorder="1" applyAlignment="1">
      <alignment vertical="center"/>
    </xf>
    <xf numFmtId="57" fontId="32" fillId="0" borderId="79" xfId="3" applyNumberFormat="1" applyFont="1" applyFill="1" applyBorder="1" applyAlignment="1">
      <alignment vertical="center"/>
    </xf>
    <xf numFmtId="178" fontId="3" fillId="0" borderId="69" xfId="3" applyNumberFormat="1" applyFill="1" applyBorder="1" applyAlignment="1">
      <alignment vertical="center" shrinkToFit="1"/>
    </xf>
    <xf numFmtId="178" fontId="3" fillId="0" borderId="72" xfId="3" applyNumberFormat="1" applyFill="1" applyBorder="1" applyAlignment="1">
      <alignment vertical="center" shrinkToFit="1"/>
    </xf>
    <xf numFmtId="178" fontId="3" fillId="0" borderId="73" xfId="3" applyNumberFormat="1" applyFill="1" applyBorder="1" applyAlignment="1">
      <alignment vertical="center" shrinkToFit="1"/>
    </xf>
    <xf numFmtId="0" fontId="2" fillId="0" borderId="0" xfId="3" applyFont="1" applyFill="1" applyAlignment="1">
      <alignment horizontal="right" vertical="center"/>
    </xf>
    <xf numFmtId="0" fontId="10" fillId="0" borderId="11" xfId="0" applyNumberFormat="1" applyFont="1" applyFill="1" applyBorder="1" applyAlignment="1">
      <alignment vertical="center" shrinkToFit="1"/>
    </xf>
    <xf numFmtId="1" fontId="10" fillId="2" borderId="11" xfId="0" applyNumberFormat="1" applyFont="1" applyFill="1" applyBorder="1" applyAlignment="1">
      <alignment vertical="center" shrinkToFit="1"/>
    </xf>
    <xf numFmtId="1" fontId="3" fillId="2" borderId="70" xfId="3" applyNumberFormat="1" applyFill="1" applyBorder="1" applyAlignment="1">
      <alignment vertical="center" shrinkToFit="1"/>
    </xf>
    <xf numFmtId="1" fontId="3" fillId="2" borderId="74" xfId="3" applyNumberFormat="1" applyFill="1" applyBorder="1" applyAlignment="1">
      <alignment vertical="center" shrinkToFit="1"/>
    </xf>
    <xf numFmtId="0" fontId="24" fillId="5" borderId="11" xfId="3" applyFont="1" applyFill="1" applyBorder="1" applyAlignment="1">
      <alignment horizontal="center" vertical="top" wrapText="1"/>
    </xf>
    <xf numFmtId="180" fontId="3" fillId="2" borderId="11" xfId="3" applyNumberFormat="1" applyFill="1" applyBorder="1" applyAlignment="1">
      <alignment vertical="center" shrinkToFit="1"/>
    </xf>
    <xf numFmtId="0" fontId="22" fillId="2" borderId="40" xfId="0" applyFont="1" applyFill="1" applyBorder="1" applyAlignment="1">
      <alignment horizontal="center" vertical="top" wrapText="1"/>
    </xf>
    <xf numFmtId="57" fontId="6" fillId="0" borderId="0" xfId="0" applyNumberFormat="1" applyFont="1" applyFill="1" applyBorder="1" applyAlignment="1">
      <alignment textRotation="90" wrapText="1"/>
    </xf>
    <xf numFmtId="0" fontId="0" fillId="0" borderId="0" xfId="0" applyAlignment="1">
      <alignment wrapText="1"/>
    </xf>
    <xf numFmtId="0" fontId="0" fillId="0" borderId="0" xfId="0" applyAlignment="1">
      <alignment textRotation="90" wrapText="1"/>
    </xf>
    <xf numFmtId="0" fontId="0" fillId="0" borderId="29" xfId="0" applyBorder="1" applyAlignment="1">
      <alignment textRotation="90" wrapText="1"/>
    </xf>
    <xf numFmtId="0" fontId="0" fillId="0" borderId="29" xfId="0" applyBorder="1" applyAlignment="1">
      <alignment wrapText="1"/>
    </xf>
    <xf numFmtId="0" fontId="6" fillId="0" borderId="0" xfId="0" applyFont="1" applyFill="1" applyBorder="1" applyAlignment="1">
      <alignment horizontal="center" vertical="center" textRotation="90" wrapText="1"/>
    </xf>
    <xf numFmtId="0" fontId="0" fillId="0" borderId="0" xfId="0" applyAlignment="1">
      <alignment horizontal="center" vertical="center" textRotation="90" wrapText="1"/>
    </xf>
    <xf numFmtId="0" fontId="0" fillId="0" borderId="29" xfId="0" applyBorder="1" applyAlignment="1">
      <alignment horizontal="center" vertical="center" textRotation="90" wrapText="1"/>
    </xf>
    <xf numFmtId="0" fontId="25" fillId="2" borderId="32" xfId="0" applyFont="1" applyFill="1" applyBorder="1" applyAlignment="1">
      <alignment horizontal="center" vertical="center" wrapText="1"/>
    </xf>
    <xf numFmtId="0" fontId="25" fillId="2" borderId="36" xfId="0" applyFont="1" applyFill="1" applyBorder="1" applyAlignment="1">
      <alignment horizontal="center" vertical="center" wrapText="1"/>
    </xf>
    <xf numFmtId="0" fontId="25" fillId="2" borderId="38" xfId="0" applyFont="1" applyFill="1" applyBorder="1" applyAlignment="1">
      <alignment horizontal="center" vertical="center" wrapText="1"/>
    </xf>
    <xf numFmtId="0" fontId="6" fillId="0" borderId="0" xfId="0" applyFont="1" applyFill="1" applyBorder="1" applyAlignment="1">
      <alignment vertical="center" wrapText="1"/>
    </xf>
    <xf numFmtId="0" fontId="0" fillId="0" borderId="0" xfId="0" applyAlignment="1">
      <alignment vertical="center" wrapText="1"/>
    </xf>
    <xf numFmtId="0" fontId="26" fillId="0" borderId="15" xfId="0" applyFont="1" applyFill="1" applyBorder="1" applyAlignment="1">
      <alignment vertical="top" wrapText="1"/>
    </xf>
    <xf numFmtId="0" fontId="27" fillId="0" borderId="16" xfId="0" applyFont="1" applyBorder="1" applyAlignment="1">
      <alignment vertical="top" wrapText="1"/>
    </xf>
    <xf numFmtId="0" fontId="27" fillId="0" borderId="17" xfId="0" applyFont="1" applyBorder="1" applyAlignment="1">
      <alignment vertical="top" wrapText="1"/>
    </xf>
    <xf numFmtId="2" fontId="18" fillId="0" borderId="25" xfId="0" applyNumberFormat="1" applyFont="1" applyFill="1" applyBorder="1" applyAlignment="1">
      <alignment horizontal="center" vertical="center" shrinkToFit="1"/>
    </xf>
    <xf numFmtId="2" fontId="0" fillId="0" borderId="26" xfId="0" applyNumberFormat="1" applyFont="1" applyBorder="1" applyAlignment="1">
      <alignment horizontal="center" vertical="center" shrinkToFit="1"/>
    </xf>
    <xf numFmtId="2" fontId="0" fillId="0" borderId="27" xfId="0" applyNumberFormat="1" applyFont="1" applyBorder="1" applyAlignment="1">
      <alignment horizontal="center" vertical="center" shrinkToFit="1"/>
    </xf>
    <xf numFmtId="2" fontId="0" fillId="0" borderId="28" xfId="0" applyNumberFormat="1" applyFont="1" applyBorder="1" applyAlignment="1">
      <alignment horizontal="center" vertical="center" shrinkToFit="1"/>
    </xf>
    <xf numFmtId="0" fontId="22" fillId="2" borderId="11" xfId="0" applyFont="1" applyFill="1" applyBorder="1" applyAlignment="1">
      <alignment horizontal="center" vertical="center" wrapText="1"/>
    </xf>
    <xf numFmtId="0" fontId="8" fillId="2" borderId="11" xfId="0" applyFont="1" applyFill="1" applyBorder="1" applyAlignment="1">
      <alignment horizontal="center" vertical="center" wrapText="1"/>
    </xf>
    <xf numFmtId="0" fontId="12" fillId="2" borderId="14" xfId="0" applyFont="1" applyFill="1" applyBorder="1" applyAlignment="1">
      <alignment horizontal="center" vertical="center" wrapText="1"/>
    </xf>
    <xf numFmtId="0" fontId="21" fillId="2" borderId="14" xfId="0" applyFont="1" applyFill="1" applyBorder="1" applyAlignment="1">
      <alignment horizontal="center" vertical="center" wrapText="1"/>
    </xf>
    <xf numFmtId="0" fontId="25" fillId="2" borderId="15" xfId="0" applyFont="1" applyFill="1" applyBorder="1" applyAlignment="1">
      <alignment horizontal="center" vertical="center" wrapText="1"/>
    </xf>
    <xf numFmtId="0" fontId="25" fillId="2" borderId="16" xfId="0" applyFont="1" applyFill="1" applyBorder="1" applyAlignment="1">
      <alignment horizontal="center" vertical="center" wrapText="1"/>
    </xf>
    <xf numFmtId="0" fontId="25" fillId="2" borderId="17" xfId="0" applyFont="1" applyFill="1" applyBorder="1" applyAlignment="1">
      <alignment horizontal="center" vertical="center" wrapText="1"/>
    </xf>
    <xf numFmtId="0" fontId="22" fillId="2" borderId="20" xfId="0" applyFont="1" applyFill="1" applyBorder="1" applyAlignment="1">
      <alignment horizontal="center" vertical="top" wrapText="1"/>
    </xf>
    <xf numFmtId="0" fontId="22" fillId="2" borderId="21" xfId="0" applyFont="1" applyFill="1" applyBorder="1" applyAlignment="1">
      <alignment horizontal="center" vertical="top" wrapText="1"/>
    </xf>
    <xf numFmtId="0" fontId="22" fillId="2" borderId="22" xfId="0" applyFont="1" applyFill="1" applyBorder="1" applyAlignment="1">
      <alignment horizontal="center" vertical="top" wrapText="1"/>
    </xf>
    <xf numFmtId="0" fontId="12" fillId="2" borderId="11" xfId="0" applyFont="1" applyFill="1" applyBorder="1" applyAlignment="1">
      <alignment horizontal="center" vertical="center" wrapText="1"/>
    </xf>
    <xf numFmtId="0" fontId="21" fillId="2" borderId="11" xfId="0" applyFont="1" applyFill="1" applyBorder="1" applyAlignment="1">
      <alignment horizontal="center" vertical="center" wrapText="1"/>
    </xf>
    <xf numFmtId="0" fontId="6" fillId="2" borderId="77" xfId="0" applyFont="1" applyFill="1" applyBorder="1" applyAlignment="1">
      <alignment horizontal="center" vertical="center" wrapText="1"/>
    </xf>
    <xf numFmtId="0" fontId="6" fillId="2" borderId="30" xfId="0" applyFont="1" applyFill="1" applyBorder="1" applyAlignment="1">
      <alignment horizontal="center" vertical="center" wrapText="1"/>
    </xf>
    <xf numFmtId="0" fontId="6" fillId="2" borderId="78" xfId="0" applyFont="1" applyFill="1" applyBorder="1" applyAlignment="1">
      <alignment horizontal="center" vertical="center" wrapText="1"/>
    </xf>
    <xf numFmtId="0" fontId="6" fillId="2" borderId="32" xfId="0" applyFont="1" applyFill="1" applyBorder="1" applyAlignment="1">
      <alignment horizontal="center" vertical="center" wrapText="1"/>
    </xf>
    <xf numFmtId="0" fontId="6" fillId="2" borderId="36" xfId="0" applyFont="1" applyFill="1" applyBorder="1" applyAlignment="1">
      <alignment horizontal="center" vertical="center" wrapText="1"/>
    </xf>
    <xf numFmtId="0" fontId="6" fillId="2" borderId="38" xfId="0" applyFont="1" applyFill="1" applyBorder="1" applyAlignment="1">
      <alignment horizontal="center" vertical="center" wrapText="1"/>
    </xf>
    <xf numFmtId="0" fontId="22" fillId="2" borderId="15" xfId="0" applyFont="1" applyFill="1" applyBorder="1" applyAlignment="1">
      <alignment horizontal="center" vertical="center" wrapText="1"/>
    </xf>
    <xf numFmtId="0" fontId="22" fillId="2" borderId="16" xfId="0" applyFont="1" applyFill="1" applyBorder="1" applyAlignment="1">
      <alignment horizontal="center" vertical="center" wrapText="1"/>
    </xf>
    <xf numFmtId="0" fontId="22" fillId="2" borderId="17" xfId="0" applyFont="1" applyFill="1" applyBorder="1" applyAlignment="1">
      <alignment horizontal="center" vertical="center" wrapText="1"/>
    </xf>
    <xf numFmtId="0" fontId="22" fillId="2" borderId="20" xfId="0" applyFont="1" applyFill="1" applyBorder="1" applyAlignment="1">
      <alignment horizontal="center" vertical="center" wrapText="1"/>
    </xf>
    <xf numFmtId="0" fontId="22" fillId="2" borderId="21" xfId="0" applyFont="1" applyFill="1" applyBorder="1" applyAlignment="1">
      <alignment horizontal="center" vertical="center" wrapText="1"/>
    </xf>
    <xf numFmtId="0" fontId="22" fillId="2" borderId="22" xfId="0" applyFont="1" applyFill="1" applyBorder="1" applyAlignment="1">
      <alignment horizontal="center" vertical="center" wrapText="1"/>
    </xf>
    <xf numFmtId="0" fontId="6" fillId="2" borderId="15" xfId="0" applyFont="1" applyFill="1" applyBorder="1" applyAlignment="1">
      <alignment horizontal="center" vertical="center" wrapText="1"/>
    </xf>
    <xf numFmtId="0" fontId="6" fillId="2" borderId="16" xfId="0" applyFont="1" applyFill="1" applyBorder="1" applyAlignment="1">
      <alignment horizontal="center" vertical="center" wrapText="1"/>
    </xf>
    <xf numFmtId="0" fontId="6" fillId="2" borderId="17" xfId="0" applyFont="1" applyFill="1" applyBorder="1" applyAlignment="1">
      <alignment horizontal="center" vertical="center" wrapText="1"/>
    </xf>
    <xf numFmtId="0" fontId="0" fillId="0" borderId="0" xfId="0" applyFont="1" applyAlignment="1">
      <alignment horizontal="center" vertical="center" textRotation="90" wrapText="1"/>
    </xf>
    <xf numFmtId="0" fontId="0" fillId="0" borderId="29" xfId="0" applyFont="1" applyBorder="1" applyAlignment="1">
      <alignment horizontal="center" vertical="center" textRotation="90" wrapText="1"/>
    </xf>
    <xf numFmtId="0" fontId="10" fillId="0" borderId="0" xfId="0" applyFont="1" applyFill="1" applyBorder="1" applyAlignment="1">
      <alignment vertical="top" wrapText="1"/>
    </xf>
    <xf numFmtId="0" fontId="0" fillId="0" borderId="0" xfId="0" applyAlignment="1">
      <alignment vertical="top" wrapText="1"/>
    </xf>
    <xf numFmtId="57" fontId="19" fillId="0" borderId="0" xfId="0" applyNumberFormat="1" applyFont="1" applyFill="1" applyBorder="1" applyAlignment="1">
      <alignment textRotation="90" wrapText="1"/>
    </xf>
    <xf numFmtId="0" fontId="37" fillId="0" borderId="0" xfId="0" applyFont="1" applyAlignment="1">
      <alignment wrapText="1"/>
    </xf>
    <xf numFmtId="0" fontId="37" fillId="0" borderId="0" xfId="0" applyFont="1" applyAlignment="1">
      <alignment textRotation="90" wrapText="1"/>
    </xf>
    <xf numFmtId="0" fontId="37" fillId="0" borderId="29" xfId="0" applyFont="1" applyBorder="1" applyAlignment="1">
      <alignment textRotation="90" wrapText="1"/>
    </xf>
    <xf numFmtId="0" fontId="37" fillId="0" borderId="29" xfId="0" applyFont="1" applyBorder="1" applyAlignment="1">
      <alignment wrapText="1"/>
    </xf>
    <xf numFmtId="0" fontId="3" fillId="0" borderId="15" xfId="3" applyFill="1" applyBorder="1" applyAlignment="1">
      <alignment horizontal="center" vertical="center" wrapText="1"/>
    </xf>
    <xf numFmtId="0" fontId="0" fillId="0" borderId="16" xfId="0" applyBorder="1" applyAlignment="1">
      <alignment horizontal="center" vertical="center" wrapText="1"/>
    </xf>
    <xf numFmtId="0" fontId="0" fillId="0" borderId="17" xfId="0" applyBorder="1" applyAlignment="1">
      <alignment horizontal="center" vertical="center" wrapText="1"/>
    </xf>
    <xf numFmtId="0" fontId="29" fillId="0" borderId="15" xfId="3" applyFont="1" applyFill="1" applyBorder="1" applyAlignment="1">
      <alignment horizontal="center" vertical="top" wrapText="1"/>
    </xf>
    <xf numFmtId="0" fontId="19" fillId="0" borderId="16" xfId="0" applyFont="1" applyBorder="1" applyAlignment="1">
      <alignment horizontal="center" vertical="top" wrapText="1"/>
    </xf>
    <xf numFmtId="0" fontId="19" fillId="0" borderId="17" xfId="0" applyFont="1" applyBorder="1" applyAlignment="1">
      <alignment horizontal="center" vertical="top" wrapText="1"/>
    </xf>
    <xf numFmtId="0" fontId="3" fillId="0" borderId="15" xfId="3" applyFont="1" applyFill="1" applyBorder="1" applyAlignment="1">
      <alignment horizontal="center" vertical="center" wrapText="1"/>
    </xf>
    <xf numFmtId="0" fontId="6" fillId="0" borderId="15" xfId="0" quotePrefix="1" applyFont="1" applyBorder="1" applyAlignment="1">
      <alignment horizontal="center" vertical="top" wrapText="1"/>
    </xf>
    <xf numFmtId="0" fontId="0" fillId="0" borderId="16" xfId="0" applyBorder="1" applyAlignment="1">
      <alignment horizontal="center" vertical="top" wrapText="1"/>
    </xf>
    <xf numFmtId="0" fontId="0" fillId="0" borderId="17" xfId="0" applyBorder="1" applyAlignment="1">
      <alignment horizontal="center" vertical="top" wrapText="1"/>
    </xf>
    <xf numFmtId="0" fontId="22" fillId="0" borderId="15" xfId="0" quotePrefix="1" applyFont="1" applyBorder="1" applyAlignment="1">
      <alignment horizontal="center" vertical="top" wrapText="1"/>
    </xf>
    <xf numFmtId="0" fontId="22" fillId="0" borderId="16" xfId="0" applyFont="1" applyBorder="1" applyAlignment="1">
      <alignment horizontal="center" vertical="top" wrapText="1"/>
    </xf>
    <xf numFmtId="0" fontId="22" fillId="0" borderId="17" xfId="0" applyFont="1" applyBorder="1" applyAlignment="1">
      <alignment horizontal="center" vertical="top" wrapText="1"/>
    </xf>
    <xf numFmtId="0" fontId="12" fillId="0" borderId="15" xfId="0" quotePrefix="1" applyFont="1" applyBorder="1" applyAlignment="1">
      <alignment horizontal="center" vertical="top" wrapText="1"/>
    </xf>
    <xf numFmtId="0" fontId="12" fillId="0" borderId="16" xfId="0" applyFont="1" applyBorder="1" applyAlignment="1">
      <alignment horizontal="center" vertical="top" wrapText="1"/>
    </xf>
    <xf numFmtId="0" fontId="12" fillId="0" borderId="17" xfId="0" applyFont="1" applyBorder="1" applyAlignment="1">
      <alignment horizontal="center" vertical="top" wrapText="1"/>
    </xf>
    <xf numFmtId="0" fontId="9" fillId="0" borderId="6" xfId="0" applyNumberFormat="1" applyFont="1" applyFill="1" applyBorder="1" applyAlignment="1">
      <alignment horizontal="center" vertical="top" wrapText="1"/>
    </xf>
    <xf numFmtId="0" fontId="40" fillId="0" borderId="49" xfId="0" applyFont="1" applyBorder="1" applyAlignment="1">
      <alignment horizontal="center" vertical="top" wrapText="1"/>
    </xf>
    <xf numFmtId="0" fontId="40" fillId="0" borderId="50" xfId="0" applyFont="1" applyBorder="1" applyAlignment="1">
      <alignment horizontal="center" vertical="top" wrapText="1"/>
    </xf>
    <xf numFmtId="0" fontId="40" fillId="0" borderId="9" xfId="0" applyFont="1" applyBorder="1" applyAlignment="1">
      <alignment horizontal="center" vertical="top" wrapText="1"/>
    </xf>
    <xf numFmtId="0" fontId="40" fillId="0" borderId="0" xfId="0" applyFont="1" applyAlignment="1">
      <alignment horizontal="center" vertical="top" wrapText="1"/>
    </xf>
    <xf numFmtId="0" fontId="40" fillId="0" borderId="10" xfId="0" applyFont="1" applyBorder="1" applyAlignment="1">
      <alignment horizontal="center" vertical="top" wrapText="1"/>
    </xf>
    <xf numFmtId="0" fontId="7" fillId="0" borderId="2" xfId="0" applyNumberFormat="1" applyFont="1" applyFill="1" applyBorder="1" applyAlignment="1">
      <alignment vertical="center" wrapText="1"/>
    </xf>
    <xf numFmtId="0" fontId="0" fillId="0" borderId="3" xfId="0" applyBorder="1" applyAlignment="1">
      <alignment vertical="center" wrapText="1"/>
    </xf>
    <xf numFmtId="0" fontId="10" fillId="0" borderId="3" xfId="0" applyFont="1" applyFill="1" applyBorder="1" applyAlignment="1">
      <alignment horizontal="center" vertical="center" wrapText="1"/>
    </xf>
    <xf numFmtId="0" fontId="40" fillId="0" borderId="3" xfId="0" applyFont="1" applyBorder="1" applyAlignment="1">
      <alignment horizontal="center" vertical="center" wrapText="1"/>
    </xf>
    <xf numFmtId="0" fontId="7" fillId="0" borderId="2" xfId="0" applyNumberFormat="1" applyFont="1" applyFill="1" applyBorder="1" applyAlignment="1">
      <alignment vertical="top" wrapText="1"/>
    </xf>
    <xf numFmtId="0" fontId="0" fillId="0" borderId="3" xfId="0" applyBorder="1" applyAlignment="1">
      <alignment vertical="top" wrapText="1"/>
    </xf>
    <xf numFmtId="0" fontId="9" fillId="0" borderId="2" xfId="0" applyNumberFormat="1" applyFont="1" applyFill="1" applyBorder="1" applyAlignment="1">
      <alignment horizontal="center" vertical="top" wrapText="1"/>
    </xf>
    <xf numFmtId="0" fontId="40" fillId="0" borderId="3" xfId="0" applyFont="1" applyBorder="1" applyAlignment="1">
      <alignment horizontal="center" vertical="top" wrapText="1"/>
    </xf>
    <xf numFmtId="0" fontId="41" fillId="0" borderId="6" xfId="0" applyNumberFormat="1" applyFont="1" applyFill="1" applyBorder="1" applyAlignment="1">
      <alignment vertical="top" wrapText="1"/>
    </xf>
    <xf numFmtId="0" fontId="37" fillId="0" borderId="49" xfId="0" applyFont="1" applyBorder="1" applyAlignment="1">
      <alignment vertical="top" wrapText="1"/>
    </xf>
    <xf numFmtId="0" fontId="37" fillId="0" borderId="50" xfId="0" applyFont="1" applyBorder="1" applyAlignment="1">
      <alignment vertical="top" wrapText="1"/>
    </xf>
    <xf numFmtId="0" fontId="37" fillId="0" borderId="9" xfId="0" applyFont="1" applyBorder="1" applyAlignment="1">
      <alignment vertical="top" wrapText="1"/>
    </xf>
    <xf numFmtId="0" fontId="37" fillId="0" borderId="0" xfId="0" applyFont="1" applyAlignment="1">
      <alignment vertical="top" wrapText="1"/>
    </xf>
    <xf numFmtId="0" fontId="37" fillId="0" borderId="10" xfId="0" applyFont="1" applyBorder="1" applyAlignment="1">
      <alignment vertical="top" wrapText="1"/>
    </xf>
    <xf numFmtId="0" fontId="7" fillId="3" borderId="2" xfId="0" applyNumberFormat="1" applyFont="1" applyFill="1" applyBorder="1" applyAlignment="1">
      <alignment vertical="top" wrapText="1"/>
    </xf>
    <xf numFmtId="0" fontId="0" fillId="0" borderId="4" xfId="0" applyBorder="1" applyAlignment="1">
      <alignment vertical="top" wrapText="1"/>
    </xf>
    <xf numFmtId="0" fontId="0" fillId="0" borderId="3" xfId="0" applyFill="1" applyBorder="1" applyAlignment="1">
      <alignment vertical="top" wrapText="1"/>
    </xf>
    <xf numFmtId="0" fontId="0" fillId="0" borderId="4" xfId="0" applyFill="1" applyBorder="1" applyAlignment="1">
      <alignment vertical="top" wrapText="1"/>
    </xf>
    <xf numFmtId="0" fontId="43" fillId="0" borderId="2" xfId="0" applyNumberFormat="1" applyFont="1" applyFill="1" applyBorder="1" applyAlignment="1">
      <alignment vertical="top" wrapText="1"/>
    </xf>
    <xf numFmtId="0" fontId="21" fillId="0" borderId="3" xfId="0" applyFont="1" applyBorder="1" applyAlignment="1">
      <alignment vertical="top" wrapText="1"/>
    </xf>
    <xf numFmtId="0" fontId="21" fillId="0" borderId="4" xfId="0" applyFont="1" applyBorder="1" applyAlignment="1">
      <alignment vertical="top" wrapText="1"/>
    </xf>
    <xf numFmtId="0" fontId="41" fillId="0" borderId="2" xfId="0" applyNumberFormat="1" applyFont="1" applyFill="1" applyBorder="1" applyAlignment="1">
      <alignment vertical="top" wrapText="1"/>
    </xf>
    <xf numFmtId="0" fontId="37" fillId="0" borderId="4" xfId="0" applyFont="1" applyBorder="1" applyAlignment="1">
      <alignment vertical="top" wrapText="1"/>
    </xf>
    <xf numFmtId="0" fontId="0" fillId="3" borderId="3" xfId="0" applyFill="1" applyBorder="1" applyAlignment="1">
      <alignment vertical="top" wrapText="1"/>
    </xf>
    <xf numFmtId="0" fontId="39" fillId="0" borderId="2" xfId="0" applyNumberFormat="1" applyFont="1" applyFill="1" applyBorder="1" applyAlignment="1">
      <alignment horizontal="center" vertical="top" wrapText="1"/>
    </xf>
    <xf numFmtId="0" fontId="8" fillId="0" borderId="3" xfId="0" applyFont="1" applyBorder="1" applyAlignment="1">
      <alignment horizontal="center" vertical="top" wrapText="1"/>
    </xf>
    <xf numFmtId="0" fontId="8" fillId="0" borderId="4" xfId="0" applyFont="1" applyBorder="1" applyAlignment="1">
      <alignment horizontal="center" vertical="top" wrapText="1"/>
    </xf>
    <xf numFmtId="0" fontId="9" fillId="3" borderId="2" xfId="0" applyNumberFormat="1" applyFont="1" applyFill="1" applyBorder="1" applyAlignment="1">
      <alignment vertical="top" wrapText="1"/>
    </xf>
    <xf numFmtId="0" fontId="40" fillId="3" borderId="3" xfId="0" applyFont="1" applyFill="1" applyBorder="1" applyAlignment="1">
      <alignment vertical="top" wrapText="1"/>
    </xf>
    <xf numFmtId="0" fontId="40" fillId="3" borderId="4" xfId="0" applyFont="1" applyFill="1" applyBorder="1" applyAlignment="1">
      <alignment vertical="top" wrapText="1"/>
    </xf>
    <xf numFmtId="0" fontId="22" fillId="0" borderId="3" xfId="0" applyFont="1" applyBorder="1" applyAlignment="1">
      <alignment horizontal="center" vertical="top" wrapText="1"/>
    </xf>
    <xf numFmtId="0" fontId="22" fillId="0" borderId="4" xfId="0" applyFont="1" applyBorder="1" applyAlignment="1">
      <alignment horizontal="center" vertical="top" wrapText="1"/>
    </xf>
    <xf numFmtId="0" fontId="7" fillId="0" borderId="6" xfId="0" applyNumberFormat="1" applyFont="1" applyFill="1" applyBorder="1" applyAlignment="1">
      <alignment vertical="top" wrapText="1"/>
    </xf>
    <xf numFmtId="0" fontId="0" fillId="0" borderId="50" xfId="0" applyBorder="1" applyAlignment="1">
      <alignment vertical="top" wrapText="1"/>
    </xf>
    <xf numFmtId="0" fontId="0" fillId="0" borderId="9" xfId="0" applyBorder="1" applyAlignment="1">
      <alignment vertical="top" wrapText="1"/>
    </xf>
    <xf numFmtId="0" fontId="0" fillId="0" borderId="10" xfId="0" applyBorder="1" applyAlignment="1">
      <alignment vertical="top" wrapText="1"/>
    </xf>
    <xf numFmtId="0" fontId="0" fillId="3" borderId="4" xfId="0" applyFill="1" applyBorder="1" applyAlignment="1">
      <alignment vertical="top" wrapText="1"/>
    </xf>
    <xf numFmtId="0" fontId="22" fillId="0" borderId="3" xfId="0" applyFont="1" applyFill="1" applyBorder="1" applyAlignment="1">
      <alignment horizontal="center" vertical="top" wrapText="1"/>
    </xf>
    <xf numFmtId="0" fontId="22" fillId="0" borderId="4" xfId="0" applyFont="1" applyFill="1" applyBorder="1" applyAlignment="1">
      <alignment horizontal="center" vertical="top" wrapText="1"/>
    </xf>
    <xf numFmtId="0" fontId="40" fillId="0" borderId="4" xfId="0" applyFont="1" applyBorder="1" applyAlignment="1">
      <alignment horizontal="center" vertical="center" wrapText="1"/>
    </xf>
    <xf numFmtId="0" fontId="0" fillId="0" borderId="7" xfId="0" applyBorder="1" applyAlignment="1">
      <alignment vertical="top" wrapText="1"/>
    </xf>
    <xf numFmtId="0" fontId="0" fillId="0" borderId="8" xfId="0" applyBorder="1" applyAlignment="1">
      <alignment vertical="top" wrapText="1"/>
    </xf>
    <xf numFmtId="0" fontId="0" fillId="0" borderId="3" xfId="0" applyBorder="1" applyAlignment="1">
      <alignment horizontal="center" vertical="top" wrapText="1"/>
    </xf>
    <xf numFmtId="0" fontId="7" fillId="0" borderId="2" xfId="0" applyNumberFormat="1" applyFont="1" applyFill="1" applyBorder="1" applyAlignment="1">
      <alignment horizontal="center" vertical="top" wrapText="1"/>
    </xf>
    <xf numFmtId="0" fontId="46" fillId="0" borderId="3" xfId="0" applyFont="1" applyBorder="1" applyAlignment="1">
      <alignment horizontal="center" vertical="top" wrapText="1"/>
    </xf>
    <xf numFmtId="0" fontId="46" fillId="0" borderId="3" xfId="0" applyFont="1" applyBorder="1" applyAlignment="1">
      <alignment vertical="top" wrapText="1"/>
    </xf>
    <xf numFmtId="0" fontId="46" fillId="0" borderId="4" xfId="0" applyFont="1" applyBorder="1" applyAlignment="1">
      <alignment vertical="top" wrapText="1"/>
    </xf>
    <xf numFmtId="0" fontId="23" fillId="0" borderId="15" xfId="2" applyFont="1" applyFill="1" applyBorder="1" applyAlignment="1">
      <alignment horizontal="center" vertical="center" wrapText="1"/>
    </xf>
    <xf numFmtId="0" fontId="23" fillId="0" borderId="16" xfId="2" applyFont="1" applyFill="1" applyBorder="1" applyAlignment="1">
      <alignment horizontal="center" vertical="center" wrapText="1"/>
    </xf>
    <xf numFmtId="0" fontId="23" fillId="0" borderId="17" xfId="2" applyFont="1" applyFill="1" applyBorder="1" applyAlignment="1">
      <alignment horizontal="center" vertical="center" wrapText="1"/>
    </xf>
    <xf numFmtId="0" fontId="15" fillId="0" borderId="33" xfId="2" applyFont="1" applyFill="1" applyBorder="1" applyAlignment="1">
      <alignment horizontal="center" vertical="top" textRotation="180" wrapText="1"/>
    </xf>
    <xf numFmtId="0" fontId="15" fillId="0" borderId="37" xfId="2" applyFont="1" applyFill="1" applyBorder="1" applyAlignment="1">
      <alignment horizontal="center" vertical="top" textRotation="180" wrapText="1"/>
    </xf>
    <xf numFmtId="0" fontId="15" fillId="0" borderId="31" xfId="2" applyFont="1" applyFill="1" applyBorder="1" applyAlignment="1">
      <alignment horizontal="center" vertical="center" wrapText="1"/>
    </xf>
    <xf numFmtId="0" fontId="4" fillId="0" borderId="35" xfId="2" applyFill="1" applyBorder="1" applyAlignment="1">
      <alignment horizontal="center" vertical="center" wrapText="1"/>
    </xf>
    <xf numFmtId="0" fontId="4" fillId="0" borderId="39" xfId="2" applyFill="1" applyBorder="1" applyAlignment="1">
      <alignment horizontal="center" vertical="center" wrapText="1"/>
    </xf>
    <xf numFmtId="0" fontId="23" fillId="0" borderId="32" xfId="2" applyFont="1" applyFill="1" applyBorder="1" applyAlignment="1">
      <alignment horizontal="center" vertical="center" wrapText="1"/>
    </xf>
    <xf numFmtId="0" fontId="23" fillId="0" borderId="36" xfId="2" applyFont="1" applyFill="1" applyBorder="1" applyAlignment="1">
      <alignment horizontal="center" vertical="center" wrapText="1"/>
    </xf>
    <xf numFmtId="0" fontId="23" fillId="0" borderId="38" xfId="2" applyFont="1" applyFill="1" applyBorder="1" applyAlignment="1">
      <alignment horizontal="center" vertical="center" wrapText="1"/>
    </xf>
    <xf numFmtId="0" fontId="29" fillId="0" borderId="15" xfId="2" applyFont="1" applyFill="1" applyBorder="1" applyAlignment="1">
      <alignment horizontal="center" vertical="center" wrapText="1"/>
    </xf>
    <xf numFmtId="0" fontId="29" fillId="0" borderId="16" xfId="2" applyFont="1" applyFill="1" applyBorder="1" applyAlignment="1">
      <alignment horizontal="center" vertical="center" wrapText="1"/>
    </xf>
    <xf numFmtId="0" fontId="29" fillId="0" borderId="17" xfId="2" applyFont="1" applyFill="1" applyBorder="1" applyAlignment="1">
      <alignment horizontal="center" vertical="center" wrapText="1"/>
    </xf>
    <xf numFmtId="0" fontId="29" fillId="0" borderId="15" xfId="2" applyFont="1" applyFill="1" applyBorder="1" applyAlignment="1">
      <alignment horizontal="center" vertical="top" textRotation="180" wrapText="1"/>
    </xf>
    <xf numFmtId="0" fontId="29" fillId="0" borderId="16" xfId="2" applyFont="1" applyFill="1" applyBorder="1" applyAlignment="1">
      <alignment horizontal="center" vertical="top" textRotation="180" wrapText="1"/>
    </xf>
    <xf numFmtId="0" fontId="29" fillId="0" borderId="33" xfId="2" applyFont="1" applyFill="1" applyBorder="1" applyAlignment="1">
      <alignment horizontal="center" vertical="top" textRotation="180" wrapText="1"/>
    </xf>
    <xf numFmtId="0" fontId="29" fillId="0" borderId="37" xfId="2" applyFont="1" applyFill="1" applyBorder="1" applyAlignment="1">
      <alignment horizontal="center" vertical="top" textRotation="180" wrapText="1"/>
    </xf>
    <xf numFmtId="0" fontId="23" fillId="0" borderId="31" xfId="2" applyFont="1" applyFill="1" applyBorder="1" applyAlignment="1">
      <alignment horizontal="center" vertical="top" textRotation="180" wrapText="1"/>
    </xf>
    <xf numFmtId="0" fontId="23" fillId="0" borderId="35" xfId="2" applyFont="1" applyFill="1" applyBorder="1" applyAlignment="1">
      <alignment horizontal="center" vertical="top" textRotation="180" wrapText="1"/>
    </xf>
    <xf numFmtId="0" fontId="29" fillId="0" borderId="32" xfId="2" applyFont="1" applyFill="1" applyBorder="1" applyAlignment="1">
      <alignment horizontal="center" vertical="top" textRotation="180" wrapText="1"/>
    </xf>
    <xf numFmtId="0" fontId="29" fillId="0" borderId="36" xfId="2" applyFont="1" applyFill="1" applyBorder="1" applyAlignment="1">
      <alignment horizontal="center" vertical="top" textRotation="180" wrapText="1"/>
    </xf>
    <xf numFmtId="0" fontId="23" fillId="0" borderId="15" xfId="2" applyFont="1" applyFill="1" applyBorder="1" applyAlignment="1">
      <alignment horizontal="center" vertical="top" textRotation="180" wrapText="1"/>
    </xf>
    <xf numFmtId="0" fontId="23" fillId="0" borderId="16" xfId="2" applyFont="1" applyFill="1" applyBorder="1" applyAlignment="1">
      <alignment horizontal="center" vertical="top" textRotation="180" wrapText="1"/>
    </xf>
    <xf numFmtId="0" fontId="15" fillId="0" borderId="15" xfId="2" applyFont="1" applyFill="1" applyBorder="1" applyAlignment="1">
      <alignment horizontal="center" vertical="top" textRotation="180" wrapText="1"/>
    </xf>
    <xf numFmtId="0" fontId="15" fillId="0" borderId="16" xfId="2" applyFont="1" applyFill="1" applyBorder="1" applyAlignment="1">
      <alignment horizontal="center" vertical="top" textRotation="180" wrapText="1"/>
    </xf>
    <xf numFmtId="0" fontId="32" fillId="0" borderId="15" xfId="2" applyFont="1" applyBorder="1" applyAlignment="1">
      <alignment horizontal="center" vertical="center" textRotation="180" wrapText="1"/>
    </xf>
    <xf numFmtId="0" fontId="32" fillId="0" borderId="16" xfId="2" applyFont="1" applyBorder="1" applyAlignment="1">
      <alignment horizontal="center" vertical="center" textRotation="180" wrapText="1"/>
    </xf>
    <xf numFmtId="0" fontId="32" fillId="0" borderId="31" xfId="2" applyFont="1" applyBorder="1" applyAlignment="1">
      <alignment horizontal="center" vertical="center" textRotation="180" wrapText="1"/>
    </xf>
    <xf numFmtId="0" fontId="4" fillId="0" borderId="35" xfId="2" applyBorder="1" applyAlignment="1">
      <alignment horizontal="center" vertical="center" textRotation="180" wrapText="1"/>
    </xf>
    <xf numFmtId="0" fontId="4" fillId="0" borderId="39" xfId="2" applyBorder="1" applyAlignment="1">
      <alignment horizontal="center" vertical="center" textRotation="180" wrapText="1"/>
    </xf>
    <xf numFmtId="0" fontId="15" fillId="0" borderId="34" xfId="2" applyFont="1" applyFill="1" applyBorder="1" applyAlignment="1">
      <alignment horizontal="center" vertical="top" textRotation="180" wrapText="1"/>
    </xf>
    <xf numFmtId="0" fontId="15" fillId="0" borderId="0" xfId="2" applyFont="1" applyFill="1" applyBorder="1" applyAlignment="1">
      <alignment horizontal="center" vertical="top" textRotation="180" wrapText="1"/>
    </xf>
    <xf numFmtId="0" fontId="4" fillId="0" borderId="16" xfId="2" applyBorder="1" applyAlignment="1">
      <alignment horizontal="center" vertical="center" textRotation="180" wrapText="1"/>
    </xf>
    <xf numFmtId="0" fontId="4" fillId="0" borderId="17" xfId="2" applyBorder="1" applyAlignment="1">
      <alignment horizontal="center" vertical="center" textRotation="180" wrapText="1"/>
    </xf>
  </cellXfs>
  <cellStyles count="5">
    <cellStyle name="ハイパーリンク" xfId="1" builtinId="8"/>
    <cellStyle name="ハイパーリンク 2" xfId="4"/>
    <cellStyle name="標準" xfId="0" builtinId="0"/>
    <cellStyle name="標準 2" xfId="2"/>
    <cellStyle name="標準 2 2" xfId="3"/>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FFFF"/>
      <rgbColor rgb="00000000"/>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3333FF"/>
      <color rgb="FFFFFFCC"/>
      <color rgb="FFCCFFCC"/>
      <color rgb="FFFF33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themeOverride" Target="../theme/themeOverride1.xml"/></Relationships>
</file>

<file path=xl/charts/_rels/chart10.xml.rels><?xml version="1.0" encoding="UTF-8" standalone="yes"?>
<Relationships xmlns="http://schemas.openxmlformats.org/package/2006/relationships"><Relationship Id="rId1" Type="http://schemas.openxmlformats.org/officeDocument/2006/relationships/themeOverride" Target="../theme/themeOverride10.xml"/></Relationships>
</file>

<file path=xl/charts/_rels/chart11.xml.rels><?xml version="1.0" encoding="UTF-8" standalone="yes"?>
<Relationships xmlns="http://schemas.openxmlformats.org/package/2006/relationships"><Relationship Id="rId1" Type="http://schemas.openxmlformats.org/officeDocument/2006/relationships/themeOverride" Target="../theme/themeOverride11.xml"/></Relationships>
</file>

<file path=xl/charts/_rels/chart12.xml.rels><?xml version="1.0" encoding="UTF-8" standalone="yes"?>
<Relationships xmlns="http://schemas.openxmlformats.org/package/2006/relationships"><Relationship Id="rId1" Type="http://schemas.openxmlformats.org/officeDocument/2006/relationships/themeOverride" Target="../theme/themeOverride12.xml"/></Relationships>
</file>

<file path=xl/charts/_rels/chart13.xml.rels><?xml version="1.0" encoding="UTF-8" standalone="yes"?>
<Relationships xmlns="http://schemas.openxmlformats.org/package/2006/relationships"><Relationship Id="rId1" Type="http://schemas.openxmlformats.org/officeDocument/2006/relationships/themeOverride" Target="../theme/themeOverride13.xml"/></Relationships>
</file>

<file path=xl/charts/_rels/chart14.xml.rels><?xml version="1.0" encoding="UTF-8" standalone="yes"?>
<Relationships xmlns="http://schemas.openxmlformats.org/package/2006/relationships"><Relationship Id="rId1" Type="http://schemas.openxmlformats.org/officeDocument/2006/relationships/themeOverride" Target="../theme/themeOverride14.xml"/></Relationships>
</file>

<file path=xl/charts/_rels/chart15.xml.rels><?xml version="1.0" encoding="UTF-8" standalone="yes"?>
<Relationships xmlns="http://schemas.openxmlformats.org/package/2006/relationships"><Relationship Id="rId1" Type="http://schemas.openxmlformats.org/officeDocument/2006/relationships/themeOverride" Target="../theme/themeOverride15.xml"/></Relationships>
</file>

<file path=xl/charts/_rels/chart2.xml.rels><?xml version="1.0" encoding="UTF-8" standalone="yes"?>
<Relationships xmlns="http://schemas.openxmlformats.org/package/2006/relationships"><Relationship Id="rId1" Type="http://schemas.openxmlformats.org/officeDocument/2006/relationships/themeOverride" Target="../theme/themeOverride2.xml"/></Relationships>
</file>

<file path=xl/charts/_rels/chart3.xml.rels><?xml version="1.0" encoding="UTF-8" standalone="yes"?>
<Relationships xmlns="http://schemas.openxmlformats.org/package/2006/relationships"><Relationship Id="rId1" Type="http://schemas.openxmlformats.org/officeDocument/2006/relationships/themeOverride" Target="../theme/themeOverride3.xml"/></Relationships>
</file>

<file path=xl/charts/_rels/chart4.xml.rels><?xml version="1.0" encoding="UTF-8" standalone="yes"?>
<Relationships xmlns="http://schemas.openxmlformats.org/package/2006/relationships"><Relationship Id="rId2" Type="http://schemas.openxmlformats.org/officeDocument/2006/relationships/chartUserShapes" Target="../drawings/drawing2.xml"/><Relationship Id="rId1" Type="http://schemas.openxmlformats.org/officeDocument/2006/relationships/themeOverride" Target="../theme/themeOverride4.xml"/></Relationships>
</file>

<file path=xl/charts/_rels/chart5.xml.rels><?xml version="1.0" encoding="UTF-8" standalone="yes"?>
<Relationships xmlns="http://schemas.openxmlformats.org/package/2006/relationships"><Relationship Id="rId1" Type="http://schemas.openxmlformats.org/officeDocument/2006/relationships/themeOverride" Target="../theme/themeOverride5.xml"/></Relationships>
</file>

<file path=xl/charts/_rels/chart6.xml.rels><?xml version="1.0" encoding="UTF-8" standalone="yes"?>
<Relationships xmlns="http://schemas.openxmlformats.org/package/2006/relationships"><Relationship Id="rId1" Type="http://schemas.openxmlformats.org/officeDocument/2006/relationships/themeOverride" Target="../theme/themeOverride6.xml"/></Relationships>
</file>

<file path=xl/charts/_rels/chart7.xml.rels><?xml version="1.0" encoding="UTF-8" standalone="yes"?>
<Relationships xmlns="http://schemas.openxmlformats.org/package/2006/relationships"><Relationship Id="rId1" Type="http://schemas.openxmlformats.org/officeDocument/2006/relationships/themeOverride" Target="../theme/themeOverride7.xml"/></Relationships>
</file>

<file path=xl/charts/_rels/chart8.xml.rels><?xml version="1.0" encoding="UTF-8" standalone="yes"?>
<Relationships xmlns="http://schemas.openxmlformats.org/package/2006/relationships"><Relationship Id="rId1" Type="http://schemas.openxmlformats.org/officeDocument/2006/relationships/themeOverride" Target="../theme/themeOverride8.xml"/></Relationships>
</file>

<file path=xl/charts/_rels/chart9.xml.rels><?xml version="1.0" encoding="UTF-8" standalone="yes"?>
<Relationships xmlns="http://schemas.openxmlformats.org/package/2006/relationships"><Relationship Id="rId1" Type="http://schemas.openxmlformats.org/officeDocument/2006/relationships/themeOverride" Target="../theme/themeOverride9.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8.437281696309766E-2"/>
          <c:y val="0.15060339441447104"/>
          <c:w val="0.83125436607380465"/>
          <c:h val="0.78557015062807534"/>
        </c:manualLayout>
      </c:layout>
      <c:barChart>
        <c:barDir val="col"/>
        <c:grouping val="stacked"/>
        <c:varyColors val="0"/>
        <c:ser>
          <c:idx val="0"/>
          <c:order val="4"/>
          <c:tx>
            <c:strRef>
              <c:f>まとめ!$AD$29</c:f>
              <c:strCache>
                <c:ptCount val="1"/>
                <c:pt idx="0">
                  <c:v>主灰･飛灰中の月間Cs集積量(x0.1MBq)</c:v>
                </c:pt>
              </c:strCache>
            </c:strRef>
          </c:tx>
          <c:spPr>
            <a:solidFill>
              <a:srgbClr val="FFFFCC"/>
            </a:solidFill>
            <a:ln w="0">
              <a:solidFill>
                <a:sysClr val="window" lastClr="FFFFFF">
                  <a:lumMod val="75000"/>
                </a:sysClr>
              </a:solidFill>
              <a:prstDash val="solid"/>
            </a:ln>
          </c:spPr>
          <c:invertIfNegative val="0"/>
          <c:cat>
            <c:numRef>
              <c:f>まとめ!$R$32:$R$121</c:f>
              <c:numCache>
                <c:formatCode>[$-411]ge\.m</c:formatCode>
                <c:ptCount val="90"/>
                <c:pt idx="0">
                  <c:v>40614</c:v>
                </c:pt>
                <c:pt idx="1">
                  <c:v>40847</c:v>
                </c:pt>
                <c:pt idx="2">
                  <c:v>40877</c:v>
                </c:pt>
                <c:pt idx="3">
                  <c:v>40908</c:v>
                </c:pt>
                <c:pt idx="4">
                  <c:v>40939</c:v>
                </c:pt>
                <c:pt idx="5">
                  <c:v>40968</c:v>
                </c:pt>
                <c:pt idx="6">
                  <c:v>40999</c:v>
                </c:pt>
                <c:pt idx="7">
                  <c:v>41029</c:v>
                </c:pt>
                <c:pt idx="8">
                  <c:v>41060</c:v>
                </c:pt>
                <c:pt idx="9">
                  <c:v>41090</c:v>
                </c:pt>
                <c:pt idx="10">
                  <c:v>41121</c:v>
                </c:pt>
                <c:pt idx="11">
                  <c:v>41152</c:v>
                </c:pt>
                <c:pt idx="12">
                  <c:v>41182</c:v>
                </c:pt>
                <c:pt idx="13">
                  <c:v>41213</c:v>
                </c:pt>
                <c:pt idx="14">
                  <c:v>41243</c:v>
                </c:pt>
                <c:pt idx="15">
                  <c:v>41274</c:v>
                </c:pt>
                <c:pt idx="16">
                  <c:v>41305</c:v>
                </c:pt>
                <c:pt idx="17">
                  <c:v>41333</c:v>
                </c:pt>
                <c:pt idx="18">
                  <c:v>41364</c:v>
                </c:pt>
                <c:pt idx="19">
                  <c:v>41394</c:v>
                </c:pt>
                <c:pt idx="20">
                  <c:v>41425</c:v>
                </c:pt>
                <c:pt idx="21">
                  <c:v>41455</c:v>
                </c:pt>
                <c:pt idx="22">
                  <c:v>41486</c:v>
                </c:pt>
                <c:pt idx="23">
                  <c:v>41517</c:v>
                </c:pt>
                <c:pt idx="24">
                  <c:v>41547</c:v>
                </c:pt>
                <c:pt idx="25">
                  <c:v>41578</c:v>
                </c:pt>
                <c:pt idx="26">
                  <c:v>41608</c:v>
                </c:pt>
                <c:pt idx="27">
                  <c:v>41639</c:v>
                </c:pt>
                <c:pt idx="28">
                  <c:v>41670</c:v>
                </c:pt>
                <c:pt idx="29">
                  <c:v>41698</c:v>
                </c:pt>
                <c:pt idx="30">
                  <c:v>41729</c:v>
                </c:pt>
                <c:pt idx="31">
                  <c:v>41759</c:v>
                </c:pt>
                <c:pt idx="32">
                  <c:v>41790</c:v>
                </c:pt>
                <c:pt idx="33">
                  <c:v>41820</c:v>
                </c:pt>
                <c:pt idx="34">
                  <c:v>41851</c:v>
                </c:pt>
                <c:pt idx="35">
                  <c:v>41882</c:v>
                </c:pt>
                <c:pt idx="36">
                  <c:v>41912</c:v>
                </c:pt>
                <c:pt idx="37">
                  <c:v>41943</c:v>
                </c:pt>
                <c:pt idx="38">
                  <c:v>41973</c:v>
                </c:pt>
                <c:pt idx="39">
                  <c:v>42004</c:v>
                </c:pt>
                <c:pt idx="40">
                  <c:v>42035</c:v>
                </c:pt>
                <c:pt idx="41">
                  <c:v>42063</c:v>
                </c:pt>
                <c:pt idx="42">
                  <c:v>42094</c:v>
                </c:pt>
                <c:pt idx="43">
                  <c:v>42124</c:v>
                </c:pt>
                <c:pt idx="44">
                  <c:v>42155</c:v>
                </c:pt>
                <c:pt idx="45">
                  <c:v>42185</c:v>
                </c:pt>
                <c:pt idx="46">
                  <c:v>42216</c:v>
                </c:pt>
                <c:pt idx="47">
                  <c:v>42247</c:v>
                </c:pt>
                <c:pt idx="48">
                  <c:v>42277</c:v>
                </c:pt>
                <c:pt idx="49">
                  <c:v>42308</c:v>
                </c:pt>
                <c:pt idx="50">
                  <c:v>42338</c:v>
                </c:pt>
                <c:pt idx="51">
                  <c:v>42369</c:v>
                </c:pt>
                <c:pt idx="52">
                  <c:v>42400</c:v>
                </c:pt>
                <c:pt idx="53">
                  <c:v>42429</c:v>
                </c:pt>
                <c:pt idx="54">
                  <c:v>42460</c:v>
                </c:pt>
                <c:pt idx="55">
                  <c:v>42490</c:v>
                </c:pt>
                <c:pt idx="56">
                  <c:v>42521</c:v>
                </c:pt>
                <c:pt idx="57">
                  <c:v>42551</c:v>
                </c:pt>
                <c:pt idx="58">
                  <c:v>42582</c:v>
                </c:pt>
                <c:pt idx="59">
                  <c:v>42613</c:v>
                </c:pt>
                <c:pt idx="60">
                  <c:v>42643</c:v>
                </c:pt>
                <c:pt idx="61">
                  <c:v>42674</c:v>
                </c:pt>
                <c:pt idx="62">
                  <c:v>42704</c:v>
                </c:pt>
                <c:pt idx="63">
                  <c:v>42735</c:v>
                </c:pt>
                <c:pt idx="64">
                  <c:v>42766</c:v>
                </c:pt>
                <c:pt idx="65">
                  <c:v>42794</c:v>
                </c:pt>
                <c:pt idx="66">
                  <c:v>42825</c:v>
                </c:pt>
                <c:pt idx="67">
                  <c:v>42855</c:v>
                </c:pt>
                <c:pt idx="68">
                  <c:v>42886</c:v>
                </c:pt>
                <c:pt idx="69">
                  <c:v>42916</c:v>
                </c:pt>
                <c:pt idx="70">
                  <c:v>42947</c:v>
                </c:pt>
                <c:pt idx="71">
                  <c:v>42978</c:v>
                </c:pt>
                <c:pt idx="72">
                  <c:v>43008</c:v>
                </c:pt>
                <c:pt idx="73">
                  <c:v>43039</c:v>
                </c:pt>
                <c:pt idx="74">
                  <c:v>43069</c:v>
                </c:pt>
                <c:pt idx="75">
                  <c:v>43100</c:v>
                </c:pt>
                <c:pt idx="76">
                  <c:v>43131</c:v>
                </c:pt>
                <c:pt idx="77">
                  <c:v>43159</c:v>
                </c:pt>
                <c:pt idx="78">
                  <c:v>43190</c:v>
                </c:pt>
                <c:pt idx="79">
                  <c:v>43220</c:v>
                </c:pt>
                <c:pt idx="80">
                  <c:v>43251</c:v>
                </c:pt>
                <c:pt idx="81">
                  <c:v>43281</c:v>
                </c:pt>
                <c:pt idx="82">
                  <c:v>43312</c:v>
                </c:pt>
                <c:pt idx="83">
                  <c:v>43343</c:v>
                </c:pt>
                <c:pt idx="84">
                  <c:v>43373</c:v>
                </c:pt>
                <c:pt idx="85">
                  <c:v>43404</c:v>
                </c:pt>
                <c:pt idx="86">
                  <c:v>43434</c:v>
                </c:pt>
                <c:pt idx="87">
                  <c:v>43465</c:v>
                </c:pt>
                <c:pt idx="88">
                  <c:v>43496</c:v>
                </c:pt>
                <c:pt idx="89">
                  <c:v>43524</c:v>
                </c:pt>
              </c:numCache>
            </c:numRef>
          </c:cat>
          <c:val>
            <c:numRef>
              <c:f>まとめ!$AD$32:$AD$121</c:f>
              <c:numCache>
                <c:formatCode>0</c:formatCode>
                <c:ptCount val="90"/>
                <c:pt idx="1">
                  <c:v>1303.3738724117861</c:v>
                </c:pt>
                <c:pt idx="2">
                  <c:v>823.53883910142713</c:v>
                </c:pt>
                <c:pt idx="3">
                  <c:v>705.26642989922846</c:v>
                </c:pt>
                <c:pt idx="4">
                  <c:v>557.61629058686981</c:v>
                </c:pt>
                <c:pt idx="5">
                  <c:v>420.83984210435108</c:v>
                </c:pt>
                <c:pt idx="6">
                  <c:v>825.66776890718472</c:v>
                </c:pt>
                <c:pt idx="7">
                  <c:v>1250.3816724559781</c:v>
                </c:pt>
                <c:pt idx="8">
                  <c:v>1433.9410028249265</c:v>
                </c:pt>
                <c:pt idx="9">
                  <c:v>1268.5509151313702</c:v>
                </c:pt>
                <c:pt idx="10">
                  <c:v>1109.4238435588229</c:v>
                </c:pt>
                <c:pt idx="11">
                  <c:v>993.91895919843978</c:v>
                </c:pt>
                <c:pt idx="12">
                  <c:v>808.64768430311528</c:v>
                </c:pt>
                <c:pt idx="13">
                  <c:v>660.11823970090472</c:v>
                </c:pt>
                <c:pt idx="14">
                  <c:v>420.13434473982272</c:v>
                </c:pt>
                <c:pt idx="15">
                  <c:v>362.55315282619898</c:v>
                </c:pt>
                <c:pt idx="16">
                  <c:v>288.96795311357118</c:v>
                </c:pt>
                <c:pt idx="17">
                  <c:v>220.08465139398027</c:v>
                </c:pt>
                <c:pt idx="18">
                  <c:v>435.53309871228532</c:v>
                </c:pt>
                <c:pt idx="19">
                  <c:v>635.58891386682558</c:v>
                </c:pt>
                <c:pt idx="20">
                  <c:v>735.43968055167829</c:v>
                </c:pt>
                <c:pt idx="21">
                  <c:v>656.52369358716101</c:v>
                </c:pt>
                <c:pt idx="22">
                  <c:v>579.62917733442305</c:v>
                </c:pt>
                <c:pt idx="23">
                  <c:v>524.34400311191962</c:v>
                </c:pt>
                <c:pt idx="24">
                  <c:v>430.80828138606762</c:v>
                </c:pt>
                <c:pt idx="25">
                  <c:v>355.32991940579103</c:v>
                </c:pt>
                <c:pt idx="26">
                  <c:v>228.45556644457216</c:v>
                </c:pt>
                <c:pt idx="27">
                  <c:v>199.33459438012349</c:v>
                </c:pt>
                <c:pt idx="28">
                  <c:v>160.6547348434664</c:v>
                </c:pt>
                <c:pt idx="29">
                  <c:v>123.64569531432122</c:v>
                </c:pt>
                <c:pt idx="30">
                  <c:v>247.54523522167131</c:v>
                </c:pt>
                <c:pt idx="31">
                  <c:v>387.70099742021955</c:v>
                </c:pt>
                <c:pt idx="32">
                  <c:v>454.05080631988858</c:v>
                </c:pt>
                <c:pt idx="33">
                  <c:v>410.10004072370231</c:v>
                </c:pt>
                <c:pt idx="34">
                  <c:v>366.63531393428786</c:v>
                </c:pt>
                <c:pt idx="35">
                  <c:v>335.81535354821682</c:v>
                </c:pt>
                <c:pt idx="36">
                  <c:v>279.30707450368601</c:v>
                </c:pt>
                <c:pt idx="37">
                  <c:v>233.35069507062053</c:v>
                </c:pt>
                <c:pt idx="38">
                  <c:v>151.91219798867778</c:v>
                </c:pt>
                <c:pt idx="39">
                  <c:v>134.28621673348539</c:v>
                </c:pt>
                <c:pt idx="40">
                  <c:v>109.6439453189912</c:v>
                </c:pt>
                <c:pt idx="41">
                  <c:v>85.379229723060433</c:v>
                </c:pt>
                <c:pt idx="42">
                  <c:v>173.16766385063627</c:v>
                </c:pt>
                <c:pt idx="43">
                  <c:v>263.13796934761564</c:v>
                </c:pt>
                <c:pt idx="44">
                  <c:v>312.20172757537034</c:v>
                </c:pt>
                <c:pt idx="45">
                  <c:v>285.5072622956788</c:v>
                </c:pt>
                <c:pt idx="46">
                  <c:v>258.56240328995352</c:v>
                </c:pt>
                <c:pt idx="47">
                  <c:v>239.87995775470736</c:v>
                </c:pt>
                <c:pt idx="48">
                  <c:v>201.94209027138484</c:v>
                </c:pt>
                <c:pt idx="49">
                  <c:v>170.81195819135328</c:v>
                </c:pt>
                <c:pt idx="50">
                  <c:v>112.54006332357082</c:v>
                </c:pt>
                <c:pt idx="51">
                  <c:v>100.6784473168301</c:v>
                </c:pt>
                <c:pt idx="52">
                  <c:v>83.166656789129263</c:v>
                </c:pt>
                <c:pt idx="53">
                  <c:v>65.429880756882227</c:v>
                </c:pt>
                <c:pt idx="54">
                  <c:v>134.24174324608526</c:v>
                </c:pt>
                <c:pt idx="55">
                  <c:v>198.52831436144143</c:v>
                </c:pt>
                <c:pt idx="56">
                  <c:v>238.09346051152716</c:v>
                </c:pt>
                <c:pt idx="57">
                  <c:v>220.0168671979107</c:v>
                </c:pt>
                <c:pt idx="58">
                  <c:v>201.30499218049431</c:v>
                </c:pt>
                <c:pt idx="59">
                  <c:v>188.67659634926977</c:v>
                </c:pt>
                <c:pt idx="60">
                  <c:v>160.33276016154383</c:v>
                </c:pt>
                <c:pt idx="61">
                  <c:v>136.91818947867486</c:v>
                </c:pt>
                <c:pt idx="62">
                  <c:v>90.993213648651817</c:v>
                </c:pt>
                <c:pt idx="63">
                  <c:v>82.123373764017913</c:v>
                </c:pt>
                <c:pt idx="64">
                  <c:v>68.431089927003498</c:v>
                </c:pt>
                <c:pt idx="65">
                  <c:v>54.255950790942329</c:v>
                </c:pt>
                <c:pt idx="66">
                  <c:v>112.19127537640703</c:v>
                </c:pt>
                <c:pt idx="67">
                  <c:v>170.40151367115152</c:v>
                </c:pt>
                <c:pt idx="68">
                  <c:v>205.91447120598619</c:v>
                </c:pt>
                <c:pt idx="69">
                  <c:v>191.55088812067009</c:v>
                </c:pt>
                <c:pt idx="70">
                  <c:v>176.42968711504517</c:v>
                </c:pt>
                <c:pt idx="71">
                  <c:v>166.37846183158263</c:v>
                </c:pt>
                <c:pt idx="72">
                  <c:v>142.24060995897548</c:v>
                </c:pt>
                <c:pt idx="73">
                  <c:v>122.17527854757789</c:v>
                </c:pt>
                <c:pt idx="74">
                  <c:v>81.639233628765055</c:v>
                </c:pt>
                <c:pt idx="75">
                  <c:v>74.080946822211402</c:v>
                </c:pt>
                <c:pt idx="76">
                  <c:v>62.048496484098536</c:v>
                </c:pt>
                <c:pt idx="77">
                  <c:v>49.411065552220293</c:v>
                </c:pt>
                <c:pt idx="78">
                  <c:v>99.032211554336726</c:v>
                </c:pt>
                <c:pt idx="79">
                  <c:v>336.65059803109733</c:v>
                </c:pt>
                <c:pt idx="80">
                  <c:v>138.85212170322876</c:v>
                </c:pt>
                <c:pt idx="81">
                  <c:v>217.88491565273188</c:v>
                </c:pt>
                <c:pt idx="82">
                  <c:v>200.468160153545</c:v>
                </c:pt>
                <c:pt idx="83">
                  <c:v>200.67067943895188</c:v>
                </c:pt>
                <c:pt idx="84">
                  <c:v>284.34687865210071</c:v>
                </c:pt>
                <c:pt idx="85">
                  <c:v>216.99711941440242</c:v>
                </c:pt>
                <c:pt idx="86">
                  <c:v>145.33246061244884</c:v>
                </c:pt>
                <c:pt idx="87">
                  <c:v>132.21223765757446</c:v>
                </c:pt>
                <c:pt idx="88">
                  <c:v>111.01731526674584</c:v>
                </c:pt>
                <c:pt idx="89">
                  <c:v>31.241389000383364</c:v>
                </c:pt>
              </c:numCache>
            </c:numRef>
          </c:val>
        </c:ser>
        <c:ser>
          <c:idx val="6"/>
          <c:order val="6"/>
          <c:tx>
            <c:strRef>
              <c:f>まとめ!$AS$29</c:f>
              <c:strCache>
                <c:ptCount val="1"/>
                <c:pt idx="0">
                  <c:v>汚染廃棄物由来Cs量(x0.1MBq)</c:v>
                </c:pt>
              </c:strCache>
            </c:strRef>
          </c:tx>
          <c:spPr>
            <a:solidFill>
              <a:srgbClr val="3333FF"/>
            </a:solidFill>
          </c:spPr>
          <c:invertIfNegative val="0"/>
          <c:cat>
            <c:numRef>
              <c:f>まとめ!$R$33:$R$121</c:f>
              <c:numCache>
                <c:formatCode>[$-411]ge\.m</c:formatCode>
                <c:ptCount val="89"/>
                <c:pt idx="0">
                  <c:v>40847</c:v>
                </c:pt>
                <c:pt idx="1">
                  <c:v>40877</c:v>
                </c:pt>
                <c:pt idx="2">
                  <c:v>40908</c:v>
                </c:pt>
                <c:pt idx="3">
                  <c:v>40939</c:v>
                </c:pt>
                <c:pt idx="4">
                  <c:v>40968</c:v>
                </c:pt>
                <c:pt idx="5">
                  <c:v>40999</c:v>
                </c:pt>
                <c:pt idx="6">
                  <c:v>41029</c:v>
                </c:pt>
                <c:pt idx="7">
                  <c:v>41060</c:v>
                </c:pt>
                <c:pt idx="8">
                  <c:v>41090</c:v>
                </c:pt>
                <c:pt idx="9">
                  <c:v>41121</c:v>
                </c:pt>
                <c:pt idx="10">
                  <c:v>41152</c:v>
                </c:pt>
                <c:pt idx="11">
                  <c:v>41182</c:v>
                </c:pt>
                <c:pt idx="12">
                  <c:v>41213</c:v>
                </c:pt>
                <c:pt idx="13">
                  <c:v>41243</c:v>
                </c:pt>
                <c:pt idx="14">
                  <c:v>41274</c:v>
                </c:pt>
                <c:pt idx="15">
                  <c:v>41305</c:v>
                </c:pt>
                <c:pt idx="16">
                  <c:v>41333</c:v>
                </c:pt>
                <c:pt idx="17">
                  <c:v>41364</c:v>
                </c:pt>
                <c:pt idx="18">
                  <c:v>41394</c:v>
                </c:pt>
                <c:pt idx="19">
                  <c:v>41425</c:v>
                </c:pt>
                <c:pt idx="20">
                  <c:v>41455</c:v>
                </c:pt>
                <c:pt idx="21">
                  <c:v>41486</c:v>
                </c:pt>
                <c:pt idx="22">
                  <c:v>41517</c:v>
                </c:pt>
                <c:pt idx="23">
                  <c:v>41547</c:v>
                </c:pt>
                <c:pt idx="24">
                  <c:v>41578</c:v>
                </c:pt>
                <c:pt idx="25">
                  <c:v>41608</c:v>
                </c:pt>
                <c:pt idx="26">
                  <c:v>41639</c:v>
                </c:pt>
                <c:pt idx="27">
                  <c:v>41670</c:v>
                </c:pt>
                <c:pt idx="28">
                  <c:v>41698</c:v>
                </c:pt>
                <c:pt idx="29">
                  <c:v>41729</c:v>
                </c:pt>
                <c:pt idx="30">
                  <c:v>41759</c:v>
                </c:pt>
                <c:pt idx="31">
                  <c:v>41790</c:v>
                </c:pt>
                <c:pt idx="32">
                  <c:v>41820</c:v>
                </c:pt>
                <c:pt idx="33">
                  <c:v>41851</c:v>
                </c:pt>
                <c:pt idx="34">
                  <c:v>41882</c:v>
                </c:pt>
                <c:pt idx="35">
                  <c:v>41912</c:v>
                </c:pt>
                <c:pt idx="36">
                  <c:v>41943</c:v>
                </c:pt>
                <c:pt idx="37">
                  <c:v>41973</c:v>
                </c:pt>
                <c:pt idx="38">
                  <c:v>42004</c:v>
                </c:pt>
                <c:pt idx="39">
                  <c:v>42035</c:v>
                </c:pt>
                <c:pt idx="40">
                  <c:v>42063</c:v>
                </c:pt>
                <c:pt idx="41">
                  <c:v>42094</c:v>
                </c:pt>
                <c:pt idx="42">
                  <c:v>42124</c:v>
                </c:pt>
                <c:pt idx="43">
                  <c:v>42155</c:v>
                </c:pt>
                <c:pt idx="44">
                  <c:v>42185</c:v>
                </c:pt>
                <c:pt idx="45">
                  <c:v>42216</c:v>
                </c:pt>
                <c:pt idx="46">
                  <c:v>42247</c:v>
                </c:pt>
                <c:pt idx="47">
                  <c:v>42277</c:v>
                </c:pt>
                <c:pt idx="48">
                  <c:v>42308</c:v>
                </c:pt>
                <c:pt idx="49">
                  <c:v>42338</c:v>
                </c:pt>
                <c:pt idx="50">
                  <c:v>42369</c:v>
                </c:pt>
                <c:pt idx="51">
                  <c:v>42400</c:v>
                </c:pt>
                <c:pt idx="52">
                  <c:v>42429</c:v>
                </c:pt>
                <c:pt idx="53">
                  <c:v>42460</c:v>
                </c:pt>
                <c:pt idx="54">
                  <c:v>42490</c:v>
                </c:pt>
                <c:pt idx="55">
                  <c:v>42521</c:v>
                </c:pt>
                <c:pt idx="56">
                  <c:v>42551</c:v>
                </c:pt>
                <c:pt idx="57">
                  <c:v>42582</c:v>
                </c:pt>
                <c:pt idx="58">
                  <c:v>42613</c:v>
                </c:pt>
                <c:pt idx="59">
                  <c:v>42643</c:v>
                </c:pt>
                <c:pt idx="60">
                  <c:v>42674</c:v>
                </c:pt>
                <c:pt idx="61">
                  <c:v>42704</c:v>
                </c:pt>
                <c:pt idx="62">
                  <c:v>42735</c:v>
                </c:pt>
                <c:pt idx="63">
                  <c:v>42766</c:v>
                </c:pt>
                <c:pt idx="64">
                  <c:v>42794</c:v>
                </c:pt>
                <c:pt idx="65">
                  <c:v>42825</c:v>
                </c:pt>
                <c:pt idx="66">
                  <c:v>42855</c:v>
                </c:pt>
                <c:pt idx="67">
                  <c:v>42886</c:v>
                </c:pt>
                <c:pt idx="68">
                  <c:v>42916</c:v>
                </c:pt>
                <c:pt idx="69">
                  <c:v>42947</c:v>
                </c:pt>
                <c:pt idx="70">
                  <c:v>42978</c:v>
                </c:pt>
                <c:pt idx="71">
                  <c:v>43008</c:v>
                </c:pt>
                <c:pt idx="72">
                  <c:v>43039</c:v>
                </c:pt>
                <c:pt idx="73">
                  <c:v>43069</c:v>
                </c:pt>
                <c:pt idx="74">
                  <c:v>43100</c:v>
                </c:pt>
                <c:pt idx="75">
                  <c:v>43131</c:v>
                </c:pt>
                <c:pt idx="76">
                  <c:v>43159</c:v>
                </c:pt>
                <c:pt idx="77">
                  <c:v>43190</c:v>
                </c:pt>
                <c:pt idx="78">
                  <c:v>43220</c:v>
                </c:pt>
                <c:pt idx="79">
                  <c:v>43251</c:v>
                </c:pt>
                <c:pt idx="80">
                  <c:v>43281</c:v>
                </c:pt>
                <c:pt idx="81">
                  <c:v>43312</c:v>
                </c:pt>
                <c:pt idx="82">
                  <c:v>43343</c:v>
                </c:pt>
                <c:pt idx="83">
                  <c:v>43373</c:v>
                </c:pt>
                <c:pt idx="84">
                  <c:v>43404</c:v>
                </c:pt>
                <c:pt idx="85">
                  <c:v>43434</c:v>
                </c:pt>
                <c:pt idx="86">
                  <c:v>43465</c:v>
                </c:pt>
                <c:pt idx="87">
                  <c:v>43496</c:v>
                </c:pt>
                <c:pt idx="88">
                  <c:v>43524</c:v>
                </c:pt>
              </c:numCache>
            </c:numRef>
          </c:cat>
          <c:val>
            <c:numRef>
              <c:f>まとめ!$AS$32:$AS$121</c:f>
              <c:numCache>
                <c:formatCode>General</c:formatCode>
                <c:ptCount val="90"/>
                <c:pt idx="80" formatCode="0.0">
                  <c:v>14.07</c:v>
                </c:pt>
                <c:pt idx="81" formatCode="0.0">
                  <c:v>33.25</c:v>
                </c:pt>
                <c:pt idx="82" formatCode="0.0">
                  <c:v>69.45</c:v>
                </c:pt>
                <c:pt idx="83" formatCode="0.0">
                  <c:v>7.29</c:v>
                </c:pt>
                <c:pt idx="84" formatCode="0.0">
                  <c:v>27.09</c:v>
                </c:pt>
                <c:pt idx="85" formatCode="0.0">
                  <c:v>71.55</c:v>
                </c:pt>
              </c:numCache>
            </c:numRef>
          </c:val>
        </c:ser>
        <c:dLbls>
          <c:showLegendKey val="0"/>
          <c:showVal val="0"/>
          <c:showCatName val="0"/>
          <c:showSerName val="0"/>
          <c:showPercent val="0"/>
          <c:showBubbleSize val="0"/>
        </c:dLbls>
        <c:gapWidth val="0"/>
        <c:overlap val="100"/>
        <c:axId val="163366400"/>
        <c:axId val="163377536"/>
      </c:barChart>
      <c:barChart>
        <c:barDir val="col"/>
        <c:grouping val="clustered"/>
        <c:varyColors val="0"/>
        <c:ser>
          <c:idx val="1"/>
          <c:order val="5"/>
          <c:tx>
            <c:strRef>
              <c:f>まとめ!$AQ$29</c:f>
              <c:strCache>
                <c:ptCount val="1"/>
                <c:pt idx="0">
                  <c:v>最終処分場での両Cs現存量(x0.1MBq)</c:v>
                </c:pt>
              </c:strCache>
            </c:strRef>
          </c:tx>
          <c:spPr>
            <a:pattFill prst="pct25">
              <a:fgClr>
                <a:srgbClr val="F79646">
                  <a:lumMod val="60000"/>
                  <a:lumOff val="40000"/>
                </a:srgbClr>
              </a:fgClr>
              <a:bgClr>
                <a:sysClr val="window" lastClr="FFFFFF"/>
              </a:bgClr>
            </a:pattFill>
            <a:ln w="0">
              <a:solidFill>
                <a:srgbClr val="F79646">
                  <a:lumMod val="75000"/>
                </a:srgbClr>
              </a:solidFill>
              <a:prstDash val="solid"/>
            </a:ln>
          </c:spPr>
          <c:invertIfNegative val="0"/>
          <c:cat>
            <c:numRef>
              <c:f>まとめ!$R$32:$R$121</c:f>
              <c:numCache>
                <c:formatCode>[$-411]ge\.m</c:formatCode>
                <c:ptCount val="90"/>
                <c:pt idx="0">
                  <c:v>40614</c:v>
                </c:pt>
                <c:pt idx="1">
                  <c:v>40847</c:v>
                </c:pt>
                <c:pt idx="2">
                  <c:v>40877</c:v>
                </c:pt>
                <c:pt idx="3">
                  <c:v>40908</c:v>
                </c:pt>
                <c:pt idx="4">
                  <c:v>40939</c:v>
                </c:pt>
                <c:pt idx="5">
                  <c:v>40968</c:v>
                </c:pt>
                <c:pt idx="6">
                  <c:v>40999</c:v>
                </c:pt>
                <c:pt idx="7">
                  <c:v>41029</c:v>
                </c:pt>
                <c:pt idx="8">
                  <c:v>41060</c:v>
                </c:pt>
                <c:pt idx="9">
                  <c:v>41090</c:v>
                </c:pt>
                <c:pt idx="10">
                  <c:v>41121</c:v>
                </c:pt>
                <c:pt idx="11">
                  <c:v>41152</c:v>
                </c:pt>
                <c:pt idx="12">
                  <c:v>41182</c:v>
                </c:pt>
                <c:pt idx="13">
                  <c:v>41213</c:v>
                </c:pt>
                <c:pt idx="14">
                  <c:v>41243</c:v>
                </c:pt>
                <c:pt idx="15">
                  <c:v>41274</c:v>
                </c:pt>
                <c:pt idx="16">
                  <c:v>41305</c:v>
                </c:pt>
                <c:pt idx="17">
                  <c:v>41333</c:v>
                </c:pt>
                <c:pt idx="18">
                  <c:v>41364</c:v>
                </c:pt>
                <c:pt idx="19">
                  <c:v>41394</c:v>
                </c:pt>
                <c:pt idx="20">
                  <c:v>41425</c:v>
                </c:pt>
                <c:pt idx="21">
                  <c:v>41455</c:v>
                </c:pt>
                <c:pt idx="22">
                  <c:v>41486</c:v>
                </c:pt>
                <c:pt idx="23">
                  <c:v>41517</c:v>
                </c:pt>
                <c:pt idx="24">
                  <c:v>41547</c:v>
                </c:pt>
                <c:pt idx="25">
                  <c:v>41578</c:v>
                </c:pt>
                <c:pt idx="26">
                  <c:v>41608</c:v>
                </c:pt>
                <c:pt idx="27">
                  <c:v>41639</c:v>
                </c:pt>
                <c:pt idx="28">
                  <c:v>41670</c:v>
                </c:pt>
                <c:pt idx="29">
                  <c:v>41698</c:v>
                </c:pt>
                <c:pt idx="30">
                  <c:v>41729</c:v>
                </c:pt>
                <c:pt idx="31">
                  <c:v>41759</c:v>
                </c:pt>
                <c:pt idx="32">
                  <c:v>41790</c:v>
                </c:pt>
                <c:pt idx="33">
                  <c:v>41820</c:v>
                </c:pt>
                <c:pt idx="34">
                  <c:v>41851</c:v>
                </c:pt>
                <c:pt idx="35">
                  <c:v>41882</c:v>
                </c:pt>
                <c:pt idx="36">
                  <c:v>41912</c:v>
                </c:pt>
                <c:pt idx="37">
                  <c:v>41943</c:v>
                </c:pt>
                <c:pt idx="38">
                  <c:v>41973</c:v>
                </c:pt>
                <c:pt idx="39">
                  <c:v>42004</c:v>
                </c:pt>
                <c:pt idx="40">
                  <c:v>42035</c:v>
                </c:pt>
                <c:pt idx="41">
                  <c:v>42063</c:v>
                </c:pt>
                <c:pt idx="42">
                  <c:v>42094</c:v>
                </c:pt>
                <c:pt idx="43">
                  <c:v>42124</c:v>
                </c:pt>
                <c:pt idx="44">
                  <c:v>42155</c:v>
                </c:pt>
                <c:pt idx="45">
                  <c:v>42185</c:v>
                </c:pt>
                <c:pt idx="46">
                  <c:v>42216</c:v>
                </c:pt>
                <c:pt idx="47">
                  <c:v>42247</c:v>
                </c:pt>
                <c:pt idx="48">
                  <c:v>42277</c:v>
                </c:pt>
                <c:pt idx="49">
                  <c:v>42308</c:v>
                </c:pt>
                <c:pt idx="50">
                  <c:v>42338</c:v>
                </c:pt>
                <c:pt idx="51">
                  <c:v>42369</c:v>
                </c:pt>
                <c:pt idx="52">
                  <c:v>42400</c:v>
                </c:pt>
                <c:pt idx="53">
                  <c:v>42429</c:v>
                </c:pt>
                <c:pt idx="54">
                  <c:v>42460</c:v>
                </c:pt>
                <c:pt idx="55">
                  <c:v>42490</c:v>
                </c:pt>
                <c:pt idx="56">
                  <c:v>42521</c:v>
                </c:pt>
                <c:pt idx="57">
                  <c:v>42551</c:v>
                </c:pt>
                <c:pt idx="58">
                  <c:v>42582</c:v>
                </c:pt>
                <c:pt idx="59">
                  <c:v>42613</c:v>
                </c:pt>
                <c:pt idx="60">
                  <c:v>42643</c:v>
                </c:pt>
                <c:pt idx="61">
                  <c:v>42674</c:v>
                </c:pt>
                <c:pt idx="62">
                  <c:v>42704</c:v>
                </c:pt>
                <c:pt idx="63">
                  <c:v>42735</c:v>
                </c:pt>
                <c:pt idx="64">
                  <c:v>42766</c:v>
                </c:pt>
                <c:pt idx="65">
                  <c:v>42794</c:v>
                </c:pt>
                <c:pt idx="66">
                  <c:v>42825</c:v>
                </c:pt>
                <c:pt idx="67">
                  <c:v>42855</c:v>
                </c:pt>
                <c:pt idx="68">
                  <c:v>42886</c:v>
                </c:pt>
                <c:pt idx="69">
                  <c:v>42916</c:v>
                </c:pt>
                <c:pt idx="70">
                  <c:v>42947</c:v>
                </c:pt>
                <c:pt idx="71">
                  <c:v>42978</c:v>
                </c:pt>
                <c:pt idx="72">
                  <c:v>43008</c:v>
                </c:pt>
                <c:pt idx="73">
                  <c:v>43039</c:v>
                </c:pt>
                <c:pt idx="74">
                  <c:v>43069</c:v>
                </c:pt>
                <c:pt idx="75">
                  <c:v>43100</c:v>
                </c:pt>
                <c:pt idx="76">
                  <c:v>43131</c:v>
                </c:pt>
                <c:pt idx="77">
                  <c:v>43159</c:v>
                </c:pt>
                <c:pt idx="78">
                  <c:v>43190</c:v>
                </c:pt>
                <c:pt idx="79">
                  <c:v>43220</c:v>
                </c:pt>
                <c:pt idx="80">
                  <c:v>43251</c:v>
                </c:pt>
                <c:pt idx="81">
                  <c:v>43281</c:v>
                </c:pt>
                <c:pt idx="82">
                  <c:v>43312</c:v>
                </c:pt>
                <c:pt idx="83">
                  <c:v>43343</c:v>
                </c:pt>
                <c:pt idx="84">
                  <c:v>43373</c:v>
                </c:pt>
                <c:pt idx="85">
                  <c:v>43404</c:v>
                </c:pt>
                <c:pt idx="86">
                  <c:v>43434</c:v>
                </c:pt>
                <c:pt idx="87">
                  <c:v>43465</c:v>
                </c:pt>
                <c:pt idx="88">
                  <c:v>43496</c:v>
                </c:pt>
                <c:pt idx="89">
                  <c:v>43524</c:v>
                </c:pt>
              </c:numCache>
            </c:numRef>
          </c:cat>
          <c:val>
            <c:numRef>
              <c:f>まとめ!$AQ$32:$AQ$121</c:f>
              <c:numCache>
                <c:formatCode>0</c:formatCode>
                <c:ptCount val="90"/>
                <c:pt idx="1">
                  <c:v>632.19577456828279</c:v>
                </c:pt>
                <c:pt idx="2">
                  <c:v>404.83859306509868</c:v>
                </c:pt>
                <c:pt idx="3">
                  <c:v>351.46787582539434</c:v>
                </c:pt>
                <c:pt idx="4">
                  <c:v>281.66119324275235</c:v>
                </c:pt>
                <c:pt idx="5">
                  <c:v>215.23924151290976</c:v>
                </c:pt>
                <c:pt idx="6">
                  <c:v>427.88176841067934</c:v>
                </c:pt>
                <c:pt idx="7">
                  <c:v>656.17476865274023</c:v>
                </c:pt>
                <c:pt idx="8">
                  <c:v>762.21158221450548</c:v>
                </c:pt>
                <c:pt idx="9">
                  <c:v>682.60506177728746</c:v>
                </c:pt>
                <c:pt idx="10">
                  <c:v>604.47912462301838</c:v>
                </c:pt>
                <c:pt idx="11">
                  <c:v>548.25655899368394</c:v>
                </c:pt>
                <c:pt idx="12">
                  <c:v>451.33545402037737</c:v>
                </c:pt>
                <c:pt idx="13">
                  <c:v>372.87922721555418</c:v>
                </c:pt>
                <c:pt idx="14">
                  <c:v>240.05162567503996</c:v>
                </c:pt>
                <c:pt idx="15">
                  <c:v>209.58182947791894</c:v>
                </c:pt>
                <c:pt idx="16">
                  <c:v>168.97647601614469</c:v>
                </c:pt>
                <c:pt idx="17">
                  <c:v>130.02208968395169</c:v>
                </c:pt>
                <c:pt idx="18">
                  <c:v>260.20150923348922</c:v>
                </c:pt>
                <c:pt idx="19">
                  <c:v>383.79865734199211</c:v>
                </c:pt>
                <c:pt idx="20">
                  <c:v>448.95179901869011</c:v>
                </c:pt>
                <c:pt idx="21">
                  <c:v>404.95922283745091</c:v>
                </c:pt>
                <c:pt idx="22">
                  <c:v>361.32933255785269</c:v>
                </c:pt>
                <c:pt idx="23">
                  <c:v>330.28928907733842</c:v>
                </c:pt>
                <c:pt idx="24">
                  <c:v>274.08065265115357</c:v>
                </c:pt>
                <c:pt idx="25">
                  <c:v>228.36082039648849</c:v>
                </c:pt>
                <c:pt idx="26">
                  <c:v>148.24614687948306</c:v>
                </c:pt>
                <c:pt idx="27">
                  <c:v>130.62692130715175</c:v>
                </c:pt>
                <c:pt idx="28">
                  <c:v>106.30368034900688</c:v>
                </c:pt>
                <c:pt idx="29">
                  <c:v>82.523482280446359</c:v>
                </c:pt>
                <c:pt idx="30">
                  <c:v>166.77801529799936</c:v>
                </c:pt>
                <c:pt idx="31">
                  <c:v>263.55815323731656</c:v>
                </c:pt>
                <c:pt idx="32">
                  <c:v>311.49373564851209</c:v>
                </c:pt>
                <c:pt idx="33">
                  <c:v>283.80163185269373</c:v>
                </c:pt>
                <c:pt idx="34">
                  <c:v>255.98068757488065</c:v>
                </c:pt>
                <c:pt idx="35">
                  <c:v>236.51717912195539</c:v>
                </c:pt>
                <c:pt idx="36">
                  <c:v>198.36086877374882</c:v>
                </c:pt>
                <c:pt idx="37">
                  <c:v>167.13188659352772</c:v>
                </c:pt>
                <c:pt idx="38">
                  <c:v>109.68488595625229</c:v>
                </c:pt>
                <c:pt idx="39">
                  <c:v>97.757845804653215</c:v>
                </c:pt>
                <c:pt idx="40">
                  <c:v>80.46667880805856</c:v>
                </c:pt>
                <c:pt idx="41">
                  <c:v>63.111519462393574</c:v>
                </c:pt>
                <c:pt idx="42">
                  <c:v>129.01264700164657</c:v>
                </c:pt>
                <c:pt idx="43">
                  <c:v>197.51409277633974</c:v>
                </c:pt>
                <c:pt idx="44">
                  <c:v>236.1328009914788</c:v>
                </c:pt>
                <c:pt idx="45">
                  <c:v>217.5150948783913</c:v>
                </c:pt>
                <c:pt idx="46">
                  <c:v>198.44696611723839</c:v>
                </c:pt>
                <c:pt idx="47">
                  <c:v>185.45154004351076</c:v>
                </c:pt>
                <c:pt idx="48">
                  <c:v>157.20723129672592</c:v>
                </c:pt>
                <c:pt idx="49">
                  <c:v>133.91409969872004</c:v>
                </c:pt>
                <c:pt idx="50">
                  <c:v>88.824726154214275</c:v>
                </c:pt>
                <c:pt idx="51">
                  <c:v>80.008030227068659</c:v>
                </c:pt>
                <c:pt idx="52">
                  <c:v>66.538199779743422</c:v>
                </c:pt>
                <c:pt idx="53">
                  <c:v>52.67364359931058</c:v>
                </c:pt>
                <c:pt idx="54">
                  <c:v>108.7785957737828</c:v>
                </c:pt>
                <c:pt idx="55">
                  <c:v>161.8766047509697</c:v>
                </c:pt>
                <c:pt idx="56">
                  <c:v>195.37235914574842</c:v>
                </c:pt>
                <c:pt idx="57">
                  <c:v>181.63390876076915</c:v>
                </c:pt>
                <c:pt idx="58">
                  <c:v>167.21214613847516</c:v>
                </c:pt>
                <c:pt idx="59">
                  <c:v>157.67513676732526</c:v>
                </c:pt>
                <c:pt idx="60">
                  <c:v>134.7648619831657</c:v>
                </c:pt>
                <c:pt idx="61">
                  <c:v>115.76307922566116</c:v>
                </c:pt>
                <c:pt idx="62">
                  <c:v>77.366618404216496</c:v>
                </c:pt>
                <c:pt idx="63">
                  <c:v>70.224931950027212</c:v>
                </c:pt>
                <c:pt idx="64">
                  <c:v>58.846560685095909</c:v>
                </c:pt>
                <c:pt idx="65">
                  <c:v>46.891116568186263</c:v>
                </c:pt>
                <c:pt idx="66">
                  <c:v>97.493837497529356</c:v>
                </c:pt>
                <c:pt idx="67">
                  <c:v>148.85267098369738</c:v>
                </c:pt>
                <c:pt idx="68">
                  <c:v>180.83273215175916</c:v>
                </c:pt>
                <c:pt idx="69">
                  <c:v>169.07329329965899</c:v>
                </c:pt>
                <c:pt idx="70">
                  <c:v>156.53238652515182</c:v>
                </c:pt>
                <c:pt idx="71">
                  <c:v>148.36762498135755</c:v>
                </c:pt>
                <c:pt idx="72">
                  <c:v>127.45997141389748</c:v>
                </c:pt>
                <c:pt idx="73">
                  <c:v>110.02251298161123</c:v>
                </c:pt>
                <c:pt idx="74">
                  <c:v>73.866411332534128</c:v>
                </c:pt>
                <c:pt idx="75">
                  <c:v>67.350926319677512</c:v>
                </c:pt>
                <c:pt idx="76">
                  <c:v>56.679784165658702</c:v>
                </c:pt>
                <c:pt idx="77">
                  <c:v>45.327020979168459</c:v>
                </c:pt>
                <c:pt idx="78">
                  <c:v>91.267384913550643</c:v>
                </c:pt>
                <c:pt idx="79">
                  <c:v>311.62616773969285</c:v>
                </c:pt>
                <c:pt idx="80">
                  <c:v>129.11001529470335</c:v>
                </c:pt>
                <c:pt idx="81">
                  <c:v>203.46957751113678</c:v>
                </c:pt>
                <c:pt idx="82">
                  <c:v>188.02670053327842</c:v>
                </c:pt>
                <c:pt idx="83">
                  <c:v>189.03172953772963</c:v>
                </c:pt>
                <c:pt idx="84">
                  <c:v>268.96264034934342</c:v>
                </c:pt>
                <c:pt idx="85">
                  <c:v>206.12290070612246</c:v>
                </c:pt>
                <c:pt idx="86">
                  <c:v>138.60607471640702</c:v>
                </c:pt>
                <c:pt idx="87">
                  <c:v>126.61181279201097</c:v>
                </c:pt>
                <c:pt idx="88">
                  <c:v>106.74650941003193</c:v>
                </c:pt>
                <c:pt idx="89">
                  <c:v>30.148406755996966</c:v>
                </c:pt>
              </c:numCache>
            </c:numRef>
          </c:val>
        </c:ser>
        <c:dLbls>
          <c:showLegendKey val="0"/>
          <c:showVal val="0"/>
          <c:showCatName val="0"/>
          <c:showSerName val="0"/>
          <c:showPercent val="0"/>
          <c:showBubbleSize val="0"/>
        </c:dLbls>
        <c:gapWidth val="0"/>
        <c:axId val="163380608"/>
        <c:axId val="163379072"/>
      </c:barChart>
      <c:lineChart>
        <c:grouping val="standard"/>
        <c:varyColors val="0"/>
        <c:ser>
          <c:idx val="2"/>
          <c:order val="0"/>
          <c:tx>
            <c:strRef>
              <c:f>まとめ!$Y$29</c:f>
              <c:strCache>
                <c:ptCount val="1"/>
                <c:pt idx="0">
                  <c:v>ごみ焼却量 (t/月)</c:v>
                </c:pt>
              </c:strCache>
            </c:strRef>
          </c:tx>
          <c:spPr>
            <a:ln w="0">
              <a:solidFill>
                <a:srgbClr val="00B050"/>
              </a:solidFill>
            </a:ln>
          </c:spPr>
          <c:marker>
            <c:symbol val="circle"/>
            <c:size val="4"/>
            <c:spPr>
              <a:solidFill>
                <a:srgbClr val="33CC33"/>
              </a:solidFill>
              <a:ln w="0">
                <a:solidFill>
                  <a:srgbClr val="00B050"/>
                </a:solidFill>
              </a:ln>
            </c:spPr>
          </c:marker>
          <c:cat>
            <c:numRef>
              <c:f>まとめ!$R$33:$R$121</c:f>
              <c:numCache>
                <c:formatCode>[$-411]ge\.m</c:formatCode>
                <c:ptCount val="89"/>
                <c:pt idx="0">
                  <c:v>40847</c:v>
                </c:pt>
                <c:pt idx="1">
                  <c:v>40877</c:v>
                </c:pt>
                <c:pt idx="2">
                  <c:v>40908</c:v>
                </c:pt>
                <c:pt idx="3">
                  <c:v>40939</c:v>
                </c:pt>
                <c:pt idx="4">
                  <c:v>40968</c:v>
                </c:pt>
                <c:pt idx="5">
                  <c:v>40999</c:v>
                </c:pt>
                <c:pt idx="6">
                  <c:v>41029</c:v>
                </c:pt>
                <c:pt idx="7">
                  <c:v>41060</c:v>
                </c:pt>
                <c:pt idx="8">
                  <c:v>41090</c:v>
                </c:pt>
                <c:pt idx="9">
                  <c:v>41121</c:v>
                </c:pt>
                <c:pt idx="10">
                  <c:v>41152</c:v>
                </c:pt>
                <c:pt idx="11">
                  <c:v>41182</c:v>
                </c:pt>
                <c:pt idx="12">
                  <c:v>41213</c:v>
                </c:pt>
                <c:pt idx="13">
                  <c:v>41243</c:v>
                </c:pt>
                <c:pt idx="14">
                  <c:v>41274</c:v>
                </c:pt>
                <c:pt idx="15">
                  <c:v>41305</c:v>
                </c:pt>
                <c:pt idx="16">
                  <c:v>41333</c:v>
                </c:pt>
                <c:pt idx="17">
                  <c:v>41364</c:v>
                </c:pt>
                <c:pt idx="18">
                  <c:v>41394</c:v>
                </c:pt>
                <c:pt idx="19">
                  <c:v>41425</c:v>
                </c:pt>
                <c:pt idx="20">
                  <c:v>41455</c:v>
                </c:pt>
                <c:pt idx="21">
                  <c:v>41486</c:v>
                </c:pt>
                <c:pt idx="22">
                  <c:v>41517</c:v>
                </c:pt>
                <c:pt idx="23">
                  <c:v>41547</c:v>
                </c:pt>
                <c:pt idx="24">
                  <c:v>41578</c:v>
                </c:pt>
                <c:pt idx="25">
                  <c:v>41608</c:v>
                </c:pt>
                <c:pt idx="26">
                  <c:v>41639</c:v>
                </c:pt>
                <c:pt idx="27">
                  <c:v>41670</c:v>
                </c:pt>
                <c:pt idx="28">
                  <c:v>41698</c:v>
                </c:pt>
                <c:pt idx="29">
                  <c:v>41729</c:v>
                </c:pt>
                <c:pt idx="30">
                  <c:v>41759</c:v>
                </c:pt>
                <c:pt idx="31">
                  <c:v>41790</c:v>
                </c:pt>
                <c:pt idx="32">
                  <c:v>41820</c:v>
                </c:pt>
                <c:pt idx="33">
                  <c:v>41851</c:v>
                </c:pt>
                <c:pt idx="34">
                  <c:v>41882</c:v>
                </c:pt>
                <c:pt idx="35">
                  <c:v>41912</c:v>
                </c:pt>
                <c:pt idx="36">
                  <c:v>41943</c:v>
                </c:pt>
                <c:pt idx="37">
                  <c:v>41973</c:v>
                </c:pt>
                <c:pt idx="38">
                  <c:v>42004</c:v>
                </c:pt>
                <c:pt idx="39">
                  <c:v>42035</c:v>
                </c:pt>
                <c:pt idx="40">
                  <c:v>42063</c:v>
                </c:pt>
                <c:pt idx="41">
                  <c:v>42094</c:v>
                </c:pt>
                <c:pt idx="42">
                  <c:v>42124</c:v>
                </c:pt>
                <c:pt idx="43">
                  <c:v>42155</c:v>
                </c:pt>
                <c:pt idx="44">
                  <c:v>42185</c:v>
                </c:pt>
                <c:pt idx="45">
                  <c:v>42216</c:v>
                </c:pt>
                <c:pt idx="46">
                  <c:v>42247</c:v>
                </c:pt>
                <c:pt idx="47">
                  <c:v>42277</c:v>
                </c:pt>
                <c:pt idx="48">
                  <c:v>42308</c:v>
                </c:pt>
                <c:pt idx="49">
                  <c:v>42338</c:v>
                </c:pt>
                <c:pt idx="50">
                  <c:v>42369</c:v>
                </c:pt>
                <c:pt idx="51">
                  <c:v>42400</c:v>
                </c:pt>
                <c:pt idx="52">
                  <c:v>42429</c:v>
                </c:pt>
                <c:pt idx="53">
                  <c:v>42460</c:v>
                </c:pt>
                <c:pt idx="54">
                  <c:v>42490</c:v>
                </c:pt>
                <c:pt idx="55">
                  <c:v>42521</c:v>
                </c:pt>
                <c:pt idx="56">
                  <c:v>42551</c:v>
                </c:pt>
                <c:pt idx="57">
                  <c:v>42582</c:v>
                </c:pt>
                <c:pt idx="58">
                  <c:v>42613</c:v>
                </c:pt>
                <c:pt idx="59">
                  <c:v>42643</c:v>
                </c:pt>
                <c:pt idx="60">
                  <c:v>42674</c:v>
                </c:pt>
                <c:pt idx="61">
                  <c:v>42704</c:v>
                </c:pt>
                <c:pt idx="62">
                  <c:v>42735</c:v>
                </c:pt>
                <c:pt idx="63">
                  <c:v>42766</c:v>
                </c:pt>
                <c:pt idx="64">
                  <c:v>42794</c:v>
                </c:pt>
                <c:pt idx="65">
                  <c:v>42825</c:v>
                </c:pt>
                <c:pt idx="66">
                  <c:v>42855</c:v>
                </c:pt>
                <c:pt idx="67">
                  <c:v>42886</c:v>
                </c:pt>
                <c:pt idx="68">
                  <c:v>42916</c:v>
                </c:pt>
                <c:pt idx="69">
                  <c:v>42947</c:v>
                </c:pt>
                <c:pt idx="70">
                  <c:v>42978</c:v>
                </c:pt>
                <c:pt idx="71">
                  <c:v>43008</c:v>
                </c:pt>
                <c:pt idx="72">
                  <c:v>43039</c:v>
                </c:pt>
                <c:pt idx="73">
                  <c:v>43069</c:v>
                </c:pt>
                <c:pt idx="74">
                  <c:v>43100</c:v>
                </c:pt>
                <c:pt idx="75">
                  <c:v>43131</c:v>
                </c:pt>
                <c:pt idx="76">
                  <c:v>43159</c:v>
                </c:pt>
                <c:pt idx="77">
                  <c:v>43190</c:v>
                </c:pt>
                <c:pt idx="78">
                  <c:v>43220</c:v>
                </c:pt>
                <c:pt idx="79">
                  <c:v>43251</c:v>
                </c:pt>
                <c:pt idx="80">
                  <c:v>43281</c:v>
                </c:pt>
                <c:pt idx="81">
                  <c:v>43312</c:v>
                </c:pt>
                <c:pt idx="82">
                  <c:v>43343</c:v>
                </c:pt>
                <c:pt idx="83">
                  <c:v>43373</c:v>
                </c:pt>
                <c:pt idx="84">
                  <c:v>43404</c:v>
                </c:pt>
                <c:pt idx="85">
                  <c:v>43434</c:v>
                </c:pt>
                <c:pt idx="86">
                  <c:v>43465</c:v>
                </c:pt>
                <c:pt idx="87">
                  <c:v>43496</c:v>
                </c:pt>
                <c:pt idx="88">
                  <c:v>43524</c:v>
                </c:pt>
              </c:numCache>
            </c:numRef>
          </c:cat>
          <c:val>
            <c:numRef>
              <c:f>まとめ!$Y$32:$Y$121</c:f>
              <c:numCache>
                <c:formatCode>0</c:formatCode>
                <c:ptCount val="90"/>
                <c:pt idx="1">
                  <c:v>1122.0523402753847</c:v>
                </c:pt>
                <c:pt idx="2">
                  <c:v>1014.9619191988219</c:v>
                </c:pt>
                <c:pt idx="3">
                  <c:v>1018.6660118357833</c:v>
                </c:pt>
                <c:pt idx="4">
                  <c:v>933.3543279203642</c:v>
                </c:pt>
                <c:pt idx="5">
                  <c:v>798.6522057430501</c:v>
                </c:pt>
                <c:pt idx="6">
                  <c:v>968.23246253311197</c:v>
                </c:pt>
                <c:pt idx="7">
                  <c:v>1027.698116259148</c:v>
                </c:pt>
                <c:pt idx="8">
                  <c:v>1154.7507067161375</c:v>
                </c:pt>
                <c:pt idx="9">
                  <c:v>1133.2149206784004</c:v>
                </c:pt>
                <c:pt idx="10">
                  <c:v>1205.6489360385428</c:v>
                </c:pt>
                <c:pt idx="11">
                  <c:v>1222.5832374384713</c:v>
                </c:pt>
                <c:pt idx="12">
                  <c:v>1133.6338460969237</c:v>
                </c:pt>
                <c:pt idx="13">
                  <c:v>1166.4374645436799</c:v>
                </c:pt>
                <c:pt idx="14">
                  <c:v>1055.1108581513229</c:v>
                </c:pt>
                <c:pt idx="15">
                  <c:v>1058.9614739103272</c:v>
                </c:pt>
                <c:pt idx="16">
                  <c:v>970.27510812294304</c:v>
                </c:pt>
                <c:pt idx="17">
                  <c:v>830.24456211240931</c:v>
                </c:pt>
                <c:pt idx="18">
                  <c:v>1006.5329202101419</c:v>
                </c:pt>
                <c:pt idx="19">
                  <c:v>1020.7177647439579</c:v>
                </c:pt>
                <c:pt idx="20">
                  <c:v>1146.9073860777444</c:v>
                </c:pt>
                <c:pt idx="21">
                  <c:v>1125.5178758327922</c:v>
                </c:pt>
                <c:pt idx="22">
                  <c:v>1197.4599034380958</c:v>
                </c:pt>
                <c:pt idx="23">
                  <c:v>1214.2791833404021</c:v>
                </c:pt>
                <c:pt idx="24">
                  <c:v>1125.9339558177844</c:v>
                </c:pt>
                <c:pt idx="25">
                  <c:v>1158.5147648771283</c:v>
                </c:pt>
                <c:pt idx="26">
                  <c:v>1047.9443132673064</c:v>
                </c:pt>
                <c:pt idx="27">
                  <c:v>1051.7687747976297</c:v>
                </c:pt>
                <c:pt idx="28">
                  <c:v>963.684786301793</c:v>
                </c:pt>
                <c:pt idx="29">
                  <c:v>824.60535854140812</c:v>
                </c:pt>
                <c:pt idx="30">
                  <c:v>999.69632735906964</c:v>
                </c:pt>
                <c:pt idx="31">
                  <c:v>1075.8466772786992</c:v>
                </c:pt>
                <c:pt idx="32">
                  <c:v>1208.8517933923258</c:v>
                </c:pt>
                <c:pt idx="33">
                  <c:v>1186.3070368293568</c:v>
                </c:pt>
                <c:pt idx="34">
                  <c:v>1262.1346495438991</c:v>
                </c:pt>
                <c:pt idx="35">
                  <c:v>1279.8623378649265</c:v>
                </c:pt>
                <c:pt idx="36">
                  <c:v>1186.7455892723508</c:v>
                </c:pt>
                <c:pt idx="37">
                  <c:v>1221.0860861072808</c:v>
                </c:pt>
                <c:pt idx="38">
                  <c:v>1104.5437302490268</c:v>
                </c:pt>
                <c:pt idx="39">
                  <c:v>1108.5747507445019</c:v>
                </c:pt>
                <c:pt idx="40">
                  <c:v>1015.7333506847388</c:v>
                </c:pt>
                <c:pt idx="41">
                  <c:v>869.14225038056554</c:v>
                </c:pt>
                <c:pt idx="42">
                  <c:v>1053.6898731715155</c:v>
                </c:pt>
                <c:pt idx="43">
                  <c:v>1086.3172045514846</c:v>
                </c:pt>
                <c:pt idx="44">
                  <c:v>1220.6167743499154</c:v>
                </c:pt>
                <c:pt idx="45">
                  <c:v>1197.852604097769</c:v>
                </c:pt>
                <c:pt idx="46">
                  <c:v>1274.4181984445695</c:v>
                </c:pt>
                <c:pt idx="47">
                  <c:v>1292.3184190120303</c:v>
                </c:pt>
                <c:pt idx="48">
                  <c:v>1198.2954246910597</c:v>
                </c:pt>
                <c:pt idx="49">
                  <c:v>1232.9701356071084</c:v>
                </c:pt>
                <c:pt idx="50">
                  <c:v>1115.2935475750514</c:v>
                </c:pt>
                <c:pt idx="51">
                  <c:v>1119.3637994135481</c:v>
                </c:pt>
                <c:pt idx="52">
                  <c:v>1025.6188334164638</c:v>
                </c:pt>
                <c:pt idx="53">
                  <c:v>877.60105573706744</c:v>
                </c:pt>
                <c:pt idx="54">
                  <c:v>1063.9447624481238</c:v>
                </c:pt>
                <c:pt idx="55">
                  <c:v>1056.0954553777631</c:v>
                </c:pt>
                <c:pt idx="56">
                  <c:v>1186.6587611314183</c:v>
                </c:pt>
                <c:pt idx="57">
                  <c:v>1164.5278985730336</c:v>
                </c:pt>
                <c:pt idx="58">
                  <c:v>1238.9634095721797</c:v>
                </c:pt>
                <c:pt idx="59">
                  <c:v>1256.3656393374349</c:v>
                </c:pt>
                <c:pt idx="60">
                  <c:v>1164.9583997325133</c:v>
                </c:pt>
                <c:pt idx="61">
                  <c:v>1198.6684472780607</c:v>
                </c:pt>
                <c:pt idx="62">
                  <c:v>1084.2656657476623</c:v>
                </c:pt>
                <c:pt idx="63">
                  <c:v>1088.2226816642556</c:v>
                </c:pt>
                <c:pt idx="64">
                  <c:v>997.0857355317122</c:v>
                </c:pt>
                <c:pt idx="65">
                  <c:v>853.18586754898251</c:v>
                </c:pt>
                <c:pt idx="66">
                  <c:v>1034.3454229451859</c:v>
                </c:pt>
                <c:pt idx="67">
                  <c:v>1046.7354385733033</c:v>
                </c:pt>
                <c:pt idx="68">
                  <c:v>1176.1415811844822</c:v>
                </c:pt>
                <c:pt idx="69">
                  <c:v>1154.2068611664226</c:v>
                </c:pt>
                <c:pt idx="70">
                  <c:v>1227.9826613124892</c:v>
                </c:pt>
                <c:pt idx="71">
                  <c:v>1245.230657705933</c:v>
                </c:pt>
                <c:pt idx="72">
                  <c:v>1154.6335468582129</c:v>
                </c:pt>
                <c:pt idx="73">
                  <c:v>1188.0448272706392</c:v>
                </c:pt>
                <c:pt idx="74">
                  <c:v>1074.6559805622767</c:v>
                </c:pt>
                <c:pt idx="75">
                  <c:v>1078.5779260358659</c:v>
                </c:pt>
                <c:pt idx="76">
                  <c:v>988.24871308971558</c:v>
                </c:pt>
                <c:pt idx="77">
                  <c:v>845.62420821514002</c:v>
                </c:pt>
                <c:pt idx="78">
                  <c:v>1025.1781734403389</c:v>
                </c:pt>
                <c:pt idx="79">
                  <c:v>1021.7013597301892</c:v>
                </c:pt>
                <c:pt idx="80">
                  <c:v>1148.0125812586089</c:v>
                </c:pt>
                <c:pt idx="81">
                  <c:v>1126.6024594246735</c:v>
                </c:pt>
                <c:pt idx="82">
                  <c:v>1198.6138125772497</c:v>
                </c:pt>
                <c:pt idx="83">
                  <c:v>1215.4493000542209</c:v>
                </c:pt>
                <c:pt idx="84">
                  <c:v>1127.0189403571176</c:v>
                </c:pt>
                <c:pt idx="85">
                  <c:v>1159.6311452846878</c:v>
                </c:pt>
                <c:pt idx="86">
                  <c:v>1048.9541445918724</c:v>
                </c:pt>
                <c:pt idx="87">
                  <c:v>1052.7822914907824</c:v>
                </c:pt>
                <c:pt idx="88">
                  <c:v>964.61342255840952</c:v>
                </c:pt>
                <c:pt idx="89">
                  <c:v>825.39997359004917</c:v>
                </c:pt>
              </c:numCache>
            </c:numRef>
          </c:val>
          <c:smooth val="0"/>
        </c:ser>
        <c:ser>
          <c:idx val="3"/>
          <c:order val="1"/>
          <c:tx>
            <c:strRef>
              <c:f>まとめ!$AI$29</c:f>
              <c:strCache>
                <c:ptCount val="1"/>
                <c:pt idx="0">
                  <c:v>両Cs 1万から理論減衰</c:v>
                </c:pt>
              </c:strCache>
            </c:strRef>
          </c:tx>
          <c:spPr>
            <a:ln w="31750">
              <a:solidFill>
                <a:srgbClr val="FF0000"/>
              </a:solidFill>
              <a:prstDash val="sysDash"/>
            </a:ln>
          </c:spPr>
          <c:marker>
            <c:symbol val="none"/>
          </c:marker>
          <c:cat>
            <c:numRef>
              <c:f>まとめ!$R$33:$R$121</c:f>
              <c:numCache>
                <c:formatCode>[$-411]ge\.m</c:formatCode>
                <c:ptCount val="89"/>
                <c:pt idx="0">
                  <c:v>40847</c:v>
                </c:pt>
                <c:pt idx="1">
                  <c:v>40877</c:v>
                </c:pt>
                <c:pt idx="2">
                  <c:v>40908</c:v>
                </c:pt>
                <c:pt idx="3">
                  <c:v>40939</c:v>
                </c:pt>
                <c:pt idx="4">
                  <c:v>40968</c:v>
                </c:pt>
                <c:pt idx="5">
                  <c:v>40999</c:v>
                </c:pt>
                <c:pt idx="6">
                  <c:v>41029</c:v>
                </c:pt>
                <c:pt idx="7">
                  <c:v>41060</c:v>
                </c:pt>
                <c:pt idx="8">
                  <c:v>41090</c:v>
                </c:pt>
                <c:pt idx="9">
                  <c:v>41121</c:v>
                </c:pt>
                <c:pt idx="10">
                  <c:v>41152</c:v>
                </c:pt>
                <c:pt idx="11">
                  <c:v>41182</c:v>
                </c:pt>
                <c:pt idx="12">
                  <c:v>41213</c:v>
                </c:pt>
                <c:pt idx="13">
                  <c:v>41243</c:v>
                </c:pt>
                <c:pt idx="14">
                  <c:v>41274</c:v>
                </c:pt>
                <c:pt idx="15">
                  <c:v>41305</c:v>
                </c:pt>
                <c:pt idx="16">
                  <c:v>41333</c:v>
                </c:pt>
                <c:pt idx="17">
                  <c:v>41364</c:v>
                </c:pt>
                <c:pt idx="18">
                  <c:v>41394</c:v>
                </c:pt>
                <c:pt idx="19">
                  <c:v>41425</c:v>
                </c:pt>
                <c:pt idx="20">
                  <c:v>41455</c:v>
                </c:pt>
                <c:pt idx="21">
                  <c:v>41486</c:v>
                </c:pt>
                <c:pt idx="22">
                  <c:v>41517</c:v>
                </c:pt>
                <c:pt idx="23">
                  <c:v>41547</c:v>
                </c:pt>
                <c:pt idx="24">
                  <c:v>41578</c:v>
                </c:pt>
                <c:pt idx="25">
                  <c:v>41608</c:v>
                </c:pt>
                <c:pt idx="26">
                  <c:v>41639</c:v>
                </c:pt>
                <c:pt idx="27">
                  <c:v>41670</c:v>
                </c:pt>
                <c:pt idx="28">
                  <c:v>41698</c:v>
                </c:pt>
                <c:pt idx="29">
                  <c:v>41729</c:v>
                </c:pt>
                <c:pt idx="30">
                  <c:v>41759</c:v>
                </c:pt>
                <c:pt idx="31">
                  <c:v>41790</c:v>
                </c:pt>
                <c:pt idx="32">
                  <c:v>41820</c:v>
                </c:pt>
                <c:pt idx="33">
                  <c:v>41851</c:v>
                </c:pt>
                <c:pt idx="34">
                  <c:v>41882</c:v>
                </c:pt>
                <c:pt idx="35">
                  <c:v>41912</c:v>
                </c:pt>
                <c:pt idx="36">
                  <c:v>41943</c:v>
                </c:pt>
                <c:pt idx="37">
                  <c:v>41973</c:v>
                </c:pt>
                <c:pt idx="38">
                  <c:v>42004</c:v>
                </c:pt>
                <c:pt idx="39">
                  <c:v>42035</c:v>
                </c:pt>
                <c:pt idx="40">
                  <c:v>42063</c:v>
                </c:pt>
                <c:pt idx="41">
                  <c:v>42094</c:v>
                </c:pt>
                <c:pt idx="42">
                  <c:v>42124</c:v>
                </c:pt>
                <c:pt idx="43">
                  <c:v>42155</c:v>
                </c:pt>
                <c:pt idx="44">
                  <c:v>42185</c:v>
                </c:pt>
                <c:pt idx="45">
                  <c:v>42216</c:v>
                </c:pt>
                <c:pt idx="46">
                  <c:v>42247</c:v>
                </c:pt>
                <c:pt idx="47">
                  <c:v>42277</c:v>
                </c:pt>
                <c:pt idx="48">
                  <c:v>42308</c:v>
                </c:pt>
                <c:pt idx="49">
                  <c:v>42338</c:v>
                </c:pt>
                <c:pt idx="50">
                  <c:v>42369</c:v>
                </c:pt>
                <c:pt idx="51">
                  <c:v>42400</c:v>
                </c:pt>
                <c:pt idx="52">
                  <c:v>42429</c:v>
                </c:pt>
                <c:pt idx="53">
                  <c:v>42460</c:v>
                </c:pt>
                <c:pt idx="54">
                  <c:v>42490</c:v>
                </c:pt>
                <c:pt idx="55">
                  <c:v>42521</c:v>
                </c:pt>
                <c:pt idx="56">
                  <c:v>42551</c:v>
                </c:pt>
                <c:pt idx="57">
                  <c:v>42582</c:v>
                </c:pt>
                <c:pt idx="58">
                  <c:v>42613</c:v>
                </c:pt>
                <c:pt idx="59">
                  <c:v>42643</c:v>
                </c:pt>
                <c:pt idx="60">
                  <c:v>42674</c:v>
                </c:pt>
                <c:pt idx="61">
                  <c:v>42704</c:v>
                </c:pt>
                <c:pt idx="62">
                  <c:v>42735</c:v>
                </c:pt>
                <c:pt idx="63">
                  <c:v>42766</c:v>
                </c:pt>
                <c:pt idx="64">
                  <c:v>42794</c:v>
                </c:pt>
                <c:pt idx="65">
                  <c:v>42825</c:v>
                </c:pt>
                <c:pt idx="66">
                  <c:v>42855</c:v>
                </c:pt>
                <c:pt idx="67">
                  <c:v>42886</c:v>
                </c:pt>
                <c:pt idx="68">
                  <c:v>42916</c:v>
                </c:pt>
                <c:pt idx="69">
                  <c:v>42947</c:v>
                </c:pt>
                <c:pt idx="70">
                  <c:v>42978</c:v>
                </c:pt>
                <c:pt idx="71">
                  <c:v>43008</c:v>
                </c:pt>
                <c:pt idx="72">
                  <c:v>43039</c:v>
                </c:pt>
                <c:pt idx="73">
                  <c:v>43069</c:v>
                </c:pt>
                <c:pt idx="74">
                  <c:v>43100</c:v>
                </c:pt>
                <c:pt idx="75">
                  <c:v>43131</c:v>
                </c:pt>
                <c:pt idx="76">
                  <c:v>43159</c:v>
                </c:pt>
                <c:pt idx="77">
                  <c:v>43190</c:v>
                </c:pt>
                <c:pt idx="78">
                  <c:v>43220</c:v>
                </c:pt>
                <c:pt idx="79">
                  <c:v>43251</c:v>
                </c:pt>
                <c:pt idx="80">
                  <c:v>43281</c:v>
                </c:pt>
                <c:pt idx="81">
                  <c:v>43312</c:v>
                </c:pt>
                <c:pt idx="82">
                  <c:v>43343</c:v>
                </c:pt>
                <c:pt idx="83">
                  <c:v>43373</c:v>
                </c:pt>
                <c:pt idx="84">
                  <c:v>43404</c:v>
                </c:pt>
                <c:pt idx="85">
                  <c:v>43434</c:v>
                </c:pt>
                <c:pt idx="86">
                  <c:v>43465</c:v>
                </c:pt>
                <c:pt idx="87">
                  <c:v>43496</c:v>
                </c:pt>
                <c:pt idx="88">
                  <c:v>43524</c:v>
                </c:pt>
              </c:numCache>
            </c:numRef>
          </c:cat>
          <c:val>
            <c:numRef>
              <c:f>まとめ!$AI$32:$AI$121</c:f>
              <c:numCache>
                <c:formatCode>0</c:formatCode>
                <c:ptCount val="90"/>
                <c:pt idx="0">
                  <c:v>1000</c:v>
                </c:pt>
                <c:pt idx="1">
                  <c:v>896.19837148553688</c:v>
                </c:pt>
                <c:pt idx="2">
                  <c:v>884.27817720277153</c:v>
                </c:pt>
                <c:pt idx="3">
                  <c:v>872.27676453809261</c:v>
                </c:pt>
                <c:pt idx="4">
                  <c:v>860.5877634174085</c:v>
                </c:pt>
                <c:pt idx="5">
                  <c:v>849.92797563652243</c:v>
                </c:pt>
                <c:pt idx="6">
                  <c:v>838.81903651059179</c:v>
                </c:pt>
                <c:pt idx="7">
                  <c:v>828.34222637082462</c:v>
                </c:pt>
                <c:pt idx="8">
                  <c:v>817.79126586767825</c:v>
                </c:pt>
                <c:pt idx="9">
                  <c:v>807.83957879652883</c:v>
                </c:pt>
                <c:pt idx="10">
                  <c:v>797.81632104790606</c:v>
                </c:pt>
                <c:pt idx="11">
                  <c:v>788.05017045279783</c:v>
                </c:pt>
                <c:pt idx="12">
                  <c:v>778.83708983077645</c:v>
                </c:pt>
                <c:pt idx="13">
                  <c:v>769.55607587189024</c:v>
                </c:pt>
                <c:pt idx="14">
                  <c:v>760.79957656967986</c:v>
                </c:pt>
                <c:pt idx="15">
                  <c:v>751.97739831602939</c:v>
                </c:pt>
                <c:pt idx="16">
                  <c:v>743.37878252105043</c:v>
                </c:pt>
                <c:pt idx="17">
                  <c:v>735.79925343750688</c:v>
                </c:pt>
                <c:pt idx="18">
                  <c:v>727.60903346796977</c:v>
                </c:pt>
                <c:pt idx="19">
                  <c:v>719.87914271177169</c:v>
                </c:pt>
                <c:pt idx="20">
                  <c:v>712.08866159108163</c:v>
                </c:pt>
                <c:pt idx="21">
                  <c:v>704.73499566506018</c:v>
                </c:pt>
                <c:pt idx="22">
                  <c:v>697.32261220746182</c:v>
                </c:pt>
                <c:pt idx="23">
                  <c:v>690.09446409349243</c:v>
                </c:pt>
                <c:pt idx="24">
                  <c:v>683.27006123088302</c:v>
                </c:pt>
                <c:pt idx="25">
                  <c:v>676.38958417361505</c:v>
                </c:pt>
                <c:pt idx="26">
                  <c:v>669.89241194823251</c:v>
                </c:pt>
                <c:pt idx="27">
                  <c:v>663.3408055956811</c:v>
                </c:pt>
                <c:pt idx="28">
                  <c:v>656.94945627216975</c:v>
                </c:pt>
                <c:pt idx="29">
                  <c:v>651.31065607024266</c:v>
                </c:pt>
                <c:pt idx="30">
                  <c:v>645.2120927511869</c:v>
                </c:pt>
                <c:pt idx="31">
                  <c:v>639.45088226692269</c:v>
                </c:pt>
                <c:pt idx="32">
                  <c:v>633.63894543869037</c:v>
                </c:pt>
                <c:pt idx="33">
                  <c:v>628.14752436073491</c:v>
                </c:pt>
                <c:pt idx="34">
                  <c:v>622.60674393510203</c:v>
                </c:pt>
                <c:pt idx="35">
                  <c:v>617.19810792924068</c:v>
                </c:pt>
                <c:pt idx="36">
                  <c:v>612.08630508253896</c:v>
                </c:pt>
                <c:pt idx="37">
                  <c:v>606.92707483534025</c:v>
                </c:pt>
                <c:pt idx="38">
                  <c:v>602.05003760382431</c:v>
                </c:pt>
                <c:pt idx="39">
                  <c:v>597.12677334178488</c:v>
                </c:pt>
                <c:pt idx="40">
                  <c:v>592.31851216799987</c:v>
                </c:pt>
                <c:pt idx="41">
                  <c:v>588.07175991466352</c:v>
                </c:pt>
                <c:pt idx="42">
                  <c:v>583.47364017951099</c:v>
                </c:pt>
                <c:pt idx="43">
                  <c:v>579.12479432062969</c:v>
                </c:pt>
                <c:pt idx="44">
                  <c:v>574.73244076632682</c:v>
                </c:pt>
                <c:pt idx="45">
                  <c:v>570.57729659029485</c:v>
                </c:pt>
                <c:pt idx="46">
                  <c:v>566.3796495555157</c:v>
                </c:pt>
                <c:pt idx="47">
                  <c:v>562.27690790037161</c:v>
                </c:pt>
                <c:pt idx="48">
                  <c:v>558.39440306032657</c:v>
                </c:pt>
                <c:pt idx="49">
                  <c:v>554.47081791952451</c:v>
                </c:pt>
                <c:pt idx="50">
                  <c:v>550.75697550197663</c:v>
                </c:pt>
                <c:pt idx="51">
                  <c:v>547.00293826840277</c:v>
                </c:pt>
                <c:pt idx="52">
                  <c:v>543.33155142488022</c:v>
                </c:pt>
                <c:pt idx="53">
                  <c:v>539.96983168049314</c:v>
                </c:pt>
                <c:pt idx="54">
                  <c:v>536.45199336988162</c:v>
                </c:pt>
                <c:pt idx="55">
                  <c:v>533.12014896118501</c:v>
                </c:pt>
                <c:pt idx="56">
                  <c:v>529.75013358460058</c:v>
                </c:pt>
                <c:pt idx="57">
                  <c:v>526.55746704945921</c:v>
                </c:pt>
                <c:pt idx="58">
                  <c:v>523.32737432219278</c:v>
                </c:pt>
                <c:pt idx="59">
                  <c:v>520.1655011235905</c:v>
                </c:pt>
                <c:pt idx="60">
                  <c:v>517.1688118367731</c:v>
                </c:pt>
                <c:pt idx="61">
                  <c:v>514.13575307160238</c:v>
                </c:pt>
                <c:pt idx="62">
                  <c:v>511.26035475486844</c:v>
                </c:pt>
                <c:pt idx="63">
                  <c:v>508.3492462535047</c:v>
                </c:pt>
                <c:pt idx="64">
                  <c:v>505.49760259853963</c:v>
                </c:pt>
                <c:pt idx="65">
                  <c:v>502.97168002964929</c:v>
                </c:pt>
                <c:pt idx="66">
                  <c:v>500.2287495723985</c:v>
                </c:pt>
                <c:pt idx="67">
                  <c:v>497.62655157417862</c:v>
                </c:pt>
                <c:pt idx="68">
                  <c:v>494.99014601112151</c:v>
                </c:pt>
                <c:pt idx="69">
                  <c:v>492.48826448050926</c:v>
                </c:pt>
                <c:pt idx="70">
                  <c:v>489.95273427795195</c:v>
                </c:pt>
                <c:pt idx="71">
                  <c:v>487.46640282147331</c:v>
                </c:pt>
                <c:pt idx="72">
                  <c:v>485.10585637332611</c:v>
                </c:pt>
                <c:pt idx="73">
                  <c:v>482.71245641526889</c:v>
                </c:pt>
                <c:pt idx="74">
                  <c:v>480.43943490741947</c:v>
                </c:pt>
                <c:pt idx="75">
                  <c:v>478.13405743467422</c:v>
                </c:pt>
                <c:pt idx="76">
                  <c:v>475.87161766916574</c:v>
                </c:pt>
                <c:pt idx="77">
                  <c:v>473.86405993636174</c:v>
                </c:pt>
                <c:pt idx="78">
                  <c:v>471.68014918014165</c:v>
                </c:pt>
                <c:pt idx="79">
                  <c:v>469.60444577120671</c:v>
                </c:pt>
                <c:pt idx="80">
                  <c:v>467.49752510933513</c:v>
                </c:pt>
                <c:pt idx="81">
                  <c:v>465.49434545862431</c:v>
                </c:pt>
                <c:pt idx="82">
                  <c:v>463.46037399540836</c:v>
                </c:pt>
                <c:pt idx="83">
                  <c:v>461.46199744728511</c:v>
                </c:pt>
                <c:pt idx="84">
                  <c:v>459.56107232903196</c:v>
                </c:pt>
                <c:pt idx="85">
                  <c:v>457.62996272536805</c:v>
                </c:pt>
                <c:pt idx="86">
                  <c:v>455.79241157447194</c:v>
                </c:pt>
                <c:pt idx="87">
                  <c:v>453.92505728468524</c:v>
                </c:pt>
                <c:pt idx="88">
                  <c:v>452.08881911907218</c:v>
                </c:pt>
                <c:pt idx="89">
                  <c:v>450.45633272514334</c:v>
                </c:pt>
              </c:numCache>
            </c:numRef>
          </c:val>
          <c:smooth val="0"/>
        </c:ser>
        <c:ser>
          <c:idx val="4"/>
          <c:order val="2"/>
          <c:tx>
            <c:strRef>
              <c:f>まとめ!$U$30:$U$31</c:f>
              <c:strCache>
                <c:ptCount val="1"/>
                <c:pt idx="0">
                  <c:v>ぱいじん(飛灰)中濃度 両Cs濃度 (Bq/kg)</c:v>
                </c:pt>
              </c:strCache>
            </c:strRef>
          </c:tx>
          <c:spPr>
            <a:ln w="0" cmpd="sng">
              <a:solidFill>
                <a:srgbClr val="3333FF"/>
              </a:solidFill>
              <a:prstDash val="solid"/>
            </a:ln>
          </c:spPr>
          <c:marker>
            <c:symbol val="plus"/>
            <c:size val="6"/>
            <c:spPr>
              <a:noFill/>
              <a:ln w="0">
                <a:solidFill>
                  <a:srgbClr val="002060"/>
                </a:solidFill>
              </a:ln>
            </c:spPr>
          </c:marker>
          <c:cat>
            <c:numRef>
              <c:f>まとめ!$R$33:$R$121</c:f>
              <c:numCache>
                <c:formatCode>[$-411]ge\.m</c:formatCode>
                <c:ptCount val="89"/>
                <c:pt idx="0">
                  <c:v>40847</c:v>
                </c:pt>
                <c:pt idx="1">
                  <c:v>40877</c:v>
                </c:pt>
                <c:pt idx="2">
                  <c:v>40908</c:v>
                </c:pt>
                <c:pt idx="3">
                  <c:v>40939</c:v>
                </c:pt>
                <c:pt idx="4">
                  <c:v>40968</c:v>
                </c:pt>
                <c:pt idx="5">
                  <c:v>40999</c:v>
                </c:pt>
                <c:pt idx="6">
                  <c:v>41029</c:v>
                </c:pt>
                <c:pt idx="7">
                  <c:v>41060</c:v>
                </c:pt>
                <c:pt idx="8">
                  <c:v>41090</c:v>
                </c:pt>
                <c:pt idx="9">
                  <c:v>41121</c:v>
                </c:pt>
                <c:pt idx="10">
                  <c:v>41152</c:v>
                </c:pt>
                <c:pt idx="11">
                  <c:v>41182</c:v>
                </c:pt>
                <c:pt idx="12">
                  <c:v>41213</c:v>
                </c:pt>
                <c:pt idx="13">
                  <c:v>41243</c:v>
                </c:pt>
                <c:pt idx="14">
                  <c:v>41274</c:v>
                </c:pt>
                <c:pt idx="15">
                  <c:v>41305</c:v>
                </c:pt>
                <c:pt idx="16">
                  <c:v>41333</c:v>
                </c:pt>
                <c:pt idx="17">
                  <c:v>41364</c:v>
                </c:pt>
                <c:pt idx="18">
                  <c:v>41394</c:v>
                </c:pt>
                <c:pt idx="19">
                  <c:v>41425</c:v>
                </c:pt>
                <c:pt idx="20">
                  <c:v>41455</c:v>
                </c:pt>
                <c:pt idx="21">
                  <c:v>41486</c:v>
                </c:pt>
                <c:pt idx="22">
                  <c:v>41517</c:v>
                </c:pt>
                <c:pt idx="23">
                  <c:v>41547</c:v>
                </c:pt>
                <c:pt idx="24">
                  <c:v>41578</c:v>
                </c:pt>
                <c:pt idx="25">
                  <c:v>41608</c:v>
                </c:pt>
                <c:pt idx="26">
                  <c:v>41639</c:v>
                </c:pt>
                <c:pt idx="27">
                  <c:v>41670</c:v>
                </c:pt>
                <c:pt idx="28">
                  <c:v>41698</c:v>
                </c:pt>
                <c:pt idx="29">
                  <c:v>41729</c:v>
                </c:pt>
                <c:pt idx="30">
                  <c:v>41759</c:v>
                </c:pt>
                <c:pt idx="31">
                  <c:v>41790</c:v>
                </c:pt>
                <c:pt idx="32">
                  <c:v>41820</c:v>
                </c:pt>
                <c:pt idx="33">
                  <c:v>41851</c:v>
                </c:pt>
                <c:pt idx="34">
                  <c:v>41882</c:v>
                </c:pt>
                <c:pt idx="35">
                  <c:v>41912</c:v>
                </c:pt>
                <c:pt idx="36">
                  <c:v>41943</c:v>
                </c:pt>
                <c:pt idx="37">
                  <c:v>41973</c:v>
                </c:pt>
                <c:pt idx="38">
                  <c:v>42004</c:v>
                </c:pt>
                <c:pt idx="39">
                  <c:v>42035</c:v>
                </c:pt>
                <c:pt idx="40">
                  <c:v>42063</c:v>
                </c:pt>
                <c:pt idx="41">
                  <c:v>42094</c:v>
                </c:pt>
                <c:pt idx="42">
                  <c:v>42124</c:v>
                </c:pt>
                <c:pt idx="43">
                  <c:v>42155</c:v>
                </c:pt>
                <c:pt idx="44">
                  <c:v>42185</c:v>
                </c:pt>
                <c:pt idx="45">
                  <c:v>42216</c:v>
                </c:pt>
                <c:pt idx="46">
                  <c:v>42247</c:v>
                </c:pt>
                <c:pt idx="47">
                  <c:v>42277</c:v>
                </c:pt>
                <c:pt idx="48">
                  <c:v>42308</c:v>
                </c:pt>
                <c:pt idx="49">
                  <c:v>42338</c:v>
                </c:pt>
                <c:pt idx="50">
                  <c:v>42369</c:v>
                </c:pt>
                <c:pt idx="51">
                  <c:v>42400</c:v>
                </c:pt>
                <c:pt idx="52">
                  <c:v>42429</c:v>
                </c:pt>
                <c:pt idx="53">
                  <c:v>42460</c:v>
                </c:pt>
                <c:pt idx="54">
                  <c:v>42490</c:v>
                </c:pt>
                <c:pt idx="55">
                  <c:v>42521</c:v>
                </c:pt>
                <c:pt idx="56">
                  <c:v>42551</c:v>
                </c:pt>
                <c:pt idx="57">
                  <c:v>42582</c:v>
                </c:pt>
                <c:pt idx="58">
                  <c:v>42613</c:v>
                </c:pt>
                <c:pt idx="59">
                  <c:v>42643</c:v>
                </c:pt>
                <c:pt idx="60">
                  <c:v>42674</c:v>
                </c:pt>
                <c:pt idx="61">
                  <c:v>42704</c:v>
                </c:pt>
                <c:pt idx="62">
                  <c:v>42735</c:v>
                </c:pt>
                <c:pt idx="63">
                  <c:v>42766</c:v>
                </c:pt>
                <c:pt idx="64">
                  <c:v>42794</c:v>
                </c:pt>
                <c:pt idx="65">
                  <c:v>42825</c:v>
                </c:pt>
                <c:pt idx="66">
                  <c:v>42855</c:v>
                </c:pt>
                <c:pt idx="67">
                  <c:v>42886</c:v>
                </c:pt>
                <c:pt idx="68">
                  <c:v>42916</c:v>
                </c:pt>
                <c:pt idx="69">
                  <c:v>42947</c:v>
                </c:pt>
                <c:pt idx="70">
                  <c:v>42978</c:v>
                </c:pt>
                <c:pt idx="71">
                  <c:v>43008</c:v>
                </c:pt>
                <c:pt idx="72">
                  <c:v>43039</c:v>
                </c:pt>
                <c:pt idx="73">
                  <c:v>43069</c:v>
                </c:pt>
                <c:pt idx="74">
                  <c:v>43100</c:v>
                </c:pt>
                <c:pt idx="75">
                  <c:v>43131</c:v>
                </c:pt>
                <c:pt idx="76">
                  <c:v>43159</c:v>
                </c:pt>
                <c:pt idx="77">
                  <c:v>43190</c:v>
                </c:pt>
                <c:pt idx="78">
                  <c:v>43220</c:v>
                </c:pt>
                <c:pt idx="79">
                  <c:v>43251</c:v>
                </c:pt>
                <c:pt idx="80">
                  <c:v>43281</c:v>
                </c:pt>
                <c:pt idx="81">
                  <c:v>43312</c:v>
                </c:pt>
                <c:pt idx="82">
                  <c:v>43343</c:v>
                </c:pt>
                <c:pt idx="83">
                  <c:v>43373</c:v>
                </c:pt>
                <c:pt idx="84">
                  <c:v>43404</c:v>
                </c:pt>
                <c:pt idx="85">
                  <c:v>43434</c:v>
                </c:pt>
                <c:pt idx="86">
                  <c:v>43465</c:v>
                </c:pt>
                <c:pt idx="87">
                  <c:v>43496</c:v>
                </c:pt>
                <c:pt idx="88">
                  <c:v>43524</c:v>
                </c:pt>
              </c:numCache>
            </c:numRef>
          </c:cat>
          <c:val>
            <c:numRef>
              <c:f>まとめ!$U$32:$U$121</c:f>
              <c:numCache>
                <c:formatCode>0</c:formatCode>
                <c:ptCount val="90"/>
                <c:pt idx="1">
                  <c:v>1630</c:v>
                </c:pt>
                <c:pt idx="2">
                  <c:v>1138.5865447878589</c:v>
                </c:pt>
                <c:pt idx="3">
                  <c:v>971.52304276618997</c:v>
                </c:pt>
                <c:pt idx="4">
                  <c:v>838.34082735991842</c:v>
                </c:pt>
                <c:pt idx="5">
                  <c:v>739.41943765936014</c:v>
                </c:pt>
                <c:pt idx="6">
                  <c:v>1196.6231532928591</c:v>
                </c:pt>
                <c:pt idx="7">
                  <c:v>1707.2957072017928</c:v>
                </c:pt>
                <c:pt idx="8">
                  <c:v>1742.5079015206368</c:v>
                </c:pt>
                <c:pt idx="9">
                  <c:v>1570.8232774978464</c:v>
                </c:pt>
                <c:pt idx="10">
                  <c:v>1291.2440629262019</c:v>
                </c:pt>
                <c:pt idx="11">
                  <c:v>1140.7861697984715</c:v>
                </c:pt>
                <c:pt idx="12">
                  <c:v>1000.9635266092125</c:v>
                </c:pt>
                <c:pt idx="13">
                  <c:v>794.13069374278984</c:v>
                </c:pt>
                <c:pt idx="14">
                  <c:v>558.75548881089719</c:v>
                </c:pt>
                <c:pt idx="15">
                  <c:v>480.42238546901922</c:v>
                </c:pt>
                <c:pt idx="16">
                  <c:v>417.91359685866786</c:v>
                </c:pt>
                <c:pt idx="17">
                  <c:v>371.9764332446145</c:v>
                </c:pt>
                <c:pt idx="18">
                  <c:v>607.19039217156183</c:v>
                </c:pt>
                <c:pt idx="19">
                  <c:v>873.78050239224171</c:v>
                </c:pt>
                <c:pt idx="20">
                  <c:v>899.8091773778616</c:v>
                </c:pt>
                <c:pt idx="21">
                  <c:v>818.52079356645299</c:v>
                </c:pt>
                <c:pt idx="22">
                  <c:v>679.23642605558337</c:v>
                </c:pt>
                <c:pt idx="23">
                  <c:v>605.9397800825792</c:v>
                </c:pt>
                <c:pt idx="24">
                  <c:v>536.91166034259277</c:v>
                </c:pt>
                <c:pt idx="25">
                  <c:v>430.3897440243444</c:v>
                </c:pt>
                <c:pt idx="26">
                  <c:v>305.91110905919146</c:v>
                </c:pt>
                <c:pt idx="27">
                  <c:v>265.94639825794667</c:v>
                </c:pt>
                <c:pt idx="28">
                  <c:v>233.9323245240297</c:v>
                </c:pt>
                <c:pt idx="29">
                  <c:v>210.40911900203298</c:v>
                </c:pt>
                <c:pt idx="30">
                  <c:v>347.47069605857138</c:v>
                </c:pt>
                <c:pt idx="31">
                  <c:v>505.68287314970848</c:v>
                </c:pt>
                <c:pt idx="32">
                  <c:v>527.06369408845933</c:v>
                </c:pt>
                <c:pt idx="33">
                  <c:v>485.09233836995452</c:v>
                </c:pt>
                <c:pt idx="34">
                  <c:v>407.62453206064561</c:v>
                </c:pt>
                <c:pt idx="35">
                  <c:v>368.18746462875316</c:v>
                </c:pt>
                <c:pt idx="36">
                  <c:v>330.26003240702386</c:v>
                </c:pt>
                <c:pt idx="37">
                  <c:v>268.16032646988083</c:v>
                </c:pt>
                <c:pt idx="38">
                  <c:v>192.99294892276919</c:v>
                </c:pt>
                <c:pt idx="39">
                  <c:v>169.98013322066922</c:v>
                </c:pt>
                <c:pt idx="40">
                  <c:v>151.47349685781521</c:v>
                </c:pt>
                <c:pt idx="41">
                  <c:v>137.84565445265358</c:v>
                </c:pt>
                <c:pt idx="42">
                  <c:v>230.61401735854571</c:v>
                </c:pt>
                <c:pt idx="43">
                  <c:v>339.90579637660994</c:v>
                </c:pt>
                <c:pt idx="44">
                  <c:v>358.91175080943208</c:v>
                </c:pt>
                <c:pt idx="45">
                  <c:v>334.46100294854438</c:v>
                </c:pt>
                <c:pt idx="46">
                  <c:v>284.69846185732206</c:v>
                </c:pt>
                <c:pt idx="47">
                  <c:v>260.46905771432796</c:v>
                </c:pt>
                <c:pt idx="48">
                  <c:v>236.48013008843</c:v>
                </c:pt>
                <c:pt idx="49">
                  <c:v>194.40052053730466</c:v>
                </c:pt>
                <c:pt idx="50">
                  <c:v>141.59557290438315</c:v>
                </c:pt>
                <c:pt idx="51">
                  <c:v>126.21092829817474</c:v>
                </c:pt>
                <c:pt idx="52">
                  <c:v>113.78760747382887</c:v>
                </c:pt>
                <c:pt idx="53">
                  <c:v>104.61903294366634</c:v>
                </c:pt>
                <c:pt idx="54">
                  <c:v>177.05174509448935</c:v>
                </c:pt>
                <c:pt idx="55">
                  <c:v>263.78554353943525</c:v>
                </c:pt>
                <c:pt idx="56">
                  <c:v>281.54857052563523</c:v>
                </c:pt>
                <c:pt idx="57">
                  <c:v>265.11712932967794</c:v>
                </c:pt>
                <c:pt idx="58">
                  <c:v>227.99628682755872</c:v>
                </c:pt>
                <c:pt idx="59">
                  <c:v>210.73355438866696</c:v>
                </c:pt>
                <c:pt idx="60">
                  <c:v>193.12725220356063</c:v>
                </c:pt>
                <c:pt idx="61">
                  <c:v>160.28533293891923</c:v>
                </c:pt>
                <c:pt idx="62">
                  <c:v>117.76195510220754</c:v>
                </c:pt>
                <c:pt idx="63">
                  <c:v>105.89628348592001</c:v>
                </c:pt>
                <c:pt idx="64">
                  <c:v>96.305848840479769</c:v>
                </c:pt>
                <c:pt idx="65">
                  <c:v>89.235042528726396</c:v>
                </c:pt>
                <c:pt idx="66">
                  <c:v>152.20369560489544</c:v>
                </c:pt>
                <c:pt idx="67">
                  <c:v>228.43793714795396</c:v>
                </c:pt>
                <c:pt idx="68">
                  <c:v>245.67387395927</c:v>
                </c:pt>
                <c:pt idx="69">
                  <c:v>232.88001893681053</c:v>
                </c:pt>
                <c:pt idx="70">
                  <c:v>201.60956781343702</c:v>
                </c:pt>
                <c:pt idx="71">
                  <c:v>187.49038888768555</c:v>
                </c:pt>
                <c:pt idx="72">
                  <c:v>172.86662142649331</c:v>
                </c:pt>
                <c:pt idx="73">
                  <c:v>144.30527925134382</c:v>
                </c:pt>
                <c:pt idx="74">
                  <c:v>106.60097300681174</c:v>
                </c:pt>
                <c:pt idx="75">
                  <c:v>96.379952071680691</c:v>
                </c:pt>
                <c:pt idx="76">
                  <c:v>88.104220763924531</c:v>
                </c:pt>
                <c:pt idx="77">
                  <c:v>81.99332942267678</c:v>
                </c:pt>
                <c:pt idx="78">
                  <c:v>110</c:v>
                </c:pt>
                <c:pt idx="79">
                  <c:v>373</c:v>
                </c:pt>
                <c:pt idx="80">
                  <c:v>127.5</c:v>
                </c:pt>
                <c:pt idx="81">
                  <c:v>229.5</c:v>
                </c:pt>
                <c:pt idx="82">
                  <c:v>185</c:v>
                </c:pt>
                <c:pt idx="83">
                  <c:v>214.5</c:v>
                </c:pt>
                <c:pt idx="84">
                  <c:v>313.5</c:v>
                </c:pt>
                <c:pt idx="85">
                  <c:v>262.58251708529593</c:v>
                </c:pt>
                <c:pt idx="86">
                  <c:v>194.41860955598401</c:v>
                </c:pt>
                <c:pt idx="87">
                  <c:v>176.22389412273631</c:v>
                </c:pt>
                <c:pt idx="88">
                  <c:v>161.49873660456379</c:v>
                </c:pt>
                <c:pt idx="89">
                  <c:v>51</c:v>
                </c:pt>
              </c:numCache>
            </c:numRef>
          </c:val>
          <c:smooth val="0"/>
        </c:ser>
        <c:ser>
          <c:idx val="5"/>
          <c:order val="3"/>
          <c:tx>
            <c:strRef>
              <c:f>まとめ!$X$30:$X$31</c:f>
              <c:strCache>
                <c:ptCount val="1"/>
                <c:pt idx="0">
                  <c:v>焼却灰(主灰)中濃度 両Cs濃度 (Bq/kg)</c:v>
                </c:pt>
              </c:strCache>
            </c:strRef>
          </c:tx>
          <c:spPr>
            <a:ln w="0">
              <a:solidFill>
                <a:srgbClr val="3333FF"/>
              </a:solidFill>
              <a:prstDash val="sysDot"/>
            </a:ln>
          </c:spPr>
          <c:marker>
            <c:symbol val="circle"/>
            <c:size val="5"/>
            <c:spPr>
              <a:noFill/>
              <a:ln w="0">
                <a:solidFill>
                  <a:srgbClr val="3333FF"/>
                </a:solidFill>
                <a:prstDash val="sysDash"/>
              </a:ln>
            </c:spPr>
          </c:marker>
          <c:cat>
            <c:numRef>
              <c:f>まとめ!$R$33:$R$121</c:f>
              <c:numCache>
                <c:formatCode>[$-411]ge\.m</c:formatCode>
                <c:ptCount val="89"/>
                <c:pt idx="0">
                  <c:v>40847</c:v>
                </c:pt>
                <c:pt idx="1">
                  <c:v>40877</c:v>
                </c:pt>
                <c:pt idx="2">
                  <c:v>40908</c:v>
                </c:pt>
                <c:pt idx="3">
                  <c:v>40939</c:v>
                </c:pt>
                <c:pt idx="4">
                  <c:v>40968</c:v>
                </c:pt>
                <c:pt idx="5">
                  <c:v>40999</c:v>
                </c:pt>
                <c:pt idx="6">
                  <c:v>41029</c:v>
                </c:pt>
                <c:pt idx="7">
                  <c:v>41060</c:v>
                </c:pt>
                <c:pt idx="8">
                  <c:v>41090</c:v>
                </c:pt>
                <c:pt idx="9">
                  <c:v>41121</c:v>
                </c:pt>
                <c:pt idx="10">
                  <c:v>41152</c:v>
                </c:pt>
                <c:pt idx="11">
                  <c:v>41182</c:v>
                </c:pt>
                <c:pt idx="12">
                  <c:v>41213</c:v>
                </c:pt>
                <c:pt idx="13">
                  <c:v>41243</c:v>
                </c:pt>
                <c:pt idx="14">
                  <c:v>41274</c:v>
                </c:pt>
                <c:pt idx="15">
                  <c:v>41305</c:v>
                </c:pt>
                <c:pt idx="16">
                  <c:v>41333</c:v>
                </c:pt>
                <c:pt idx="17">
                  <c:v>41364</c:v>
                </c:pt>
                <c:pt idx="18">
                  <c:v>41394</c:v>
                </c:pt>
                <c:pt idx="19">
                  <c:v>41425</c:v>
                </c:pt>
                <c:pt idx="20">
                  <c:v>41455</c:v>
                </c:pt>
                <c:pt idx="21">
                  <c:v>41486</c:v>
                </c:pt>
                <c:pt idx="22">
                  <c:v>41517</c:v>
                </c:pt>
                <c:pt idx="23">
                  <c:v>41547</c:v>
                </c:pt>
                <c:pt idx="24">
                  <c:v>41578</c:v>
                </c:pt>
                <c:pt idx="25">
                  <c:v>41608</c:v>
                </c:pt>
                <c:pt idx="26">
                  <c:v>41639</c:v>
                </c:pt>
                <c:pt idx="27">
                  <c:v>41670</c:v>
                </c:pt>
                <c:pt idx="28">
                  <c:v>41698</c:v>
                </c:pt>
                <c:pt idx="29">
                  <c:v>41729</c:v>
                </c:pt>
                <c:pt idx="30">
                  <c:v>41759</c:v>
                </c:pt>
                <c:pt idx="31">
                  <c:v>41790</c:v>
                </c:pt>
                <c:pt idx="32">
                  <c:v>41820</c:v>
                </c:pt>
                <c:pt idx="33">
                  <c:v>41851</c:v>
                </c:pt>
                <c:pt idx="34">
                  <c:v>41882</c:v>
                </c:pt>
                <c:pt idx="35">
                  <c:v>41912</c:v>
                </c:pt>
                <c:pt idx="36">
                  <c:v>41943</c:v>
                </c:pt>
                <c:pt idx="37">
                  <c:v>41973</c:v>
                </c:pt>
                <c:pt idx="38">
                  <c:v>42004</c:v>
                </c:pt>
                <c:pt idx="39">
                  <c:v>42035</c:v>
                </c:pt>
                <c:pt idx="40">
                  <c:v>42063</c:v>
                </c:pt>
                <c:pt idx="41">
                  <c:v>42094</c:v>
                </c:pt>
                <c:pt idx="42">
                  <c:v>42124</c:v>
                </c:pt>
                <c:pt idx="43">
                  <c:v>42155</c:v>
                </c:pt>
                <c:pt idx="44">
                  <c:v>42185</c:v>
                </c:pt>
                <c:pt idx="45">
                  <c:v>42216</c:v>
                </c:pt>
                <c:pt idx="46">
                  <c:v>42247</c:v>
                </c:pt>
                <c:pt idx="47">
                  <c:v>42277</c:v>
                </c:pt>
                <c:pt idx="48">
                  <c:v>42308</c:v>
                </c:pt>
                <c:pt idx="49">
                  <c:v>42338</c:v>
                </c:pt>
                <c:pt idx="50">
                  <c:v>42369</c:v>
                </c:pt>
                <c:pt idx="51">
                  <c:v>42400</c:v>
                </c:pt>
                <c:pt idx="52">
                  <c:v>42429</c:v>
                </c:pt>
                <c:pt idx="53">
                  <c:v>42460</c:v>
                </c:pt>
                <c:pt idx="54">
                  <c:v>42490</c:v>
                </c:pt>
                <c:pt idx="55">
                  <c:v>42521</c:v>
                </c:pt>
                <c:pt idx="56">
                  <c:v>42551</c:v>
                </c:pt>
                <c:pt idx="57">
                  <c:v>42582</c:v>
                </c:pt>
                <c:pt idx="58">
                  <c:v>42613</c:v>
                </c:pt>
                <c:pt idx="59">
                  <c:v>42643</c:v>
                </c:pt>
                <c:pt idx="60">
                  <c:v>42674</c:v>
                </c:pt>
                <c:pt idx="61">
                  <c:v>42704</c:v>
                </c:pt>
                <c:pt idx="62">
                  <c:v>42735</c:v>
                </c:pt>
                <c:pt idx="63">
                  <c:v>42766</c:v>
                </c:pt>
                <c:pt idx="64">
                  <c:v>42794</c:v>
                </c:pt>
                <c:pt idx="65">
                  <c:v>42825</c:v>
                </c:pt>
                <c:pt idx="66">
                  <c:v>42855</c:v>
                </c:pt>
                <c:pt idx="67">
                  <c:v>42886</c:v>
                </c:pt>
                <c:pt idx="68">
                  <c:v>42916</c:v>
                </c:pt>
                <c:pt idx="69">
                  <c:v>42947</c:v>
                </c:pt>
                <c:pt idx="70">
                  <c:v>42978</c:v>
                </c:pt>
                <c:pt idx="71">
                  <c:v>43008</c:v>
                </c:pt>
                <c:pt idx="72">
                  <c:v>43039</c:v>
                </c:pt>
                <c:pt idx="73">
                  <c:v>43069</c:v>
                </c:pt>
                <c:pt idx="74">
                  <c:v>43100</c:v>
                </c:pt>
                <c:pt idx="75">
                  <c:v>43131</c:v>
                </c:pt>
                <c:pt idx="76">
                  <c:v>43159</c:v>
                </c:pt>
                <c:pt idx="77">
                  <c:v>43190</c:v>
                </c:pt>
                <c:pt idx="78">
                  <c:v>43220</c:v>
                </c:pt>
                <c:pt idx="79">
                  <c:v>43251</c:v>
                </c:pt>
                <c:pt idx="80">
                  <c:v>43281</c:v>
                </c:pt>
                <c:pt idx="81">
                  <c:v>43312</c:v>
                </c:pt>
                <c:pt idx="82">
                  <c:v>43343</c:v>
                </c:pt>
                <c:pt idx="83">
                  <c:v>43373</c:v>
                </c:pt>
                <c:pt idx="84">
                  <c:v>43404</c:v>
                </c:pt>
                <c:pt idx="85">
                  <c:v>43434</c:v>
                </c:pt>
                <c:pt idx="86">
                  <c:v>43465</c:v>
                </c:pt>
                <c:pt idx="87">
                  <c:v>43496</c:v>
                </c:pt>
                <c:pt idx="88">
                  <c:v>43524</c:v>
                </c:pt>
              </c:numCache>
            </c:numRef>
          </c:cat>
          <c:val>
            <c:numRef>
              <c:f>まとめ!$X$32:$X$121</c:f>
              <c:numCache>
                <c:formatCode>0.0</c:formatCode>
                <c:ptCount val="90"/>
                <c:pt idx="1">
                  <c:v>266.61392708561146</c:v>
                </c:pt>
                <c:pt idx="2">
                  <c:v>186.23498775014022</c:v>
                </c:pt>
                <c:pt idx="3">
                  <c:v>158.90894091169105</c:v>
                </c:pt>
                <c:pt idx="4">
                  <c:v>137.1247486003856</c:v>
                </c:pt>
                <c:pt idx="5">
                  <c:v>120.94449082073405</c:v>
                </c:pt>
                <c:pt idx="6">
                  <c:v>195.72785162023121</c:v>
                </c:pt>
                <c:pt idx="7">
                  <c:v>279.25694060949468</c:v>
                </c:pt>
                <c:pt idx="8">
                  <c:v>285.01648748596619</c:v>
                </c:pt>
                <c:pt idx="9">
                  <c:v>256.93457838723441</c:v>
                </c:pt>
                <c:pt idx="10">
                  <c:v>211.20469352315038</c:v>
                </c:pt>
                <c:pt idx="11">
                  <c:v>186.59477343246854</c:v>
                </c:pt>
                <c:pt idx="12">
                  <c:v>163.72442742254302</c:v>
                </c:pt>
                <c:pt idx="13">
                  <c:v>129.89343734845784</c:v>
                </c:pt>
                <c:pt idx="14">
                  <c:v>91.393862056756902</c:v>
                </c:pt>
                <c:pt idx="15">
                  <c:v>78.581164938486282</c:v>
                </c:pt>
                <c:pt idx="16">
                  <c:v>68.356800761326696</c:v>
                </c:pt>
                <c:pt idx="17">
                  <c:v>60.843004693647536</c:v>
                </c:pt>
                <c:pt idx="18">
                  <c:v>99.316205488044574</c:v>
                </c:pt>
                <c:pt idx="19">
                  <c:v>142.92150377523566</c:v>
                </c:pt>
                <c:pt idx="20">
                  <c:v>147.17893153888667</c:v>
                </c:pt>
                <c:pt idx="21">
                  <c:v>133.88284857299581</c:v>
                </c:pt>
                <c:pt idx="22">
                  <c:v>111.10054660753048</c:v>
                </c:pt>
                <c:pt idx="23">
                  <c:v>99.111646837551064</c:v>
                </c:pt>
                <c:pt idx="24">
                  <c:v>87.82093635705192</c:v>
                </c:pt>
                <c:pt idx="25">
                  <c:v>70.397484559326102</c:v>
                </c:pt>
                <c:pt idx="26">
                  <c:v>50.036909279377809</c:v>
                </c:pt>
                <c:pt idx="27">
                  <c:v>43.500008364309934</c:v>
                </c:pt>
                <c:pt idx="28">
                  <c:v>38.263567922464574</c:v>
                </c:pt>
                <c:pt idx="29">
                  <c:v>34.415951847702928</c:v>
                </c:pt>
                <c:pt idx="30">
                  <c:v>56.834679032727983</c:v>
                </c:pt>
                <c:pt idx="31">
                  <c:v>82.71294274256374</c:v>
                </c:pt>
                <c:pt idx="32">
                  <c:v>86.210135770045127</c:v>
                </c:pt>
                <c:pt idx="33">
                  <c:v>79.345014314083329</c:v>
                </c:pt>
                <c:pt idx="34">
                  <c:v>66.673851085351828</c:v>
                </c:pt>
                <c:pt idx="35">
                  <c:v>60.223255121697278</c:v>
                </c:pt>
                <c:pt idx="36">
                  <c:v>54.019585398440462</c:v>
                </c:pt>
                <c:pt idx="37">
                  <c:v>43.862133575886247</c:v>
                </c:pt>
                <c:pt idx="38">
                  <c:v>31.567244179222286</c:v>
                </c:pt>
                <c:pt idx="39">
                  <c:v>27.803110947544802</c:v>
                </c:pt>
                <c:pt idx="40">
                  <c:v>24.776039169725244</c:v>
                </c:pt>
                <c:pt idx="41">
                  <c:v>22.546976236385383</c:v>
                </c:pt>
                <c:pt idx="42">
                  <c:v>37.720802950276841</c:v>
                </c:pt>
                <c:pt idx="43">
                  <c:v>55.597312399466375</c:v>
                </c:pt>
                <c:pt idx="44">
                  <c:v>58.706056049371213</c:v>
                </c:pt>
                <c:pt idx="45">
                  <c:v>54.706724817855033</c:v>
                </c:pt>
                <c:pt idx="46">
                  <c:v>46.567223896327484</c:v>
                </c:pt>
                <c:pt idx="47">
                  <c:v>42.604097154298017</c:v>
                </c:pt>
                <c:pt idx="48">
                  <c:v>38.680304393001592</c:v>
                </c:pt>
                <c:pt idx="49">
                  <c:v>31.797476201188875</c:v>
                </c:pt>
                <c:pt idx="50">
                  <c:v>23.160338496916928</c:v>
                </c:pt>
                <c:pt idx="51">
                  <c:v>20.643921002881534</c:v>
                </c:pt>
                <c:pt idx="52">
                  <c:v>18.61187784188564</c:v>
                </c:pt>
                <c:pt idx="53">
                  <c:v>17.112203203073527</c:v>
                </c:pt>
                <c:pt idx="54">
                  <c:v>28.959792059510711</c:v>
                </c:pt>
                <c:pt idx="55">
                  <c:v>43.146564215620486</c:v>
                </c:pt>
                <c:pt idx="56">
                  <c:v>46.05200616759501</c:v>
                </c:pt>
                <c:pt idx="57">
                  <c:v>43.364367477453612</c:v>
                </c:pt>
                <c:pt idx="58">
                  <c:v>37.292629074866817</c:v>
                </c:pt>
                <c:pt idx="59">
                  <c:v>34.469018714277176</c:v>
                </c:pt>
                <c:pt idx="60">
                  <c:v>31.589211740640863</c:v>
                </c:pt>
                <c:pt idx="61">
                  <c:v>26.217363232558267</c:v>
                </c:pt>
                <c:pt idx="62">
                  <c:v>19.261949270600624</c:v>
                </c:pt>
                <c:pt idx="63">
                  <c:v>17.321119020829645</c:v>
                </c:pt>
                <c:pt idx="64">
                  <c:v>15.752442061762942</c:v>
                </c:pt>
                <c:pt idx="65">
                  <c:v>14.595892713027791</c:v>
                </c:pt>
                <c:pt idx="66">
                  <c:v>24.895475461450431</c:v>
                </c:pt>
                <c:pt idx="67">
                  <c:v>37.364868416166928</c:v>
                </c:pt>
                <c:pt idx="68">
                  <c:v>40.184095900991736</c:v>
                </c:pt>
                <c:pt idx="69">
                  <c:v>38.091445637125538</c:v>
                </c:pt>
                <c:pt idx="70">
                  <c:v>32.976637185750512</c:v>
                </c:pt>
                <c:pt idx="71">
                  <c:v>30.6672078970272</c:v>
                </c:pt>
                <c:pt idx="72">
                  <c:v>28.275244662907422</c:v>
                </c:pt>
                <c:pt idx="73">
                  <c:v>23.603556564654351</c:v>
                </c:pt>
                <c:pt idx="74">
                  <c:v>17.436382849382419</c:v>
                </c:pt>
                <c:pt idx="75">
                  <c:v>15.764562892118899</c:v>
                </c:pt>
                <c:pt idx="76">
                  <c:v>14.410927785697911</c:v>
                </c:pt>
                <c:pt idx="77">
                  <c:v>13.411388682333786</c:v>
                </c:pt>
                <c:pt idx="78" formatCode="General">
                  <c:v>32</c:v>
                </c:pt>
                <c:pt idx="79" formatCode="General">
                  <c:v>110</c:v>
                </c:pt>
                <c:pt idx="80" formatCode="General">
                  <c:v>44</c:v>
                </c:pt>
                <c:pt idx="81" formatCode="General">
                  <c:v>60.5</c:v>
                </c:pt>
                <c:pt idx="82" formatCode="General">
                  <c:v>57.5</c:v>
                </c:pt>
                <c:pt idx="83" formatCode="General">
                  <c:v>44.5</c:v>
                </c:pt>
                <c:pt idx="84" formatCode="General">
                  <c:v>73.5</c:v>
                </c:pt>
                <c:pt idx="85">
                  <c:v>42.949788996402098</c:v>
                </c:pt>
                <c:pt idx="86">
                  <c:v>31.800434964567543</c:v>
                </c:pt>
                <c:pt idx="87">
                  <c:v>28.824383103301685</c:v>
                </c:pt>
                <c:pt idx="88">
                  <c:v>26.415835819329779</c:v>
                </c:pt>
                <c:pt idx="89" formatCode="General">
                  <c:v>9.5</c:v>
                </c:pt>
              </c:numCache>
            </c:numRef>
          </c:val>
          <c:smooth val="0"/>
        </c:ser>
        <c:dLbls>
          <c:showLegendKey val="0"/>
          <c:showVal val="0"/>
          <c:showCatName val="0"/>
          <c:showSerName val="0"/>
          <c:showPercent val="0"/>
          <c:showBubbleSize val="0"/>
        </c:dLbls>
        <c:marker val="1"/>
        <c:smooth val="0"/>
        <c:axId val="163366400"/>
        <c:axId val="163377536"/>
      </c:lineChart>
      <c:dateAx>
        <c:axId val="163366400"/>
        <c:scaling>
          <c:orientation val="minMax"/>
        </c:scaling>
        <c:delete val="0"/>
        <c:axPos val="b"/>
        <c:majorGridlines>
          <c:spPr>
            <a:ln w="0">
              <a:solidFill>
                <a:sysClr val="window" lastClr="FFFFFF">
                  <a:lumMod val="85000"/>
                </a:sysClr>
              </a:solidFill>
              <a:prstDash val="sysDot"/>
            </a:ln>
          </c:spPr>
        </c:majorGridlines>
        <c:numFmt formatCode="ge\.m" sourceLinked="0"/>
        <c:majorTickMark val="in"/>
        <c:minorTickMark val="none"/>
        <c:tickLblPos val="nextTo"/>
        <c:spPr>
          <a:ln w="3175">
            <a:solidFill>
              <a:srgbClr val="000000"/>
            </a:solidFill>
            <a:prstDash val="solid"/>
          </a:ln>
        </c:spPr>
        <c:txPr>
          <a:bodyPr rot="-5400000" vert="horz"/>
          <a:lstStyle/>
          <a:p>
            <a:pPr>
              <a:defRPr sz="900"/>
            </a:pPr>
            <a:endParaRPr lang="ja-JP"/>
          </a:p>
        </c:txPr>
        <c:crossAx val="163377536"/>
        <c:crosses val="autoZero"/>
        <c:auto val="0"/>
        <c:lblOffset val="0"/>
        <c:baseTimeUnit val="months"/>
        <c:majorUnit val="6"/>
        <c:minorUnit val="6"/>
      </c:dateAx>
      <c:valAx>
        <c:axId val="163377536"/>
        <c:scaling>
          <c:orientation val="minMax"/>
        </c:scaling>
        <c:delete val="0"/>
        <c:axPos val="l"/>
        <c:majorGridlines>
          <c:spPr>
            <a:ln w="0">
              <a:solidFill>
                <a:sysClr val="window" lastClr="FFFFFF">
                  <a:lumMod val="85000"/>
                </a:sysClr>
              </a:solidFill>
              <a:prstDash val="sysDot"/>
            </a:ln>
          </c:spPr>
        </c:majorGridlines>
        <c:numFmt formatCode="0" sourceLinked="0"/>
        <c:majorTickMark val="in"/>
        <c:minorTickMark val="none"/>
        <c:tickLblPos val="nextTo"/>
        <c:spPr>
          <a:ln w="3175">
            <a:solidFill>
              <a:srgbClr val="000000"/>
            </a:solidFill>
            <a:prstDash val="solid"/>
          </a:ln>
        </c:spPr>
        <c:txPr>
          <a:bodyPr rot="0" vert="horz"/>
          <a:lstStyle/>
          <a:p>
            <a:pPr>
              <a:defRPr sz="900"/>
            </a:pPr>
            <a:endParaRPr lang="ja-JP"/>
          </a:p>
        </c:txPr>
        <c:crossAx val="163366400"/>
        <c:crosses val="autoZero"/>
        <c:crossBetween val="between"/>
      </c:valAx>
      <c:valAx>
        <c:axId val="163379072"/>
        <c:scaling>
          <c:orientation val="maxMin"/>
          <c:max val="2000"/>
        </c:scaling>
        <c:delete val="0"/>
        <c:axPos val="r"/>
        <c:numFmt formatCode="General" sourceLinked="1"/>
        <c:majorTickMark val="out"/>
        <c:minorTickMark val="none"/>
        <c:tickLblPos val="nextTo"/>
        <c:txPr>
          <a:bodyPr/>
          <a:lstStyle/>
          <a:p>
            <a:pPr>
              <a:defRPr sz="900"/>
            </a:pPr>
            <a:endParaRPr lang="ja-JP"/>
          </a:p>
        </c:txPr>
        <c:crossAx val="163380608"/>
        <c:crosses val="max"/>
        <c:crossBetween val="between"/>
      </c:valAx>
      <c:dateAx>
        <c:axId val="163380608"/>
        <c:scaling>
          <c:orientation val="minMax"/>
        </c:scaling>
        <c:delete val="1"/>
        <c:axPos val="t"/>
        <c:numFmt formatCode="[$-411]ge\.m" sourceLinked="1"/>
        <c:majorTickMark val="out"/>
        <c:minorTickMark val="none"/>
        <c:tickLblPos val="nextTo"/>
        <c:crossAx val="163379072"/>
        <c:crosses val="autoZero"/>
        <c:auto val="1"/>
        <c:lblOffset val="100"/>
        <c:baseTimeUnit val="months"/>
      </c:dateAx>
      <c:spPr>
        <a:noFill/>
        <a:ln w="12700">
          <a:solidFill>
            <a:srgbClr val="808080"/>
          </a:solidFill>
          <a:prstDash val="solid"/>
        </a:ln>
      </c:spPr>
    </c:plotArea>
    <c:legend>
      <c:legendPos val="r"/>
      <c:layout>
        <c:manualLayout>
          <c:xMode val="edge"/>
          <c:yMode val="edge"/>
          <c:x val="0"/>
          <c:y val="3.4065720941719248E-4"/>
          <c:w val="0.99516907794065468"/>
          <c:h val="0.13858105912398383"/>
        </c:manualLayout>
      </c:layout>
      <c:overlay val="0"/>
      <c:spPr>
        <a:noFill/>
        <a:ln w="25400">
          <a:noFill/>
        </a:ln>
      </c:spPr>
      <c:txPr>
        <a:bodyPr/>
        <a:lstStyle/>
        <a:p>
          <a:pPr>
            <a:defRPr sz="1050"/>
          </a:pPr>
          <a:endParaRPr lang="ja-JP"/>
        </a:p>
      </c:txPr>
    </c:legend>
    <c:plotVisOnly val="1"/>
    <c:dispBlanksAs val="span"/>
    <c:showDLblsOverMax val="0"/>
  </c:chart>
  <c:spPr>
    <a:solidFill>
      <a:srgbClr val="FFFFFF"/>
    </a:solidFill>
    <a:ln w="3175">
      <a:solidFill>
        <a:srgbClr val="000000"/>
      </a:solidFill>
      <a:prstDash val="solid"/>
    </a:ln>
  </c:spPr>
  <c:txPr>
    <a:bodyPr/>
    <a:lstStyle/>
    <a:p>
      <a:pPr>
        <a:defRPr sz="800" b="0" i="0" u="none" strike="noStrike" baseline="0">
          <a:solidFill>
            <a:srgbClr val="000000"/>
          </a:solidFill>
          <a:latin typeface="Meiryo UI"/>
          <a:ea typeface="Meiryo UI"/>
          <a:cs typeface="Meiryo UI"/>
        </a:defRPr>
      </a:pPr>
      <a:endParaRPr lang="ja-JP"/>
    </a:p>
  </c:txPr>
  <c:printSettings>
    <c:headerFooter alignWithMargins="0"/>
    <c:pageMargins b="1" l="0.75" r="0.75" t="1" header="0.51200000000000001" footer="0.51200000000000001"/>
    <c:pageSetup paperSize="9" orientation="landscape" horizontalDpi="0" verticalDpi="0"/>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0"/>
    <c:plotArea>
      <c:layout>
        <c:manualLayout>
          <c:layoutTarget val="inner"/>
          <c:xMode val="edge"/>
          <c:yMode val="edge"/>
          <c:x val="0.13229951827366013"/>
          <c:y val="2.9827313942753019E-2"/>
          <c:w val="0.84649455658221817"/>
          <c:h val="0.85357051377042836"/>
        </c:manualLayout>
      </c:layout>
      <c:lineChart>
        <c:grouping val="standard"/>
        <c:varyColors val="0"/>
        <c:ser>
          <c:idx val="0"/>
          <c:order val="0"/>
          <c:tx>
            <c:strRef>
              <c:f>月間量回帰式!$C$3:$C$4</c:f>
              <c:strCache>
                <c:ptCount val="1"/>
                <c:pt idx="0">
                  <c:v>石巻広域クリセ 230(115tx2炉〉</c:v>
                </c:pt>
              </c:strCache>
            </c:strRef>
          </c:tx>
          <c:spPr>
            <a:ln w="0">
              <a:solidFill>
                <a:srgbClr val="0000FF"/>
              </a:solidFill>
              <a:prstDash val="solid"/>
            </a:ln>
          </c:spPr>
          <c:marker>
            <c:symbol val="diamond"/>
            <c:size val="4"/>
            <c:spPr>
              <a:noFill/>
              <a:ln>
                <a:solidFill>
                  <a:srgbClr val="0000FF"/>
                </a:solidFill>
                <a:prstDash val="solid"/>
              </a:ln>
            </c:spPr>
          </c:marker>
          <c:cat>
            <c:numRef>
              <c:f>月間量回帰式!$Z$20:$Z$103</c:f>
              <c:numCache>
                <c:formatCode>[$-411]ge\.m</c:formatCode>
                <c:ptCount val="84"/>
                <c:pt idx="0">
                  <c:v>41000</c:v>
                </c:pt>
                <c:pt idx="1">
                  <c:v>41030</c:v>
                </c:pt>
                <c:pt idx="2">
                  <c:v>41061</c:v>
                </c:pt>
                <c:pt idx="3">
                  <c:v>41091</c:v>
                </c:pt>
                <c:pt idx="4">
                  <c:v>41122</c:v>
                </c:pt>
                <c:pt idx="5">
                  <c:v>41153</c:v>
                </c:pt>
                <c:pt idx="6">
                  <c:v>41183</c:v>
                </c:pt>
                <c:pt idx="7">
                  <c:v>41214</c:v>
                </c:pt>
                <c:pt idx="8">
                  <c:v>41244</c:v>
                </c:pt>
                <c:pt idx="9">
                  <c:v>41275</c:v>
                </c:pt>
                <c:pt idx="10">
                  <c:v>41306</c:v>
                </c:pt>
                <c:pt idx="11">
                  <c:v>41334</c:v>
                </c:pt>
                <c:pt idx="12">
                  <c:v>41365</c:v>
                </c:pt>
                <c:pt idx="13">
                  <c:v>41395</c:v>
                </c:pt>
                <c:pt idx="14">
                  <c:v>41426</c:v>
                </c:pt>
                <c:pt idx="15">
                  <c:v>41456</c:v>
                </c:pt>
                <c:pt idx="16">
                  <c:v>41487</c:v>
                </c:pt>
                <c:pt idx="17">
                  <c:v>41518</c:v>
                </c:pt>
                <c:pt idx="18">
                  <c:v>41548</c:v>
                </c:pt>
                <c:pt idx="19">
                  <c:v>41579</c:v>
                </c:pt>
                <c:pt idx="20">
                  <c:v>41609</c:v>
                </c:pt>
                <c:pt idx="21">
                  <c:v>41640</c:v>
                </c:pt>
                <c:pt idx="22">
                  <c:v>41671</c:v>
                </c:pt>
                <c:pt idx="23">
                  <c:v>41699</c:v>
                </c:pt>
                <c:pt idx="24">
                  <c:v>41730</c:v>
                </c:pt>
                <c:pt idx="25">
                  <c:v>41760</c:v>
                </c:pt>
                <c:pt idx="26">
                  <c:v>41791</c:v>
                </c:pt>
                <c:pt idx="27">
                  <c:v>41821</c:v>
                </c:pt>
                <c:pt idx="28">
                  <c:v>41852</c:v>
                </c:pt>
                <c:pt idx="29">
                  <c:v>41883</c:v>
                </c:pt>
                <c:pt idx="30">
                  <c:v>41913</c:v>
                </c:pt>
                <c:pt idx="31">
                  <c:v>41944</c:v>
                </c:pt>
                <c:pt idx="32">
                  <c:v>41974</c:v>
                </c:pt>
                <c:pt idx="33">
                  <c:v>42005</c:v>
                </c:pt>
                <c:pt idx="34">
                  <c:v>42036</c:v>
                </c:pt>
                <c:pt idx="35">
                  <c:v>42064</c:v>
                </c:pt>
                <c:pt idx="36">
                  <c:v>42095</c:v>
                </c:pt>
                <c:pt idx="37">
                  <c:v>42125</c:v>
                </c:pt>
                <c:pt idx="38">
                  <c:v>42156</c:v>
                </c:pt>
                <c:pt idx="39">
                  <c:v>42186</c:v>
                </c:pt>
                <c:pt idx="40">
                  <c:v>42217</c:v>
                </c:pt>
                <c:pt idx="41">
                  <c:v>42248</c:v>
                </c:pt>
                <c:pt idx="42">
                  <c:v>42278</c:v>
                </c:pt>
                <c:pt idx="43">
                  <c:v>42309</c:v>
                </c:pt>
                <c:pt idx="44">
                  <c:v>42339</c:v>
                </c:pt>
                <c:pt idx="45">
                  <c:v>42370</c:v>
                </c:pt>
                <c:pt idx="46">
                  <c:v>42401</c:v>
                </c:pt>
                <c:pt idx="47">
                  <c:v>42430</c:v>
                </c:pt>
                <c:pt idx="48">
                  <c:v>42461</c:v>
                </c:pt>
                <c:pt idx="49">
                  <c:v>42491</c:v>
                </c:pt>
                <c:pt idx="50">
                  <c:v>42522</c:v>
                </c:pt>
                <c:pt idx="51">
                  <c:v>42552</c:v>
                </c:pt>
                <c:pt idx="52">
                  <c:v>42583</c:v>
                </c:pt>
                <c:pt idx="53">
                  <c:v>42614</c:v>
                </c:pt>
                <c:pt idx="54">
                  <c:v>42644</c:v>
                </c:pt>
                <c:pt idx="55">
                  <c:v>42675</c:v>
                </c:pt>
                <c:pt idx="56">
                  <c:v>42705</c:v>
                </c:pt>
                <c:pt idx="57">
                  <c:v>42736</c:v>
                </c:pt>
                <c:pt idx="58">
                  <c:v>42767</c:v>
                </c:pt>
                <c:pt idx="59">
                  <c:v>42795</c:v>
                </c:pt>
                <c:pt idx="60">
                  <c:v>42826</c:v>
                </c:pt>
                <c:pt idx="61">
                  <c:v>42856</c:v>
                </c:pt>
                <c:pt idx="62">
                  <c:v>42887</c:v>
                </c:pt>
                <c:pt idx="63">
                  <c:v>42917</c:v>
                </c:pt>
                <c:pt idx="64">
                  <c:v>42948</c:v>
                </c:pt>
                <c:pt idx="65">
                  <c:v>42979</c:v>
                </c:pt>
                <c:pt idx="66">
                  <c:v>43009</c:v>
                </c:pt>
                <c:pt idx="67">
                  <c:v>43040</c:v>
                </c:pt>
                <c:pt idx="68">
                  <c:v>43070</c:v>
                </c:pt>
                <c:pt idx="69">
                  <c:v>43101</c:v>
                </c:pt>
                <c:pt idx="70">
                  <c:v>43132</c:v>
                </c:pt>
                <c:pt idx="71">
                  <c:v>43160</c:v>
                </c:pt>
                <c:pt idx="72">
                  <c:v>43191</c:v>
                </c:pt>
                <c:pt idx="73">
                  <c:v>43221</c:v>
                </c:pt>
                <c:pt idx="74">
                  <c:v>43252</c:v>
                </c:pt>
                <c:pt idx="75">
                  <c:v>43282</c:v>
                </c:pt>
                <c:pt idx="76">
                  <c:v>43313</c:v>
                </c:pt>
                <c:pt idx="77">
                  <c:v>43344</c:v>
                </c:pt>
                <c:pt idx="78">
                  <c:v>43374</c:v>
                </c:pt>
                <c:pt idx="79">
                  <c:v>43405</c:v>
                </c:pt>
                <c:pt idx="80">
                  <c:v>43435</c:v>
                </c:pt>
                <c:pt idx="81">
                  <c:v>43466</c:v>
                </c:pt>
                <c:pt idx="82">
                  <c:v>43497</c:v>
                </c:pt>
                <c:pt idx="83">
                  <c:v>43525</c:v>
                </c:pt>
              </c:numCache>
            </c:numRef>
          </c:cat>
          <c:val>
            <c:numRef>
              <c:f>月間量回帰式!$C$20:$C$103</c:f>
              <c:numCache>
                <c:formatCode>0</c:formatCode>
                <c:ptCount val="84"/>
                <c:pt idx="0">
                  <c:v>5693.7099343496038</c:v>
                </c:pt>
                <c:pt idx="1">
                  <c:v>6461.0235251811728</c:v>
                </c:pt>
                <c:pt idx="2">
                  <c:v>6179.5927881937196</c:v>
                </c:pt>
                <c:pt idx="3">
                  <c:v>6411.8394300434275</c:v>
                </c:pt>
                <c:pt idx="4">
                  <c:v>6767.281654590066</c:v>
                </c:pt>
                <c:pt idx="5">
                  <c:v>6054.9434296986519</c:v>
                </c:pt>
                <c:pt idx="6">
                  <c:v>6164.2626032404287</c:v>
                </c:pt>
                <c:pt idx="7">
                  <c:v>5754.4110320193013</c:v>
                </c:pt>
                <c:pt idx="8">
                  <c:v>5830.9070462498912</c:v>
                </c:pt>
                <c:pt idx="9">
                  <c:v>5508.7884612072394</c:v>
                </c:pt>
                <c:pt idx="10">
                  <c:v>4728.3759929486159</c:v>
                </c:pt>
                <c:pt idx="11">
                  <c:v>5774.2107831388548</c:v>
                </c:pt>
                <c:pt idx="12">
                  <c:v>5482.3589469097042</c:v>
                </c:pt>
                <c:pt idx="13">
                  <c:v>6221.1897932797165</c:v>
                </c:pt>
                <c:pt idx="14">
                  <c:v>5950.2057887117353</c:v>
                </c:pt>
                <c:pt idx="15">
                  <c:v>6173.8314158538951</c:v>
                </c:pt>
                <c:pt idx="16">
                  <c:v>6516.079595392629</c:v>
                </c:pt>
                <c:pt idx="17">
                  <c:v>5830.1834247958523</c:v>
                </c:pt>
                <c:pt idx="18">
                  <c:v>5935.444661501966</c:v>
                </c:pt>
                <c:pt idx="19">
                  <c:v>5540.8068147733347</c:v>
                </c:pt>
                <c:pt idx="20">
                  <c:v>5614.4632905783164</c:v>
                </c:pt>
                <c:pt idx="21">
                  <c:v>5304.3017742670354</c:v>
                </c:pt>
                <c:pt idx="22">
                  <c:v>4552.8582818920968</c:v>
                </c:pt>
                <c:pt idx="23">
                  <c:v>5559.8715974806528</c:v>
                </c:pt>
                <c:pt idx="24">
                  <c:v>5397.9493997803338</c:v>
                </c:pt>
                <c:pt idx="25">
                  <c:v>6125.4047820935002</c:v>
                </c:pt>
                <c:pt idx="26">
                  <c:v>5858.5930028990097</c:v>
                </c:pt>
                <c:pt idx="27">
                  <c:v>6078.7755614467223</c:v>
                </c:pt>
                <c:pt idx="28">
                  <c:v>6415.7542914436672</c:v>
                </c:pt>
                <c:pt idx="29">
                  <c:v>5740.4185722325992</c:v>
                </c:pt>
                <c:pt idx="30">
                  <c:v>5844.0591464817899</c:v>
                </c:pt>
                <c:pt idx="31">
                  <c:v>5455.4973707009112</c:v>
                </c:pt>
                <c:pt idx="32">
                  <c:v>5528.019789099938</c:v>
                </c:pt>
                <c:pt idx="33">
                  <c:v>5222.633697634481</c:v>
                </c:pt>
                <c:pt idx="34">
                  <c:v>4482.7598608583294</c:v>
                </c:pt>
                <c:pt idx="35">
                  <c:v>5474.268621063844</c:v>
                </c:pt>
                <c:pt idx="36">
                  <c:v>4911.22</c:v>
                </c:pt>
                <c:pt idx="37">
                  <c:v>5017.6899999999996</c:v>
                </c:pt>
                <c:pt idx="38">
                  <c:v>5245.7</c:v>
                </c:pt>
                <c:pt idx="39">
                  <c:v>5444.63</c:v>
                </c:pt>
                <c:pt idx="40">
                  <c:v>5507.05</c:v>
                </c:pt>
                <c:pt idx="41">
                  <c:v>5124.37</c:v>
                </c:pt>
                <c:pt idx="42">
                  <c:v>5005.3</c:v>
                </c:pt>
                <c:pt idx="43">
                  <c:v>4810.2299999999996</c:v>
                </c:pt>
                <c:pt idx="44">
                  <c:v>5090.9399999999996</c:v>
                </c:pt>
                <c:pt idx="45">
                  <c:v>4515.71</c:v>
                </c:pt>
                <c:pt idx="46">
                  <c:v>4193.24</c:v>
                </c:pt>
                <c:pt idx="47">
                  <c:v>4900.29</c:v>
                </c:pt>
                <c:pt idx="48">
                  <c:v>4802.12</c:v>
                </c:pt>
                <c:pt idx="49">
                  <c:v>5502.55</c:v>
                </c:pt>
                <c:pt idx="50">
                  <c:v>4991.43</c:v>
                </c:pt>
                <c:pt idx="51">
                  <c:v>5226.55</c:v>
                </c:pt>
                <c:pt idx="52">
                  <c:v>5805.25</c:v>
                </c:pt>
                <c:pt idx="53">
                  <c:v>5310.79</c:v>
                </c:pt>
                <c:pt idx="54">
                  <c:v>4948.62</c:v>
                </c:pt>
                <c:pt idx="55">
                  <c:v>4702.2700000000004</c:v>
                </c:pt>
                <c:pt idx="56">
                  <c:v>5076.05</c:v>
                </c:pt>
                <c:pt idx="57">
                  <c:v>4597.87</c:v>
                </c:pt>
                <c:pt idx="58">
                  <c:v>3936.52</c:v>
                </c:pt>
                <c:pt idx="59">
                  <c:v>4818.8599999999997</c:v>
                </c:pt>
                <c:pt idx="60">
                  <c:v>4574.25</c:v>
                </c:pt>
                <c:pt idx="61">
                  <c:v>5535.09</c:v>
                </c:pt>
                <c:pt idx="62">
                  <c:v>5442.01</c:v>
                </c:pt>
                <c:pt idx="63">
                  <c:v>5365.97</c:v>
                </c:pt>
                <c:pt idx="64">
                  <c:v>5947.22</c:v>
                </c:pt>
                <c:pt idx="65">
                  <c:v>5135.9799999999996</c:v>
                </c:pt>
                <c:pt idx="66">
                  <c:v>5397.84</c:v>
                </c:pt>
                <c:pt idx="67">
                  <c:v>4808.5200000000004</c:v>
                </c:pt>
                <c:pt idx="68">
                  <c:v>4770.28</c:v>
                </c:pt>
                <c:pt idx="69">
                  <c:v>4593.75</c:v>
                </c:pt>
                <c:pt idx="70">
                  <c:v>3827.41</c:v>
                </c:pt>
                <c:pt idx="71">
                  <c:v>4817.8999999999996</c:v>
                </c:pt>
                <c:pt idx="72">
                  <c:v>4824.92</c:v>
                </c:pt>
                <c:pt idx="73">
                  <c:v>5632.88</c:v>
                </c:pt>
                <c:pt idx="74">
                  <c:v>5064.37</c:v>
                </c:pt>
                <c:pt idx="75">
                  <c:v>5485.96</c:v>
                </c:pt>
                <c:pt idx="76">
                  <c:v>5456.73</c:v>
                </c:pt>
                <c:pt idx="77">
                  <c:v>4753.95</c:v>
                </c:pt>
                <c:pt idx="78">
                  <c:v>5340.29</c:v>
                </c:pt>
                <c:pt idx="79">
                  <c:v>4995.25</c:v>
                </c:pt>
                <c:pt idx="80">
                  <c:v>4635.78</c:v>
                </c:pt>
                <c:pt idx="81">
                  <c:v>4784.4399999999996</c:v>
                </c:pt>
                <c:pt idx="82">
                  <c:v>3914.93</c:v>
                </c:pt>
                <c:pt idx="83">
                  <c:v>4000</c:v>
                </c:pt>
              </c:numCache>
            </c:numRef>
          </c:val>
          <c:smooth val="0"/>
        </c:ser>
        <c:ser>
          <c:idx val="4"/>
          <c:order val="1"/>
          <c:tx>
            <c:strRef>
              <c:f>月間量回帰式!$F$3:$F$4</c:f>
              <c:strCache>
                <c:ptCount val="1"/>
                <c:pt idx="0">
                  <c:v>宮城東部 180(90tx2炉〉</c:v>
                </c:pt>
              </c:strCache>
            </c:strRef>
          </c:tx>
          <c:spPr>
            <a:ln w="0">
              <a:solidFill>
                <a:srgbClr val="FF00FF"/>
              </a:solidFill>
              <a:prstDash val="solid"/>
            </a:ln>
          </c:spPr>
          <c:marker>
            <c:symbol val="x"/>
            <c:size val="3"/>
            <c:spPr>
              <a:noFill/>
              <a:ln>
                <a:solidFill>
                  <a:srgbClr val="FF00FF"/>
                </a:solidFill>
              </a:ln>
            </c:spPr>
          </c:marker>
          <c:cat>
            <c:numRef>
              <c:f>月間量回帰式!$Z$20:$Z$103</c:f>
              <c:numCache>
                <c:formatCode>[$-411]ge\.m</c:formatCode>
                <c:ptCount val="84"/>
                <c:pt idx="0">
                  <c:v>41000</c:v>
                </c:pt>
                <c:pt idx="1">
                  <c:v>41030</c:v>
                </c:pt>
                <c:pt idx="2">
                  <c:v>41061</c:v>
                </c:pt>
                <c:pt idx="3">
                  <c:v>41091</c:v>
                </c:pt>
                <c:pt idx="4">
                  <c:v>41122</c:v>
                </c:pt>
                <c:pt idx="5">
                  <c:v>41153</c:v>
                </c:pt>
                <c:pt idx="6">
                  <c:v>41183</c:v>
                </c:pt>
                <c:pt idx="7">
                  <c:v>41214</c:v>
                </c:pt>
                <c:pt idx="8">
                  <c:v>41244</c:v>
                </c:pt>
                <c:pt idx="9">
                  <c:v>41275</c:v>
                </c:pt>
                <c:pt idx="10">
                  <c:v>41306</c:v>
                </c:pt>
                <c:pt idx="11">
                  <c:v>41334</c:v>
                </c:pt>
                <c:pt idx="12">
                  <c:v>41365</c:v>
                </c:pt>
                <c:pt idx="13">
                  <c:v>41395</c:v>
                </c:pt>
                <c:pt idx="14">
                  <c:v>41426</c:v>
                </c:pt>
                <c:pt idx="15">
                  <c:v>41456</c:v>
                </c:pt>
                <c:pt idx="16">
                  <c:v>41487</c:v>
                </c:pt>
                <c:pt idx="17">
                  <c:v>41518</c:v>
                </c:pt>
                <c:pt idx="18">
                  <c:v>41548</c:v>
                </c:pt>
                <c:pt idx="19">
                  <c:v>41579</c:v>
                </c:pt>
                <c:pt idx="20">
                  <c:v>41609</c:v>
                </c:pt>
                <c:pt idx="21">
                  <c:v>41640</c:v>
                </c:pt>
                <c:pt idx="22">
                  <c:v>41671</c:v>
                </c:pt>
                <c:pt idx="23">
                  <c:v>41699</c:v>
                </c:pt>
                <c:pt idx="24">
                  <c:v>41730</c:v>
                </c:pt>
                <c:pt idx="25">
                  <c:v>41760</c:v>
                </c:pt>
                <c:pt idx="26">
                  <c:v>41791</c:v>
                </c:pt>
                <c:pt idx="27">
                  <c:v>41821</c:v>
                </c:pt>
                <c:pt idx="28">
                  <c:v>41852</c:v>
                </c:pt>
                <c:pt idx="29">
                  <c:v>41883</c:v>
                </c:pt>
                <c:pt idx="30">
                  <c:v>41913</c:v>
                </c:pt>
                <c:pt idx="31">
                  <c:v>41944</c:v>
                </c:pt>
                <c:pt idx="32">
                  <c:v>41974</c:v>
                </c:pt>
                <c:pt idx="33">
                  <c:v>42005</c:v>
                </c:pt>
                <c:pt idx="34">
                  <c:v>42036</c:v>
                </c:pt>
                <c:pt idx="35">
                  <c:v>42064</c:v>
                </c:pt>
                <c:pt idx="36">
                  <c:v>42095</c:v>
                </c:pt>
                <c:pt idx="37">
                  <c:v>42125</c:v>
                </c:pt>
                <c:pt idx="38">
                  <c:v>42156</c:v>
                </c:pt>
                <c:pt idx="39">
                  <c:v>42186</c:v>
                </c:pt>
                <c:pt idx="40">
                  <c:v>42217</c:v>
                </c:pt>
                <c:pt idx="41">
                  <c:v>42248</c:v>
                </c:pt>
                <c:pt idx="42">
                  <c:v>42278</c:v>
                </c:pt>
                <c:pt idx="43">
                  <c:v>42309</c:v>
                </c:pt>
                <c:pt idx="44">
                  <c:v>42339</c:v>
                </c:pt>
                <c:pt idx="45">
                  <c:v>42370</c:v>
                </c:pt>
                <c:pt idx="46">
                  <c:v>42401</c:v>
                </c:pt>
                <c:pt idx="47">
                  <c:v>42430</c:v>
                </c:pt>
                <c:pt idx="48">
                  <c:v>42461</c:v>
                </c:pt>
                <c:pt idx="49">
                  <c:v>42491</c:v>
                </c:pt>
                <c:pt idx="50">
                  <c:v>42522</c:v>
                </c:pt>
                <c:pt idx="51">
                  <c:v>42552</c:v>
                </c:pt>
                <c:pt idx="52">
                  <c:v>42583</c:v>
                </c:pt>
                <c:pt idx="53">
                  <c:v>42614</c:v>
                </c:pt>
                <c:pt idx="54">
                  <c:v>42644</c:v>
                </c:pt>
                <c:pt idx="55">
                  <c:v>42675</c:v>
                </c:pt>
                <c:pt idx="56">
                  <c:v>42705</c:v>
                </c:pt>
                <c:pt idx="57">
                  <c:v>42736</c:v>
                </c:pt>
                <c:pt idx="58">
                  <c:v>42767</c:v>
                </c:pt>
                <c:pt idx="59">
                  <c:v>42795</c:v>
                </c:pt>
                <c:pt idx="60">
                  <c:v>42826</c:v>
                </c:pt>
                <c:pt idx="61">
                  <c:v>42856</c:v>
                </c:pt>
                <c:pt idx="62">
                  <c:v>42887</c:v>
                </c:pt>
                <c:pt idx="63">
                  <c:v>42917</c:v>
                </c:pt>
                <c:pt idx="64">
                  <c:v>42948</c:v>
                </c:pt>
                <c:pt idx="65">
                  <c:v>42979</c:v>
                </c:pt>
                <c:pt idx="66">
                  <c:v>43009</c:v>
                </c:pt>
                <c:pt idx="67">
                  <c:v>43040</c:v>
                </c:pt>
                <c:pt idx="68">
                  <c:v>43070</c:v>
                </c:pt>
                <c:pt idx="69">
                  <c:v>43101</c:v>
                </c:pt>
                <c:pt idx="70">
                  <c:v>43132</c:v>
                </c:pt>
                <c:pt idx="71">
                  <c:v>43160</c:v>
                </c:pt>
                <c:pt idx="72">
                  <c:v>43191</c:v>
                </c:pt>
                <c:pt idx="73">
                  <c:v>43221</c:v>
                </c:pt>
                <c:pt idx="74">
                  <c:v>43252</c:v>
                </c:pt>
                <c:pt idx="75">
                  <c:v>43282</c:v>
                </c:pt>
                <c:pt idx="76">
                  <c:v>43313</c:v>
                </c:pt>
                <c:pt idx="77">
                  <c:v>43344</c:v>
                </c:pt>
                <c:pt idx="78">
                  <c:v>43374</c:v>
                </c:pt>
                <c:pt idx="79">
                  <c:v>43405</c:v>
                </c:pt>
                <c:pt idx="80">
                  <c:v>43435</c:v>
                </c:pt>
                <c:pt idx="81">
                  <c:v>43466</c:v>
                </c:pt>
                <c:pt idx="82">
                  <c:v>43497</c:v>
                </c:pt>
                <c:pt idx="83">
                  <c:v>43525</c:v>
                </c:pt>
              </c:numCache>
            </c:numRef>
          </c:cat>
          <c:val>
            <c:numRef>
              <c:f>月間量回帰式!$F$20:$F$103</c:f>
              <c:numCache>
                <c:formatCode>0</c:formatCode>
                <c:ptCount val="84"/>
                <c:pt idx="0">
                  <c:v>3453.58</c:v>
                </c:pt>
                <c:pt idx="1">
                  <c:v>3056.66</c:v>
                </c:pt>
                <c:pt idx="2">
                  <c:v>3703.76</c:v>
                </c:pt>
                <c:pt idx="3">
                  <c:v>3890.44</c:v>
                </c:pt>
                <c:pt idx="4">
                  <c:v>4693.46</c:v>
                </c:pt>
                <c:pt idx="5">
                  <c:v>4639.37</c:v>
                </c:pt>
                <c:pt idx="6">
                  <c:v>4819.8100000000004</c:v>
                </c:pt>
                <c:pt idx="7">
                  <c:v>4550.29</c:v>
                </c:pt>
                <c:pt idx="8">
                  <c:v>4161.66</c:v>
                </c:pt>
                <c:pt idx="9">
                  <c:v>3121.59</c:v>
                </c:pt>
                <c:pt idx="10">
                  <c:v>2658.44</c:v>
                </c:pt>
                <c:pt idx="11">
                  <c:v>3137.77</c:v>
                </c:pt>
                <c:pt idx="12">
                  <c:v>3274.12</c:v>
                </c:pt>
                <c:pt idx="13">
                  <c:v>3669.2</c:v>
                </c:pt>
                <c:pt idx="14">
                  <c:v>3632.79</c:v>
                </c:pt>
                <c:pt idx="15">
                  <c:v>4241.7700000000004</c:v>
                </c:pt>
                <c:pt idx="16">
                  <c:v>4204.96</c:v>
                </c:pt>
                <c:pt idx="17">
                  <c:v>3639.07</c:v>
                </c:pt>
                <c:pt idx="18">
                  <c:v>3922.53</c:v>
                </c:pt>
                <c:pt idx="19">
                  <c:v>3376.88</c:v>
                </c:pt>
                <c:pt idx="20">
                  <c:v>3260.82</c:v>
                </c:pt>
                <c:pt idx="21">
                  <c:v>3094.86</c:v>
                </c:pt>
                <c:pt idx="22">
                  <c:v>2416.7399999999998</c:v>
                </c:pt>
                <c:pt idx="23">
                  <c:v>3025.7</c:v>
                </c:pt>
                <c:pt idx="24">
                  <c:v>3232.15</c:v>
                </c:pt>
                <c:pt idx="25">
                  <c:v>3633.7</c:v>
                </c:pt>
                <c:pt idx="26">
                  <c:v>3717.2</c:v>
                </c:pt>
                <c:pt idx="27">
                  <c:v>3963.2</c:v>
                </c:pt>
                <c:pt idx="28">
                  <c:v>3892.13</c:v>
                </c:pt>
                <c:pt idx="29">
                  <c:v>3780.22</c:v>
                </c:pt>
                <c:pt idx="30">
                  <c:v>3844.77</c:v>
                </c:pt>
                <c:pt idx="31">
                  <c:v>3193.13</c:v>
                </c:pt>
                <c:pt idx="32">
                  <c:v>3325.02</c:v>
                </c:pt>
                <c:pt idx="33">
                  <c:v>3093.86</c:v>
                </c:pt>
                <c:pt idx="34">
                  <c:v>2539.4899999999998</c:v>
                </c:pt>
                <c:pt idx="35">
                  <c:v>3137.62</c:v>
                </c:pt>
                <c:pt idx="36">
                  <c:v>3213.16</c:v>
                </c:pt>
                <c:pt idx="37">
                  <c:v>3508.9</c:v>
                </c:pt>
                <c:pt idx="38">
                  <c:v>3648.39</c:v>
                </c:pt>
                <c:pt idx="39">
                  <c:v>3828.38</c:v>
                </c:pt>
                <c:pt idx="40">
                  <c:v>3788.74</c:v>
                </c:pt>
                <c:pt idx="41">
                  <c:v>3700.23</c:v>
                </c:pt>
                <c:pt idx="42">
                  <c:v>3571.69</c:v>
                </c:pt>
                <c:pt idx="43">
                  <c:v>3233.36</c:v>
                </c:pt>
                <c:pt idx="44">
                  <c:v>3359.44</c:v>
                </c:pt>
                <c:pt idx="45">
                  <c:v>2915.17</c:v>
                </c:pt>
                <c:pt idx="46">
                  <c:v>2728.16</c:v>
                </c:pt>
                <c:pt idx="47">
                  <c:v>3122.56</c:v>
                </c:pt>
                <c:pt idx="48">
                  <c:v>3162.5</c:v>
                </c:pt>
                <c:pt idx="49">
                  <c:v>3654.06</c:v>
                </c:pt>
                <c:pt idx="50">
                  <c:v>3658.47</c:v>
                </c:pt>
                <c:pt idx="51">
                  <c:v>3848.64</c:v>
                </c:pt>
                <c:pt idx="52">
                  <c:v>3988.3</c:v>
                </c:pt>
                <c:pt idx="53">
                  <c:v>3674.49</c:v>
                </c:pt>
                <c:pt idx="54">
                  <c:v>3668.54</c:v>
                </c:pt>
                <c:pt idx="55">
                  <c:v>3240.38</c:v>
                </c:pt>
                <c:pt idx="56">
                  <c:v>3200.46</c:v>
                </c:pt>
                <c:pt idx="57">
                  <c:v>2885.05</c:v>
                </c:pt>
                <c:pt idx="58">
                  <c:v>2475.5</c:v>
                </c:pt>
                <c:pt idx="59">
                  <c:v>2975.21</c:v>
                </c:pt>
                <c:pt idx="60">
                  <c:v>2943.86</c:v>
                </c:pt>
                <c:pt idx="61">
                  <c:v>3705.96</c:v>
                </c:pt>
                <c:pt idx="62">
                  <c:v>3770.52</c:v>
                </c:pt>
                <c:pt idx="63">
                  <c:v>3885.4</c:v>
                </c:pt>
                <c:pt idx="64">
                  <c:v>4267.82</c:v>
                </c:pt>
                <c:pt idx="65">
                  <c:v>3661.59</c:v>
                </c:pt>
                <c:pt idx="66">
                  <c:v>3700.68</c:v>
                </c:pt>
                <c:pt idx="67">
                  <c:v>3337.72</c:v>
                </c:pt>
                <c:pt idx="68">
                  <c:v>3094.41</c:v>
                </c:pt>
                <c:pt idx="69">
                  <c:v>2901.53</c:v>
                </c:pt>
                <c:pt idx="70">
                  <c:v>2403.42</c:v>
                </c:pt>
                <c:pt idx="71">
                  <c:v>3074.8</c:v>
                </c:pt>
                <c:pt idx="72">
                  <c:v>2997.38</c:v>
                </c:pt>
                <c:pt idx="73">
                  <c:v>3801.51</c:v>
                </c:pt>
                <c:pt idx="74">
                  <c:v>3646.96</c:v>
                </c:pt>
                <c:pt idx="75">
                  <c:v>3865.93</c:v>
                </c:pt>
                <c:pt idx="76">
                  <c:v>3797.17</c:v>
                </c:pt>
                <c:pt idx="77">
                  <c:v>3534.99</c:v>
                </c:pt>
                <c:pt idx="78">
                  <c:v>3963.28</c:v>
                </c:pt>
                <c:pt idx="79">
                  <c:v>3357.65</c:v>
                </c:pt>
                <c:pt idx="80">
                  <c:v>3025.6</c:v>
                </c:pt>
                <c:pt idx="81">
                  <c:v>2986.16</c:v>
                </c:pt>
                <c:pt idx="82">
                  <c:v>2479.9899999999998</c:v>
                </c:pt>
                <c:pt idx="83">
                  <c:v>2988.55</c:v>
                </c:pt>
              </c:numCache>
            </c:numRef>
          </c:val>
          <c:smooth val="0"/>
        </c:ser>
        <c:ser>
          <c:idx val="1"/>
          <c:order val="2"/>
          <c:tx>
            <c:strRef>
              <c:f>月間量回帰式!$J$18:$J$19</c:f>
              <c:strCache>
                <c:ptCount val="1"/>
                <c:pt idx="0">
                  <c:v>仙台市合計</c:v>
                </c:pt>
              </c:strCache>
            </c:strRef>
          </c:tx>
          <c:spPr>
            <a:ln w="0">
              <a:solidFill>
                <a:srgbClr val="C00000"/>
              </a:solidFill>
            </a:ln>
          </c:spPr>
          <c:marker>
            <c:symbol val="square"/>
            <c:size val="4"/>
            <c:spPr>
              <a:solidFill>
                <a:srgbClr val="C00000"/>
              </a:solidFill>
              <a:ln w="0">
                <a:solidFill>
                  <a:srgbClr val="C00000"/>
                </a:solidFill>
              </a:ln>
            </c:spPr>
          </c:marker>
          <c:cat>
            <c:numRef>
              <c:f>月間量回帰式!$Z$20:$Z$103</c:f>
              <c:numCache>
                <c:formatCode>[$-411]ge\.m</c:formatCode>
                <c:ptCount val="84"/>
                <c:pt idx="0">
                  <c:v>41000</c:v>
                </c:pt>
                <c:pt idx="1">
                  <c:v>41030</c:v>
                </c:pt>
                <c:pt idx="2">
                  <c:v>41061</c:v>
                </c:pt>
                <c:pt idx="3">
                  <c:v>41091</c:v>
                </c:pt>
                <c:pt idx="4">
                  <c:v>41122</c:v>
                </c:pt>
                <c:pt idx="5">
                  <c:v>41153</c:v>
                </c:pt>
                <c:pt idx="6">
                  <c:v>41183</c:v>
                </c:pt>
                <c:pt idx="7">
                  <c:v>41214</c:v>
                </c:pt>
                <c:pt idx="8">
                  <c:v>41244</c:v>
                </c:pt>
                <c:pt idx="9">
                  <c:v>41275</c:v>
                </c:pt>
                <c:pt idx="10">
                  <c:v>41306</c:v>
                </c:pt>
                <c:pt idx="11">
                  <c:v>41334</c:v>
                </c:pt>
                <c:pt idx="12">
                  <c:v>41365</c:v>
                </c:pt>
                <c:pt idx="13">
                  <c:v>41395</c:v>
                </c:pt>
                <c:pt idx="14">
                  <c:v>41426</c:v>
                </c:pt>
                <c:pt idx="15">
                  <c:v>41456</c:v>
                </c:pt>
                <c:pt idx="16">
                  <c:v>41487</c:v>
                </c:pt>
                <c:pt idx="17">
                  <c:v>41518</c:v>
                </c:pt>
                <c:pt idx="18">
                  <c:v>41548</c:v>
                </c:pt>
                <c:pt idx="19">
                  <c:v>41579</c:v>
                </c:pt>
                <c:pt idx="20">
                  <c:v>41609</c:v>
                </c:pt>
                <c:pt idx="21">
                  <c:v>41640</c:v>
                </c:pt>
                <c:pt idx="22">
                  <c:v>41671</c:v>
                </c:pt>
                <c:pt idx="23">
                  <c:v>41699</c:v>
                </c:pt>
                <c:pt idx="24">
                  <c:v>41730</c:v>
                </c:pt>
                <c:pt idx="25">
                  <c:v>41760</c:v>
                </c:pt>
                <c:pt idx="26">
                  <c:v>41791</c:v>
                </c:pt>
                <c:pt idx="27">
                  <c:v>41821</c:v>
                </c:pt>
                <c:pt idx="28">
                  <c:v>41852</c:v>
                </c:pt>
                <c:pt idx="29">
                  <c:v>41883</c:v>
                </c:pt>
                <c:pt idx="30">
                  <c:v>41913</c:v>
                </c:pt>
                <c:pt idx="31">
                  <c:v>41944</c:v>
                </c:pt>
                <c:pt idx="32">
                  <c:v>41974</c:v>
                </c:pt>
                <c:pt idx="33">
                  <c:v>42005</c:v>
                </c:pt>
                <c:pt idx="34">
                  <c:v>42036</c:v>
                </c:pt>
                <c:pt idx="35">
                  <c:v>42064</c:v>
                </c:pt>
                <c:pt idx="36">
                  <c:v>42095</c:v>
                </c:pt>
                <c:pt idx="37">
                  <c:v>42125</c:v>
                </c:pt>
                <c:pt idx="38">
                  <c:v>42156</c:v>
                </c:pt>
                <c:pt idx="39">
                  <c:v>42186</c:v>
                </c:pt>
                <c:pt idx="40">
                  <c:v>42217</c:v>
                </c:pt>
                <c:pt idx="41">
                  <c:v>42248</c:v>
                </c:pt>
                <c:pt idx="42">
                  <c:v>42278</c:v>
                </c:pt>
                <c:pt idx="43">
                  <c:v>42309</c:v>
                </c:pt>
                <c:pt idx="44">
                  <c:v>42339</c:v>
                </c:pt>
                <c:pt idx="45">
                  <c:v>42370</c:v>
                </c:pt>
                <c:pt idx="46">
                  <c:v>42401</c:v>
                </c:pt>
                <c:pt idx="47">
                  <c:v>42430</c:v>
                </c:pt>
                <c:pt idx="48">
                  <c:v>42461</c:v>
                </c:pt>
                <c:pt idx="49">
                  <c:v>42491</c:v>
                </c:pt>
                <c:pt idx="50">
                  <c:v>42522</c:v>
                </c:pt>
                <c:pt idx="51">
                  <c:v>42552</c:v>
                </c:pt>
                <c:pt idx="52">
                  <c:v>42583</c:v>
                </c:pt>
                <c:pt idx="53">
                  <c:v>42614</c:v>
                </c:pt>
                <c:pt idx="54">
                  <c:v>42644</c:v>
                </c:pt>
                <c:pt idx="55">
                  <c:v>42675</c:v>
                </c:pt>
                <c:pt idx="56">
                  <c:v>42705</c:v>
                </c:pt>
                <c:pt idx="57">
                  <c:v>42736</c:v>
                </c:pt>
                <c:pt idx="58">
                  <c:v>42767</c:v>
                </c:pt>
                <c:pt idx="59">
                  <c:v>42795</c:v>
                </c:pt>
                <c:pt idx="60">
                  <c:v>42826</c:v>
                </c:pt>
                <c:pt idx="61">
                  <c:v>42856</c:v>
                </c:pt>
                <c:pt idx="62">
                  <c:v>42887</c:v>
                </c:pt>
                <c:pt idx="63">
                  <c:v>42917</c:v>
                </c:pt>
                <c:pt idx="64">
                  <c:v>42948</c:v>
                </c:pt>
                <c:pt idx="65">
                  <c:v>42979</c:v>
                </c:pt>
                <c:pt idx="66">
                  <c:v>43009</c:v>
                </c:pt>
                <c:pt idx="67">
                  <c:v>43040</c:v>
                </c:pt>
                <c:pt idx="68">
                  <c:v>43070</c:v>
                </c:pt>
                <c:pt idx="69">
                  <c:v>43101</c:v>
                </c:pt>
                <c:pt idx="70">
                  <c:v>43132</c:v>
                </c:pt>
                <c:pt idx="71">
                  <c:v>43160</c:v>
                </c:pt>
                <c:pt idx="72">
                  <c:v>43191</c:v>
                </c:pt>
                <c:pt idx="73">
                  <c:v>43221</c:v>
                </c:pt>
                <c:pt idx="74">
                  <c:v>43252</c:v>
                </c:pt>
                <c:pt idx="75">
                  <c:v>43282</c:v>
                </c:pt>
                <c:pt idx="76">
                  <c:v>43313</c:v>
                </c:pt>
                <c:pt idx="77">
                  <c:v>43344</c:v>
                </c:pt>
                <c:pt idx="78">
                  <c:v>43374</c:v>
                </c:pt>
                <c:pt idx="79">
                  <c:v>43405</c:v>
                </c:pt>
                <c:pt idx="80">
                  <c:v>43435</c:v>
                </c:pt>
                <c:pt idx="81">
                  <c:v>43466</c:v>
                </c:pt>
                <c:pt idx="82">
                  <c:v>43497</c:v>
                </c:pt>
                <c:pt idx="83">
                  <c:v>43525</c:v>
                </c:pt>
              </c:numCache>
            </c:numRef>
          </c:cat>
          <c:val>
            <c:numRef>
              <c:f>月間量回帰式!$J$20:$J$103</c:f>
              <c:numCache>
                <c:formatCode>General</c:formatCode>
                <c:ptCount val="84"/>
                <c:pt idx="5" formatCode="0">
                  <c:v>28079</c:v>
                </c:pt>
                <c:pt idx="6" formatCode="0">
                  <c:v>32007</c:v>
                </c:pt>
                <c:pt idx="7" formatCode="0">
                  <c:v>27906</c:v>
                </c:pt>
                <c:pt idx="8" formatCode="0">
                  <c:v>27426</c:v>
                </c:pt>
                <c:pt idx="9" formatCode="0">
                  <c:v>25536</c:v>
                </c:pt>
                <c:pt idx="10" formatCode="0">
                  <c:v>21915</c:v>
                </c:pt>
                <c:pt idx="11" formatCode="0">
                  <c:v>27132</c:v>
                </c:pt>
                <c:pt idx="12" formatCode="0">
                  <c:v>29005.073669400437</c:v>
                </c:pt>
                <c:pt idx="13" formatCode="0">
                  <c:v>30572.972065646176</c:v>
                </c:pt>
                <c:pt idx="14" formatCode="0">
                  <c:v>29842.402585953572</c:v>
                </c:pt>
                <c:pt idx="15" formatCode="0">
                  <c:v>34019.627218408001</c:v>
                </c:pt>
                <c:pt idx="16" formatCode="0">
                  <c:v>32566.861548188321</c:v>
                </c:pt>
                <c:pt idx="17" formatCode="0">
                  <c:v>30173.147507992056</c:v>
                </c:pt>
                <c:pt idx="18" formatCode="0">
                  <c:v>31359.014586060432</c:v>
                </c:pt>
                <c:pt idx="19" formatCode="0">
                  <c:v>28464.99651822367</c:v>
                </c:pt>
                <c:pt idx="20" formatCode="0">
                  <c:v>29372.451731538127</c:v>
                </c:pt>
                <c:pt idx="21" formatCode="0">
                  <c:v>26973.504385613407</c:v>
                </c:pt>
                <c:pt idx="22" formatCode="0">
                  <c:v>22261.435907710664</c:v>
                </c:pt>
                <c:pt idx="23" formatCode="0">
                  <c:v>28005.512275265144</c:v>
                </c:pt>
                <c:pt idx="24" formatCode="0">
                  <c:v>29204.565838092043</c:v>
                </c:pt>
                <c:pt idx="25" formatCode="0">
                  <c:v>30105.61795191708</c:v>
                </c:pt>
                <c:pt idx="26" formatCode="0">
                  <c:v>29497.931642593216</c:v>
                </c:pt>
                <c:pt idx="27" formatCode="0">
                  <c:v>32669.425536254137</c:v>
                </c:pt>
                <c:pt idx="28" formatCode="0">
                  <c:v>31132.398267671193</c:v>
                </c:pt>
                <c:pt idx="29" formatCode="0">
                  <c:v>31292.701725130766</c:v>
                </c:pt>
                <c:pt idx="30" formatCode="0">
                  <c:v>30638.915075099576</c:v>
                </c:pt>
                <c:pt idx="31" formatCode="0">
                  <c:v>27477.898531599407</c:v>
                </c:pt>
                <c:pt idx="32" formatCode="0">
                  <c:v>30038.562910888239</c:v>
                </c:pt>
                <c:pt idx="33" formatCode="0">
                  <c:v>26110.604335620708</c:v>
                </c:pt>
                <c:pt idx="34" formatCode="0">
                  <c:v>22643.649167426462</c:v>
                </c:pt>
                <c:pt idx="35" formatCode="0">
                  <c:v>28527.729017707181</c:v>
                </c:pt>
                <c:pt idx="36" formatCode="0">
                  <c:v>28392.12467885841</c:v>
                </c:pt>
                <c:pt idx="37" formatCode="0">
                  <c:v>28901.071735288224</c:v>
                </c:pt>
                <c:pt idx="38" formatCode="0">
                  <c:v>29590.139972182911</c:v>
                </c:pt>
                <c:pt idx="39" formatCode="0">
                  <c:v>31701.327761817705</c:v>
                </c:pt>
                <c:pt idx="40" formatCode="0">
                  <c:v>30488.651442176291</c:v>
                </c:pt>
                <c:pt idx="41" formatCode="0">
                  <c:v>30795.485778665876</c:v>
                </c:pt>
                <c:pt idx="42" formatCode="0">
                  <c:v>29538.826380073733</c:v>
                </c:pt>
                <c:pt idx="43" formatCode="0">
                  <c:v>27977.427077322998</c:v>
                </c:pt>
                <c:pt idx="44" formatCode="0">
                  <c:v>30357.749421489611</c:v>
                </c:pt>
                <c:pt idx="45" formatCode="0">
                  <c:v>24933.169684233537</c:v>
                </c:pt>
                <c:pt idx="46" formatCode="0">
                  <c:v>23775.995821363278</c:v>
                </c:pt>
                <c:pt idx="47" formatCode="0">
                  <c:v>28390.030246527422</c:v>
                </c:pt>
                <c:pt idx="48" formatCode="0">
                  <c:v>27232.268472520966</c:v>
                </c:pt>
                <c:pt idx="49" formatCode="0">
                  <c:v>30036.962507249089</c:v>
                </c:pt>
                <c:pt idx="50" formatCode="0">
                  <c:v>29714.029511848621</c:v>
                </c:pt>
                <c:pt idx="51" formatCode="0">
                  <c:v>30565.398317904408</c:v>
                </c:pt>
                <c:pt idx="52" formatCode="0">
                  <c:v>32046.905858491638</c:v>
                </c:pt>
                <c:pt idx="53" formatCode="0">
                  <c:v>30283.356188804646</c:v>
                </c:pt>
                <c:pt idx="54" formatCode="0">
                  <c:v>29457.150992780062</c:v>
                </c:pt>
                <c:pt idx="55" formatCode="0">
                  <c:v>27966.207098431129</c:v>
                </c:pt>
                <c:pt idx="56" formatCode="0">
                  <c:v>28756.763846911505</c:v>
                </c:pt>
                <c:pt idx="57" formatCode="0">
                  <c:v>25351.288622688349</c:v>
                </c:pt>
                <c:pt idx="58" formatCode="0">
                  <c:v>22734.273179442964</c:v>
                </c:pt>
                <c:pt idx="59" formatCode="0">
                  <c:v>27559.395402926639</c:v>
                </c:pt>
                <c:pt idx="60" formatCode="0">
                  <c:v>24343.564904198178</c:v>
                </c:pt>
                <c:pt idx="61" formatCode="0">
                  <c:v>30036.392021804797</c:v>
                </c:pt>
                <c:pt idx="62" formatCode="0">
                  <c:v>30042.732713638659</c:v>
                </c:pt>
                <c:pt idx="63" formatCode="0">
                  <c:v>30298.388109838859</c:v>
                </c:pt>
                <c:pt idx="64" formatCode="0">
                  <c:v>33425.35768207298</c:v>
                </c:pt>
                <c:pt idx="65" formatCode="0">
                  <c:v>28768.889979311483</c:v>
                </c:pt>
                <c:pt idx="66" formatCode="0">
                  <c:v>29640.732477039666</c:v>
                </c:pt>
                <c:pt idx="67" formatCode="0">
                  <c:v>26570.191650296685</c:v>
                </c:pt>
                <c:pt idx="68" formatCode="0">
                  <c:v>25485.126915564779</c:v>
                </c:pt>
                <c:pt idx="69" formatCode="0">
                  <c:v>24226.127115466632</c:v>
                </c:pt>
                <c:pt idx="70" formatCode="0">
                  <c:v>20127.953613739417</c:v>
                </c:pt>
                <c:pt idx="71" formatCode="0">
                  <c:v>25535.973950164182</c:v>
                </c:pt>
                <c:pt idx="72" formatCode="0">
                  <c:v>29059</c:v>
                </c:pt>
                <c:pt idx="73" formatCode="0">
                  <c:v>26089</c:v>
                </c:pt>
                <c:pt idx="74" formatCode="0">
                  <c:v>23505</c:v>
                </c:pt>
                <c:pt idx="75" formatCode="0">
                  <c:v>23312</c:v>
                </c:pt>
                <c:pt idx="76" formatCode="0">
                  <c:v>30577</c:v>
                </c:pt>
                <c:pt idx="77" formatCode="0">
                  <c:v>34448</c:v>
                </c:pt>
                <c:pt idx="78" formatCode="0">
                  <c:v>22363</c:v>
                </c:pt>
                <c:pt idx="79" formatCode="0">
                  <c:v>26575</c:v>
                </c:pt>
                <c:pt idx="80" formatCode="0">
                  <c:v>26775</c:v>
                </c:pt>
                <c:pt idx="81" formatCode="0">
                  <c:v>22498</c:v>
                </c:pt>
                <c:pt idx="82" formatCode="0">
                  <c:v>26586</c:v>
                </c:pt>
                <c:pt idx="83" formatCode="0">
                  <c:v>30804</c:v>
                </c:pt>
              </c:numCache>
            </c:numRef>
          </c:val>
          <c:smooth val="0"/>
        </c:ser>
        <c:dLbls>
          <c:showLegendKey val="0"/>
          <c:showVal val="0"/>
          <c:showCatName val="0"/>
          <c:showSerName val="0"/>
          <c:showPercent val="0"/>
          <c:showBubbleSize val="0"/>
        </c:dLbls>
        <c:marker val="1"/>
        <c:smooth val="0"/>
        <c:axId val="136574080"/>
        <c:axId val="136593408"/>
      </c:lineChart>
      <c:catAx>
        <c:axId val="136574080"/>
        <c:scaling>
          <c:orientation val="minMax"/>
        </c:scaling>
        <c:delete val="0"/>
        <c:axPos val="b"/>
        <c:majorGridlines>
          <c:spPr>
            <a:ln w="3175">
              <a:pattFill prst="pct50">
                <a:fgClr>
                  <a:srgbClr val="000000"/>
                </a:fgClr>
                <a:bgClr>
                  <a:srgbClr val="FFFFFF"/>
                </a:bgClr>
              </a:pattFill>
              <a:prstDash val="solid"/>
            </a:ln>
          </c:spPr>
        </c:majorGridlines>
        <c:numFmt formatCode="ge\.m" sourceLinked="0"/>
        <c:majorTickMark val="in"/>
        <c:minorTickMark val="none"/>
        <c:tickLblPos val="nextTo"/>
        <c:spPr>
          <a:ln w="3175">
            <a:solidFill>
              <a:srgbClr val="000000"/>
            </a:solidFill>
            <a:prstDash val="solid"/>
          </a:ln>
        </c:spPr>
        <c:txPr>
          <a:bodyPr rot="-5400000" vert="horz"/>
          <a:lstStyle/>
          <a:p>
            <a:pPr>
              <a:defRPr sz="800" b="0" i="0" u="none" strike="noStrike" baseline="0">
                <a:solidFill>
                  <a:srgbClr val="000000"/>
                </a:solidFill>
                <a:latin typeface="Meiryo UI"/>
                <a:ea typeface="Meiryo UI"/>
                <a:cs typeface="Meiryo UI"/>
              </a:defRPr>
            </a:pPr>
            <a:endParaRPr lang="ja-JP"/>
          </a:p>
        </c:txPr>
        <c:crossAx val="136593408"/>
        <c:crosses val="autoZero"/>
        <c:auto val="0"/>
        <c:lblAlgn val="ctr"/>
        <c:lblOffset val="0"/>
        <c:tickLblSkip val="6"/>
        <c:tickMarkSkip val="6"/>
        <c:noMultiLvlLbl val="0"/>
      </c:catAx>
      <c:valAx>
        <c:axId val="136593408"/>
        <c:scaling>
          <c:orientation val="minMax"/>
        </c:scaling>
        <c:delete val="0"/>
        <c:axPos val="l"/>
        <c:majorGridlines>
          <c:spPr>
            <a:ln w="3175">
              <a:pattFill prst="pct50">
                <a:fgClr>
                  <a:srgbClr val="000000"/>
                </a:fgClr>
                <a:bgClr>
                  <a:srgbClr val="FFFFFF"/>
                </a:bgClr>
              </a:pattFill>
              <a:prstDash val="solid"/>
            </a:ln>
          </c:spPr>
        </c:majorGridlines>
        <c:numFmt formatCode="General" sourceLinked="0"/>
        <c:majorTickMark val="in"/>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Meiryo UI"/>
                <a:ea typeface="Meiryo UI"/>
                <a:cs typeface="Meiryo UI"/>
              </a:defRPr>
            </a:pPr>
            <a:endParaRPr lang="ja-JP"/>
          </a:p>
        </c:txPr>
        <c:crossAx val="136574080"/>
        <c:crosses val="autoZero"/>
        <c:crossBetween val="between"/>
      </c:valAx>
      <c:spPr>
        <a:noFill/>
        <a:ln w="12700">
          <a:solidFill>
            <a:srgbClr val="808080"/>
          </a:solidFill>
          <a:prstDash val="solid"/>
        </a:ln>
      </c:spPr>
    </c:plotArea>
    <c:legend>
      <c:legendPos val="r"/>
      <c:layout>
        <c:manualLayout>
          <c:xMode val="edge"/>
          <c:yMode val="edge"/>
          <c:x val="0.23738943589467096"/>
          <c:y val="1.4121474252337099E-4"/>
          <c:w val="0.64666866535036738"/>
          <c:h val="0.13223461186503083"/>
        </c:manualLayout>
      </c:layout>
      <c:overlay val="0"/>
      <c:spPr>
        <a:noFill/>
        <a:ln w="25400">
          <a:noFill/>
        </a:ln>
      </c:spPr>
      <c:txPr>
        <a:bodyPr/>
        <a:lstStyle/>
        <a:p>
          <a:pPr>
            <a:defRPr sz="900" b="0" i="0" u="none" strike="noStrike" baseline="0">
              <a:solidFill>
                <a:srgbClr val="000000"/>
              </a:solidFill>
              <a:latin typeface="Meiryo UI"/>
              <a:ea typeface="Meiryo UI"/>
              <a:cs typeface="Meiryo UI"/>
            </a:defRPr>
          </a:pPr>
          <a:endParaRPr lang="ja-JP"/>
        </a:p>
      </c:txPr>
    </c:legend>
    <c:plotVisOnly val="1"/>
    <c:dispBlanksAs val="span"/>
    <c:showDLblsOverMax val="0"/>
  </c:chart>
  <c:spPr>
    <a:solidFill>
      <a:srgbClr val="FFFFFF"/>
    </a:solidFill>
    <a:ln w="3175">
      <a:solidFill>
        <a:srgbClr val="000000"/>
      </a:solidFill>
      <a:prstDash val="solid"/>
    </a:ln>
  </c:spPr>
  <c:txPr>
    <a:bodyPr/>
    <a:lstStyle/>
    <a:p>
      <a:pPr>
        <a:defRPr sz="475" b="0" i="0" u="none" strike="noStrike" baseline="0">
          <a:solidFill>
            <a:srgbClr val="000000"/>
          </a:solidFill>
          <a:latin typeface="Meiryo UI"/>
          <a:ea typeface="Meiryo UI"/>
          <a:cs typeface="Meiryo UI"/>
        </a:defRPr>
      </a:pPr>
      <a:endParaRPr lang="ja-JP"/>
    </a:p>
  </c:txPr>
  <c:printSettings>
    <c:headerFooter alignWithMargins="0"/>
    <c:pageMargins b="1" l="0.75" r="0.75" t="1" header="0.51200000000000001" footer="0.51200000000000001"/>
    <c:pageSetup paperSize="9" orientation="landscape" horizontalDpi="200" verticalDpi="200"/>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0.10171755573742668"/>
          <c:y val="3.6627296587926503E-2"/>
          <c:w val="0.85458439390452412"/>
          <c:h val="0.84993864403313213"/>
        </c:manualLayout>
      </c:layout>
      <c:lineChart>
        <c:grouping val="standard"/>
        <c:varyColors val="0"/>
        <c:ser>
          <c:idx val="1"/>
          <c:order val="0"/>
          <c:tx>
            <c:strRef>
              <c:f>濃度回帰式!$F$53</c:f>
              <c:strCache>
                <c:ptCount val="1"/>
                <c:pt idx="0">
                  <c:v>Cs-134</c:v>
                </c:pt>
              </c:strCache>
            </c:strRef>
          </c:tx>
          <c:spPr>
            <a:ln w="9525">
              <a:solidFill>
                <a:srgbClr val="009900"/>
              </a:solidFill>
            </a:ln>
          </c:spPr>
          <c:marker>
            <c:symbol val="triangle"/>
            <c:size val="6"/>
            <c:spPr>
              <a:solidFill>
                <a:srgbClr val="92D050"/>
              </a:solidFill>
              <a:ln>
                <a:solidFill>
                  <a:srgbClr val="009900"/>
                </a:solidFill>
              </a:ln>
            </c:spPr>
          </c:marker>
          <c:cat>
            <c:numRef>
              <c:f>濃度回帰式!$E$60:$E$150</c:f>
              <c:numCache>
                <c:formatCode>[$-411]m\.d\.ge</c:formatCode>
                <c:ptCount val="91"/>
                <c:pt idx="0">
                  <c:v>40614</c:v>
                </c:pt>
                <c:pt idx="1">
                  <c:v>40817</c:v>
                </c:pt>
                <c:pt idx="2">
                  <c:v>40848</c:v>
                </c:pt>
                <c:pt idx="3">
                  <c:v>40878</c:v>
                </c:pt>
                <c:pt idx="4">
                  <c:v>40909</c:v>
                </c:pt>
                <c:pt idx="5">
                  <c:v>40940</c:v>
                </c:pt>
                <c:pt idx="6">
                  <c:v>40969</c:v>
                </c:pt>
                <c:pt idx="7">
                  <c:v>41000</c:v>
                </c:pt>
                <c:pt idx="8">
                  <c:v>41030</c:v>
                </c:pt>
                <c:pt idx="9">
                  <c:v>41061</c:v>
                </c:pt>
                <c:pt idx="10">
                  <c:v>41091</c:v>
                </c:pt>
                <c:pt idx="11">
                  <c:v>41122</c:v>
                </c:pt>
                <c:pt idx="12">
                  <c:v>41153</c:v>
                </c:pt>
                <c:pt idx="13">
                  <c:v>41183</c:v>
                </c:pt>
                <c:pt idx="14">
                  <c:v>41214</c:v>
                </c:pt>
                <c:pt idx="15">
                  <c:v>41244</c:v>
                </c:pt>
                <c:pt idx="16">
                  <c:v>41275</c:v>
                </c:pt>
                <c:pt idx="17">
                  <c:v>41306</c:v>
                </c:pt>
                <c:pt idx="18">
                  <c:v>41334</c:v>
                </c:pt>
                <c:pt idx="19">
                  <c:v>41365</c:v>
                </c:pt>
                <c:pt idx="20">
                  <c:v>41395</c:v>
                </c:pt>
                <c:pt idx="21">
                  <c:v>41426</c:v>
                </c:pt>
                <c:pt idx="22">
                  <c:v>41456</c:v>
                </c:pt>
                <c:pt idx="23">
                  <c:v>41487</c:v>
                </c:pt>
                <c:pt idx="24">
                  <c:v>41518</c:v>
                </c:pt>
                <c:pt idx="25">
                  <c:v>41548</c:v>
                </c:pt>
                <c:pt idx="26">
                  <c:v>41579</c:v>
                </c:pt>
                <c:pt idx="27">
                  <c:v>41609</c:v>
                </c:pt>
                <c:pt idx="28">
                  <c:v>41640</c:v>
                </c:pt>
                <c:pt idx="29">
                  <c:v>41671</c:v>
                </c:pt>
                <c:pt idx="30">
                  <c:v>41699</c:v>
                </c:pt>
                <c:pt idx="31">
                  <c:v>41730</c:v>
                </c:pt>
                <c:pt idx="32">
                  <c:v>41760</c:v>
                </c:pt>
                <c:pt idx="33">
                  <c:v>41791</c:v>
                </c:pt>
                <c:pt idx="34">
                  <c:v>41821</c:v>
                </c:pt>
                <c:pt idx="35">
                  <c:v>41852</c:v>
                </c:pt>
                <c:pt idx="36">
                  <c:v>41883</c:v>
                </c:pt>
                <c:pt idx="37">
                  <c:v>41913</c:v>
                </c:pt>
                <c:pt idx="38">
                  <c:v>41944</c:v>
                </c:pt>
                <c:pt idx="39">
                  <c:v>41974</c:v>
                </c:pt>
                <c:pt idx="40">
                  <c:v>42005</c:v>
                </c:pt>
                <c:pt idx="41">
                  <c:v>42036</c:v>
                </c:pt>
                <c:pt idx="42">
                  <c:v>42064</c:v>
                </c:pt>
                <c:pt idx="43">
                  <c:v>42095</c:v>
                </c:pt>
                <c:pt idx="44">
                  <c:v>42125</c:v>
                </c:pt>
                <c:pt idx="45">
                  <c:v>42156</c:v>
                </c:pt>
                <c:pt idx="46">
                  <c:v>42186</c:v>
                </c:pt>
                <c:pt idx="47">
                  <c:v>42217</c:v>
                </c:pt>
                <c:pt idx="48">
                  <c:v>42248</c:v>
                </c:pt>
                <c:pt idx="49">
                  <c:v>42278</c:v>
                </c:pt>
                <c:pt idx="50">
                  <c:v>42309</c:v>
                </c:pt>
                <c:pt idx="51">
                  <c:v>42339</c:v>
                </c:pt>
                <c:pt idx="52">
                  <c:v>42370</c:v>
                </c:pt>
                <c:pt idx="53">
                  <c:v>42401</c:v>
                </c:pt>
                <c:pt idx="54">
                  <c:v>42430</c:v>
                </c:pt>
                <c:pt idx="55">
                  <c:v>42461</c:v>
                </c:pt>
                <c:pt idx="56">
                  <c:v>42491</c:v>
                </c:pt>
                <c:pt idx="57">
                  <c:v>42522</c:v>
                </c:pt>
                <c:pt idx="58">
                  <c:v>42552</c:v>
                </c:pt>
                <c:pt idx="59">
                  <c:v>42583</c:v>
                </c:pt>
                <c:pt idx="60">
                  <c:v>42614</c:v>
                </c:pt>
                <c:pt idx="61">
                  <c:v>42644</c:v>
                </c:pt>
                <c:pt idx="62">
                  <c:v>42675</c:v>
                </c:pt>
                <c:pt idx="63">
                  <c:v>42705</c:v>
                </c:pt>
                <c:pt idx="64">
                  <c:v>42736</c:v>
                </c:pt>
                <c:pt idx="65">
                  <c:v>42767</c:v>
                </c:pt>
                <c:pt idx="66">
                  <c:v>42795</c:v>
                </c:pt>
                <c:pt idx="67">
                  <c:v>42826</c:v>
                </c:pt>
                <c:pt idx="68">
                  <c:v>42856</c:v>
                </c:pt>
                <c:pt idx="69">
                  <c:v>42887</c:v>
                </c:pt>
                <c:pt idx="70">
                  <c:v>42917</c:v>
                </c:pt>
                <c:pt idx="71">
                  <c:v>42948</c:v>
                </c:pt>
                <c:pt idx="72">
                  <c:v>42979</c:v>
                </c:pt>
                <c:pt idx="73">
                  <c:v>43009</c:v>
                </c:pt>
                <c:pt idx="74">
                  <c:v>43040</c:v>
                </c:pt>
                <c:pt idx="75">
                  <c:v>43070</c:v>
                </c:pt>
                <c:pt idx="76">
                  <c:v>43101</c:v>
                </c:pt>
                <c:pt idx="77">
                  <c:v>43132</c:v>
                </c:pt>
                <c:pt idx="78">
                  <c:v>43160</c:v>
                </c:pt>
                <c:pt idx="79">
                  <c:v>43191</c:v>
                </c:pt>
                <c:pt idx="80">
                  <c:v>43221</c:v>
                </c:pt>
                <c:pt idx="81">
                  <c:v>43252</c:v>
                </c:pt>
                <c:pt idx="82">
                  <c:v>43282</c:v>
                </c:pt>
                <c:pt idx="83">
                  <c:v>43313</c:v>
                </c:pt>
                <c:pt idx="84">
                  <c:v>43344</c:v>
                </c:pt>
                <c:pt idx="85">
                  <c:v>43374</c:v>
                </c:pt>
                <c:pt idx="86">
                  <c:v>43405</c:v>
                </c:pt>
                <c:pt idx="87">
                  <c:v>43435</c:v>
                </c:pt>
                <c:pt idx="88">
                  <c:v>43466</c:v>
                </c:pt>
                <c:pt idx="89">
                  <c:v>43497</c:v>
                </c:pt>
                <c:pt idx="90">
                  <c:v>43525</c:v>
                </c:pt>
              </c:numCache>
            </c:numRef>
          </c:cat>
          <c:val>
            <c:numRef>
              <c:f>濃度回帰式!$F$60:$F$150</c:f>
              <c:numCache>
                <c:formatCode>General</c:formatCode>
                <c:ptCount val="91"/>
                <c:pt idx="7">
                  <c:v>340</c:v>
                </c:pt>
                <c:pt idx="8">
                  <c:v>550</c:v>
                </c:pt>
                <c:pt idx="9">
                  <c:v>550</c:v>
                </c:pt>
                <c:pt idx="10">
                  <c:v>460</c:v>
                </c:pt>
                <c:pt idx="11">
                  <c:v>390</c:v>
                </c:pt>
                <c:pt idx="12">
                  <c:v>300</c:v>
                </c:pt>
                <c:pt idx="13">
                  <c:v>260</c:v>
                </c:pt>
                <c:pt idx="14">
                  <c:v>250</c:v>
                </c:pt>
                <c:pt idx="15">
                  <c:v>180</c:v>
                </c:pt>
                <c:pt idx="16">
                  <c:v>160</c:v>
                </c:pt>
                <c:pt idx="17">
                  <c:v>98</c:v>
                </c:pt>
                <c:pt idx="18">
                  <c:v>160</c:v>
                </c:pt>
                <c:pt idx="19">
                  <c:v>220</c:v>
                </c:pt>
                <c:pt idx="20">
                  <c:v>250</c:v>
                </c:pt>
                <c:pt idx="21">
                  <c:v>260</c:v>
                </c:pt>
                <c:pt idx="22">
                  <c:v>200</c:v>
                </c:pt>
                <c:pt idx="23">
                  <c:v>190</c:v>
                </c:pt>
                <c:pt idx="24">
                  <c:v>150</c:v>
                </c:pt>
                <c:pt idx="25">
                  <c:v>130</c:v>
                </c:pt>
                <c:pt idx="26">
                  <c:v>120</c:v>
                </c:pt>
                <c:pt idx="27">
                  <c:v>110</c:v>
                </c:pt>
                <c:pt idx="28">
                  <c:v>76</c:v>
                </c:pt>
                <c:pt idx="29">
                  <c:v>46</c:v>
                </c:pt>
                <c:pt idx="30">
                  <c:v>49</c:v>
                </c:pt>
                <c:pt idx="31">
                  <c:v>74</c:v>
                </c:pt>
                <c:pt idx="32">
                  <c:v>120</c:v>
                </c:pt>
                <c:pt idx="33">
                  <c:v>110</c:v>
                </c:pt>
                <c:pt idx="34">
                  <c:v>91</c:v>
                </c:pt>
                <c:pt idx="35">
                  <c:v>74</c:v>
                </c:pt>
                <c:pt idx="36">
                  <c:v>72</c:v>
                </c:pt>
                <c:pt idx="37">
                  <c:v>63</c:v>
                </c:pt>
                <c:pt idx="38">
                  <c:v>60</c:v>
                </c:pt>
                <c:pt idx="39">
                  <c:v>60</c:v>
                </c:pt>
                <c:pt idx="40">
                  <c:v>33</c:v>
                </c:pt>
                <c:pt idx="41">
                  <c:v>20</c:v>
                </c:pt>
                <c:pt idx="42">
                  <c:v>26</c:v>
                </c:pt>
                <c:pt idx="43">
                  <c:v>47</c:v>
                </c:pt>
                <c:pt idx="44">
                  <c:v>67</c:v>
                </c:pt>
                <c:pt idx="45">
                  <c:v>58</c:v>
                </c:pt>
                <c:pt idx="46">
                  <c:v>56</c:v>
                </c:pt>
                <c:pt idx="47">
                  <c:v>39</c:v>
                </c:pt>
                <c:pt idx="48">
                  <c:v>35</c:v>
                </c:pt>
                <c:pt idx="49">
                  <c:v>34</c:v>
                </c:pt>
                <c:pt idx="50">
                  <c:v>39</c:v>
                </c:pt>
                <c:pt idx="51">
                  <c:v>33</c:v>
                </c:pt>
                <c:pt idx="52">
                  <c:v>23</c:v>
                </c:pt>
                <c:pt idx="53">
                  <c:v>24</c:v>
                </c:pt>
                <c:pt idx="54">
                  <c:v>17</c:v>
                </c:pt>
                <c:pt idx="55">
                  <c:v>22</c:v>
                </c:pt>
                <c:pt idx="56">
                  <c:v>33</c:v>
                </c:pt>
                <c:pt idx="57">
                  <c:v>42</c:v>
                </c:pt>
                <c:pt idx="58">
                  <c:v>33</c:v>
                </c:pt>
                <c:pt idx="59">
                  <c:v>24</c:v>
                </c:pt>
                <c:pt idx="60">
                  <c:v>19</c:v>
                </c:pt>
                <c:pt idx="61">
                  <c:v>21</c:v>
                </c:pt>
                <c:pt idx="62">
                  <c:v>21</c:v>
                </c:pt>
                <c:pt idx="63">
                  <c:v>18</c:v>
                </c:pt>
                <c:pt idx="64">
                  <c:v>15</c:v>
                </c:pt>
                <c:pt idx="65">
                  <c:v>11</c:v>
                </c:pt>
                <c:pt idx="66">
                  <c:v>12</c:v>
                </c:pt>
                <c:pt idx="67">
                  <c:v>17</c:v>
                </c:pt>
                <c:pt idx="68">
                  <c:v>25</c:v>
                </c:pt>
                <c:pt idx="69">
                  <c:v>22</c:v>
                </c:pt>
                <c:pt idx="70">
                  <c:v>20</c:v>
                </c:pt>
                <c:pt idx="71">
                  <c:v>14</c:v>
                </c:pt>
                <c:pt idx="72">
                  <c:v>15</c:v>
                </c:pt>
                <c:pt idx="73">
                  <c:v>15</c:v>
                </c:pt>
                <c:pt idx="74">
                  <c:v>14</c:v>
                </c:pt>
                <c:pt idx="75">
                  <c:v>13</c:v>
                </c:pt>
                <c:pt idx="76">
                  <c:v>11</c:v>
                </c:pt>
                <c:pt idx="77">
                  <c:v>5.5</c:v>
                </c:pt>
                <c:pt idx="78" formatCode="0.0">
                  <c:v>5.383998161135243</c:v>
                </c:pt>
                <c:pt idx="79">
                  <c:v>11</c:v>
                </c:pt>
                <c:pt idx="80">
                  <c:v>14</c:v>
                </c:pt>
                <c:pt idx="81">
                  <c:v>16</c:v>
                </c:pt>
                <c:pt idx="82">
                  <c:v>12</c:v>
                </c:pt>
                <c:pt idx="83">
                  <c:v>10</c:v>
                </c:pt>
                <c:pt idx="84">
                  <c:v>10</c:v>
                </c:pt>
                <c:pt idx="85">
                  <c:v>10</c:v>
                </c:pt>
                <c:pt idx="86" formatCode="0.0">
                  <c:v>4.2971331004994537</c:v>
                </c:pt>
                <c:pt idx="87">
                  <c:v>20</c:v>
                </c:pt>
                <c:pt idx="88">
                  <c:v>20</c:v>
                </c:pt>
                <c:pt idx="89">
                  <c:v>20</c:v>
                </c:pt>
                <c:pt idx="90">
                  <c:v>10</c:v>
                </c:pt>
              </c:numCache>
            </c:numRef>
          </c:val>
          <c:smooth val="0"/>
        </c:ser>
        <c:ser>
          <c:idx val="0"/>
          <c:order val="1"/>
          <c:tx>
            <c:strRef>
              <c:f>濃度回帰式!$O$53</c:f>
              <c:strCache>
                <c:ptCount val="1"/>
                <c:pt idx="0">
                  <c:v>回帰式_Cs-134</c:v>
                </c:pt>
              </c:strCache>
            </c:strRef>
          </c:tx>
          <c:spPr>
            <a:ln w="25400">
              <a:solidFill>
                <a:srgbClr val="C00000"/>
              </a:solidFill>
              <a:prstDash val="sysDash"/>
            </a:ln>
          </c:spPr>
          <c:marker>
            <c:symbol val="none"/>
          </c:marker>
          <c:cat>
            <c:numRef>
              <c:f>濃度回帰式!$E$60:$E$150</c:f>
              <c:numCache>
                <c:formatCode>[$-411]m\.d\.ge</c:formatCode>
                <c:ptCount val="91"/>
                <c:pt idx="0">
                  <c:v>40614</c:v>
                </c:pt>
                <c:pt idx="1">
                  <c:v>40817</c:v>
                </c:pt>
                <c:pt idx="2">
                  <c:v>40848</c:v>
                </c:pt>
                <c:pt idx="3">
                  <c:v>40878</c:v>
                </c:pt>
                <c:pt idx="4">
                  <c:v>40909</c:v>
                </c:pt>
                <c:pt idx="5">
                  <c:v>40940</c:v>
                </c:pt>
                <c:pt idx="6">
                  <c:v>40969</c:v>
                </c:pt>
                <c:pt idx="7">
                  <c:v>41000</c:v>
                </c:pt>
                <c:pt idx="8">
                  <c:v>41030</c:v>
                </c:pt>
                <c:pt idx="9">
                  <c:v>41061</c:v>
                </c:pt>
                <c:pt idx="10">
                  <c:v>41091</c:v>
                </c:pt>
                <c:pt idx="11">
                  <c:v>41122</c:v>
                </c:pt>
                <c:pt idx="12">
                  <c:v>41153</c:v>
                </c:pt>
                <c:pt idx="13">
                  <c:v>41183</c:v>
                </c:pt>
                <c:pt idx="14">
                  <c:v>41214</c:v>
                </c:pt>
                <c:pt idx="15">
                  <c:v>41244</c:v>
                </c:pt>
                <c:pt idx="16">
                  <c:v>41275</c:v>
                </c:pt>
                <c:pt idx="17">
                  <c:v>41306</c:v>
                </c:pt>
                <c:pt idx="18">
                  <c:v>41334</c:v>
                </c:pt>
                <c:pt idx="19">
                  <c:v>41365</c:v>
                </c:pt>
                <c:pt idx="20">
                  <c:v>41395</c:v>
                </c:pt>
                <c:pt idx="21">
                  <c:v>41426</c:v>
                </c:pt>
                <c:pt idx="22">
                  <c:v>41456</c:v>
                </c:pt>
                <c:pt idx="23">
                  <c:v>41487</c:v>
                </c:pt>
                <c:pt idx="24">
                  <c:v>41518</c:v>
                </c:pt>
                <c:pt idx="25">
                  <c:v>41548</c:v>
                </c:pt>
                <c:pt idx="26">
                  <c:v>41579</c:v>
                </c:pt>
                <c:pt idx="27">
                  <c:v>41609</c:v>
                </c:pt>
                <c:pt idx="28">
                  <c:v>41640</c:v>
                </c:pt>
                <c:pt idx="29">
                  <c:v>41671</c:v>
                </c:pt>
                <c:pt idx="30">
                  <c:v>41699</c:v>
                </c:pt>
                <c:pt idx="31">
                  <c:v>41730</c:v>
                </c:pt>
                <c:pt idx="32">
                  <c:v>41760</c:v>
                </c:pt>
                <c:pt idx="33">
                  <c:v>41791</c:v>
                </c:pt>
                <c:pt idx="34">
                  <c:v>41821</c:v>
                </c:pt>
                <c:pt idx="35">
                  <c:v>41852</c:v>
                </c:pt>
                <c:pt idx="36">
                  <c:v>41883</c:v>
                </c:pt>
                <c:pt idx="37">
                  <c:v>41913</c:v>
                </c:pt>
                <c:pt idx="38">
                  <c:v>41944</c:v>
                </c:pt>
                <c:pt idx="39">
                  <c:v>41974</c:v>
                </c:pt>
                <c:pt idx="40">
                  <c:v>42005</c:v>
                </c:pt>
                <c:pt idx="41">
                  <c:v>42036</c:v>
                </c:pt>
                <c:pt idx="42">
                  <c:v>42064</c:v>
                </c:pt>
                <c:pt idx="43">
                  <c:v>42095</c:v>
                </c:pt>
                <c:pt idx="44">
                  <c:v>42125</c:v>
                </c:pt>
                <c:pt idx="45">
                  <c:v>42156</c:v>
                </c:pt>
                <c:pt idx="46">
                  <c:v>42186</c:v>
                </c:pt>
                <c:pt idx="47">
                  <c:v>42217</c:v>
                </c:pt>
                <c:pt idx="48">
                  <c:v>42248</c:v>
                </c:pt>
                <c:pt idx="49">
                  <c:v>42278</c:v>
                </c:pt>
                <c:pt idx="50">
                  <c:v>42309</c:v>
                </c:pt>
                <c:pt idx="51">
                  <c:v>42339</c:v>
                </c:pt>
                <c:pt idx="52">
                  <c:v>42370</c:v>
                </c:pt>
                <c:pt idx="53">
                  <c:v>42401</c:v>
                </c:pt>
                <c:pt idx="54">
                  <c:v>42430</c:v>
                </c:pt>
                <c:pt idx="55">
                  <c:v>42461</c:v>
                </c:pt>
                <c:pt idx="56">
                  <c:v>42491</c:v>
                </c:pt>
                <c:pt idx="57">
                  <c:v>42522</c:v>
                </c:pt>
                <c:pt idx="58">
                  <c:v>42552</c:v>
                </c:pt>
                <c:pt idx="59">
                  <c:v>42583</c:v>
                </c:pt>
                <c:pt idx="60">
                  <c:v>42614</c:v>
                </c:pt>
                <c:pt idx="61">
                  <c:v>42644</c:v>
                </c:pt>
                <c:pt idx="62">
                  <c:v>42675</c:v>
                </c:pt>
                <c:pt idx="63">
                  <c:v>42705</c:v>
                </c:pt>
                <c:pt idx="64">
                  <c:v>42736</c:v>
                </c:pt>
                <c:pt idx="65">
                  <c:v>42767</c:v>
                </c:pt>
                <c:pt idx="66">
                  <c:v>42795</c:v>
                </c:pt>
                <c:pt idx="67">
                  <c:v>42826</c:v>
                </c:pt>
                <c:pt idx="68">
                  <c:v>42856</c:v>
                </c:pt>
                <c:pt idx="69">
                  <c:v>42887</c:v>
                </c:pt>
                <c:pt idx="70">
                  <c:v>42917</c:v>
                </c:pt>
                <c:pt idx="71">
                  <c:v>42948</c:v>
                </c:pt>
                <c:pt idx="72">
                  <c:v>42979</c:v>
                </c:pt>
                <c:pt idx="73">
                  <c:v>43009</c:v>
                </c:pt>
                <c:pt idx="74">
                  <c:v>43040</c:v>
                </c:pt>
                <c:pt idx="75">
                  <c:v>43070</c:v>
                </c:pt>
                <c:pt idx="76">
                  <c:v>43101</c:v>
                </c:pt>
                <c:pt idx="77">
                  <c:v>43132</c:v>
                </c:pt>
                <c:pt idx="78">
                  <c:v>43160</c:v>
                </c:pt>
                <c:pt idx="79">
                  <c:v>43191</c:v>
                </c:pt>
                <c:pt idx="80">
                  <c:v>43221</c:v>
                </c:pt>
                <c:pt idx="81">
                  <c:v>43252</c:v>
                </c:pt>
                <c:pt idx="82">
                  <c:v>43282</c:v>
                </c:pt>
                <c:pt idx="83">
                  <c:v>43313</c:v>
                </c:pt>
                <c:pt idx="84">
                  <c:v>43344</c:v>
                </c:pt>
                <c:pt idx="85">
                  <c:v>43374</c:v>
                </c:pt>
                <c:pt idx="86">
                  <c:v>43405</c:v>
                </c:pt>
                <c:pt idx="87">
                  <c:v>43435</c:v>
                </c:pt>
                <c:pt idx="88">
                  <c:v>43466</c:v>
                </c:pt>
                <c:pt idx="89">
                  <c:v>43497</c:v>
                </c:pt>
                <c:pt idx="90">
                  <c:v>43525</c:v>
                </c:pt>
              </c:numCache>
            </c:numRef>
          </c:cat>
          <c:val>
            <c:numRef>
              <c:f>濃度回帰式!$O$60:$O$150</c:f>
              <c:numCache>
                <c:formatCode>0</c:formatCode>
                <c:ptCount val="91"/>
                <c:pt idx="1">
                  <c:v>780.32479140673752</c:v>
                </c:pt>
                <c:pt idx="2">
                  <c:v>604.99980469462264</c:v>
                </c:pt>
                <c:pt idx="3">
                  <c:v>416.02041273792702</c:v>
                </c:pt>
                <c:pt idx="4">
                  <c:v>349.16752653999816</c:v>
                </c:pt>
                <c:pt idx="5">
                  <c:v>296.28474897338879</c:v>
                </c:pt>
                <c:pt idx="6">
                  <c:v>257.18468336880449</c:v>
                </c:pt>
                <c:pt idx="7">
                  <c:v>409.10074926559156</c:v>
                </c:pt>
                <c:pt idx="8">
                  <c:v>573.86923058251261</c:v>
                </c:pt>
                <c:pt idx="9">
                  <c:v>575.32683836377066</c:v>
                </c:pt>
                <c:pt idx="10">
                  <c:v>509.57916792906292</c:v>
                </c:pt>
                <c:pt idx="11">
                  <c:v>411.21213975516696</c:v>
                </c:pt>
                <c:pt idx="12">
                  <c:v>356.53734281810824</c:v>
                </c:pt>
                <c:pt idx="13">
                  <c:v>307.13308957269703</c:v>
                </c:pt>
                <c:pt idx="14">
                  <c:v>239.02359257858782</c:v>
                </c:pt>
                <c:pt idx="15">
                  <c:v>165.02717411945301</c:v>
                </c:pt>
                <c:pt idx="16">
                  <c:v>139.11647465194233</c:v>
                </c:pt>
                <c:pt idx="17">
                  <c:v>118.61671988026326</c:v>
                </c:pt>
                <c:pt idx="18">
                  <c:v>103.67867524959496</c:v>
                </c:pt>
                <c:pt idx="19">
                  <c:v>165.83835031059999</c:v>
                </c:pt>
                <c:pt idx="20">
                  <c:v>233.9638030289768</c:v>
                </c:pt>
                <c:pt idx="21">
                  <c:v>235.99730221839258</c:v>
                </c:pt>
                <c:pt idx="22">
                  <c:v>210.37751968720471</c:v>
                </c:pt>
                <c:pt idx="23">
                  <c:v>170.95121332497234</c:v>
                </c:pt>
                <c:pt idx="24">
                  <c:v>149.33704588042201</c:v>
                </c:pt>
                <c:pt idx="25">
                  <c:v>129.64230851652673</c:v>
                </c:pt>
                <c:pt idx="26">
                  <c:v>101.75511358546811</c:v>
                </c:pt>
                <c:pt idx="27">
                  <c:v>70.862502391671043</c:v>
                </c:pt>
                <c:pt idx="28">
                  <c:v>60.317385686309684</c:v>
                </c:pt>
                <c:pt idx="29">
                  <c:v>51.953462130357451</c:v>
                </c:pt>
                <c:pt idx="30">
                  <c:v>45.857451210423051</c:v>
                </c:pt>
                <c:pt idx="31">
                  <c:v>74.18256226289806</c:v>
                </c:pt>
                <c:pt idx="32">
                  <c:v>105.84250840758911</c:v>
                </c:pt>
                <c:pt idx="33">
                  <c:v>108.11191571214584</c:v>
                </c:pt>
                <c:pt idx="34">
                  <c:v>97.596369725625379</c:v>
                </c:pt>
                <c:pt idx="35">
                  <c:v>80.406251667208807</c:v>
                </c:pt>
                <c:pt idx="36">
                  <c:v>71.242019646000585</c:v>
                </c:pt>
                <c:pt idx="37">
                  <c:v>62.743993337793334</c:v>
                </c:pt>
                <c:pt idx="38">
                  <c:v>50.01450377954864</c:v>
                </c:pt>
                <c:pt idx="39">
                  <c:v>35.37357944595378</c:v>
                </c:pt>
                <c:pt idx="40">
                  <c:v>30.616258916097483</c:v>
                </c:pt>
                <c:pt idx="41">
                  <c:v>26.825455260075476</c:v>
                </c:pt>
                <c:pt idx="42">
                  <c:v>24.055786950387642</c:v>
                </c:pt>
                <c:pt idx="43">
                  <c:v>39.618591477361534</c:v>
                </c:pt>
                <c:pt idx="44">
                  <c:v>57.547823700643598</c:v>
                </c:pt>
                <c:pt idx="45">
                  <c:v>59.899989607606287</c:v>
                </c:pt>
                <c:pt idx="46">
                  <c:v>55.077281760691285</c:v>
                </c:pt>
                <c:pt idx="47">
                  <c:v>46.268371646438979</c:v>
                </c:pt>
                <c:pt idx="48">
                  <c:v>41.807252188190851</c:v>
                </c:pt>
                <c:pt idx="49">
                  <c:v>37.527598074485049</c:v>
                </c:pt>
                <c:pt idx="50">
                  <c:v>30.509284061955903</c:v>
                </c:pt>
                <c:pt idx="51">
                  <c:v>21.998207261263556</c:v>
                </c:pt>
                <c:pt idx="52">
                  <c:v>19.418011019320573</c:v>
                </c:pt>
                <c:pt idx="53">
                  <c:v>17.349123800854784</c:v>
                </c:pt>
                <c:pt idx="54">
                  <c:v>15.82409834162752</c:v>
                </c:pt>
                <c:pt idx="55">
                  <c:v>26.574846050358332</c:v>
                </c:pt>
                <c:pt idx="56">
                  <c:v>39.322611550888162</c:v>
                </c:pt>
                <c:pt idx="57">
                  <c:v>41.693626424621257</c:v>
                </c:pt>
                <c:pt idx="58">
                  <c:v>39.03013062530345</c:v>
                </c:pt>
                <c:pt idx="59">
                  <c:v>33.379863155833171</c:v>
                </c:pt>
                <c:pt idx="60">
                  <c:v>30.694596216919841</c:v>
                </c:pt>
                <c:pt idx="61">
                  <c:v>28.007621471512525</c:v>
                </c:pt>
                <c:pt idx="62">
                  <c:v>23.149190998703425</c:v>
                </c:pt>
                <c:pt idx="63">
                  <c:v>16.949626140129766</c:v>
                </c:pt>
                <c:pt idx="64">
                  <c:v>15.191131116867744</c:v>
                </c:pt>
                <c:pt idx="65">
                  <c:v>13.77520764788129</c:v>
                </c:pt>
                <c:pt idx="66">
                  <c:v>12.734729969383816</c:v>
                </c:pt>
                <c:pt idx="67">
                  <c:v>21.676820780748031</c:v>
                </c:pt>
                <c:pt idx="68">
                  <c:v>32.478409982703944</c:v>
                </c:pt>
                <c:pt idx="69">
                  <c:v>34.870288648117537</c:v>
                </c:pt>
                <c:pt idx="70">
                  <c:v>33.009895127139742</c:v>
                </c:pt>
                <c:pt idx="71">
                  <c:v>28.54483938030938</c:v>
                </c:pt>
                <c:pt idx="72">
                  <c:v>26.522240627788236</c:v>
                </c:pt>
                <c:pt idx="73">
                  <c:v>24.434867817941718</c:v>
                </c:pt>
                <c:pt idx="74">
                  <c:v>20.386660941579649</c:v>
                </c:pt>
                <c:pt idx="75">
                  <c:v>15.054406522750332</c:v>
                </c:pt>
                <c:pt idx="76">
                  <c:v>13.604861923376793</c:v>
                </c:pt>
                <c:pt idx="77">
                  <c:v>12.433899354904547</c:v>
                </c:pt>
                <c:pt idx="78">
                  <c:v>11.571395449043157</c:v>
                </c:pt>
                <c:pt idx="79">
                  <c:v>19.832307859597382</c:v>
                </c:pt>
                <c:pt idx="80">
                  <c:v>29.903895903211147</c:v>
                </c:pt>
                <c:pt idx="81">
                  <c:v>32.296963812581211</c:v>
                </c:pt>
                <c:pt idx="82">
                  <c:v>30.742688277705927</c:v>
                </c:pt>
                <c:pt idx="83">
                  <c:v>26.722340940329332</c:v>
                </c:pt>
                <c:pt idx="84">
                  <c:v>24.951446653713639</c:v>
                </c:pt>
                <c:pt idx="85">
                  <c:v>23.089547046881762</c:v>
                </c:pt>
                <c:pt idx="86">
                  <c:v>19.348504804603714</c:v>
                </c:pt>
                <c:pt idx="87">
                  <c:v>14.336957405302336</c:v>
                </c:pt>
                <c:pt idx="88">
                  <c:v>13.003649883331486</c:v>
                </c:pt>
                <c:pt idx="89">
                  <c:v>11.923572518995838</c:v>
                </c:pt>
                <c:pt idx="90">
                  <c:v>11.130972508300136</c:v>
                </c:pt>
              </c:numCache>
            </c:numRef>
          </c:val>
          <c:smooth val="0"/>
        </c:ser>
        <c:ser>
          <c:idx val="3"/>
          <c:order val="2"/>
          <c:tx>
            <c:strRef>
              <c:f>濃度回帰式!$M$53</c:f>
              <c:strCache>
                <c:ptCount val="1"/>
                <c:pt idx="0">
                  <c:v>Cs-134:事故日1200から減衰</c:v>
                </c:pt>
              </c:strCache>
            </c:strRef>
          </c:tx>
          <c:marker>
            <c:symbol val="none"/>
          </c:marker>
          <c:cat>
            <c:numRef>
              <c:f>濃度回帰式!$E$60:$E$150</c:f>
              <c:numCache>
                <c:formatCode>[$-411]m\.d\.ge</c:formatCode>
                <c:ptCount val="91"/>
                <c:pt idx="0">
                  <c:v>40614</c:v>
                </c:pt>
                <c:pt idx="1">
                  <c:v>40817</c:v>
                </c:pt>
                <c:pt idx="2">
                  <c:v>40848</c:v>
                </c:pt>
                <c:pt idx="3">
                  <c:v>40878</c:v>
                </c:pt>
                <c:pt idx="4">
                  <c:v>40909</c:v>
                </c:pt>
                <c:pt idx="5">
                  <c:v>40940</c:v>
                </c:pt>
                <c:pt idx="6">
                  <c:v>40969</c:v>
                </c:pt>
                <c:pt idx="7">
                  <c:v>41000</c:v>
                </c:pt>
                <c:pt idx="8">
                  <c:v>41030</c:v>
                </c:pt>
                <c:pt idx="9">
                  <c:v>41061</c:v>
                </c:pt>
                <c:pt idx="10">
                  <c:v>41091</c:v>
                </c:pt>
                <c:pt idx="11">
                  <c:v>41122</c:v>
                </c:pt>
                <c:pt idx="12">
                  <c:v>41153</c:v>
                </c:pt>
                <c:pt idx="13">
                  <c:v>41183</c:v>
                </c:pt>
                <c:pt idx="14">
                  <c:v>41214</c:v>
                </c:pt>
                <c:pt idx="15">
                  <c:v>41244</c:v>
                </c:pt>
                <c:pt idx="16">
                  <c:v>41275</c:v>
                </c:pt>
                <c:pt idx="17">
                  <c:v>41306</c:v>
                </c:pt>
                <c:pt idx="18">
                  <c:v>41334</c:v>
                </c:pt>
                <c:pt idx="19">
                  <c:v>41365</c:v>
                </c:pt>
                <c:pt idx="20">
                  <c:v>41395</c:v>
                </c:pt>
                <c:pt idx="21">
                  <c:v>41426</c:v>
                </c:pt>
                <c:pt idx="22">
                  <c:v>41456</c:v>
                </c:pt>
                <c:pt idx="23">
                  <c:v>41487</c:v>
                </c:pt>
                <c:pt idx="24">
                  <c:v>41518</c:v>
                </c:pt>
                <c:pt idx="25">
                  <c:v>41548</c:v>
                </c:pt>
                <c:pt idx="26">
                  <c:v>41579</c:v>
                </c:pt>
                <c:pt idx="27">
                  <c:v>41609</c:v>
                </c:pt>
                <c:pt idx="28">
                  <c:v>41640</c:v>
                </c:pt>
                <c:pt idx="29">
                  <c:v>41671</c:v>
                </c:pt>
                <c:pt idx="30">
                  <c:v>41699</c:v>
                </c:pt>
                <c:pt idx="31">
                  <c:v>41730</c:v>
                </c:pt>
                <c:pt idx="32">
                  <c:v>41760</c:v>
                </c:pt>
                <c:pt idx="33">
                  <c:v>41791</c:v>
                </c:pt>
                <c:pt idx="34">
                  <c:v>41821</c:v>
                </c:pt>
                <c:pt idx="35">
                  <c:v>41852</c:v>
                </c:pt>
                <c:pt idx="36">
                  <c:v>41883</c:v>
                </c:pt>
                <c:pt idx="37">
                  <c:v>41913</c:v>
                </c:pt>
                <c:pt idx="38">
                  <c:v>41944</c:v>
                </c:pt>
                <c:pt idx="39">
                  <c:v>41974</c:v>
                </c:pt>
                <c:pt idx="40">
                  <c:v>42005</c:v>
                </c:pt>
                <c:pt idx="41">
                  <c:v>42036</c:v>
                </c:pt>
                <c:pt idx="42">
                  <c:v>42064</c:v>
                </c:pt>
                <c:pt idx="43">
                  <c:v>42095</c:v>
                </c:pt>
                <c:pt idx="44">
                  <c:v>42125</c:v>
                </c:pt>
                <c:pt idx="45">
                  <c:v>42156</c:v>
                </c:pt>
                <c:pt idx="46">
                  <c:v>42186</c:v>
                </c:pt>
                <c:pt idx="47">
                  <c:v>42217</c:v>
                </c:pt>
                <c:pt idx="48">
                  <c:v>42248</c:v>
                </c:pt>
                <c:pt idx="49">
                  <c:v>42278</c:v>
                </c:pt>
                <c:pt idx="50">
                  <c:v>42309</c:v>
                </c:pt>
                <c:pt idx="51">
                  <c:v>42339</c:v>
                </c:pt>
                <c:pt idx="52">
                  <c:v>42370</c:v>
                </c:pt>
                <c:pt idx="53">
                  <c:v>42401</c:v>
                </c:pt>
                <c:pt idx="54">
                  <c:v>42430</c:v>
                </c:pt>
                <c:pt idx="55">
                  <c:v>42461</c:v>
                </c:pt>
                <c:pt idx="56">
                  <c:v>42491</c:v>
                </c:pt>
                <c:pt idx="57">
                  <c:v>42522</c:v>
                </c:pt>
                <c:pt idx="58">
                  <c:v>42552</c:v>
                </c:pt>
                <c:pt idx="59">
                  <c:v>42583</c:v>
                </c:pt>
                <c:pt idx="60">
                  <c:v>42614</c:v>
                </c:pt>
                <c:pt idx="61">
                  <c:v>42644</c:v>
                </c:pt>
                <c:pt idx="62">
                  <c:v>42675</c:v>
                </c:pt>
                <c:pt idx="63">
                  <c:v>42705</c:v>
                </c:pt>
                <c:pt idx="64">
                  <c:v>42736</c:v>
                </c:pt>
                <c:pt idx="65">
                  <c:v>42767</c:v>
                </c:pt>
                <c:pt idx="66">
                  <c:v>42795</c:v>
                </c:pt>
                <c:pt idx="67">
                  <c:v>42826</c:v>
                </c:pt>
                <c:pt idx="68">
                  <c:v>42856</c:v>
                </c:pt>
                <c:pt idx="69">
                  <c:v>42887</c:v>
                </c:pt>
                <c:pt idx="70">
                  <c:v>42917</c:v>
                </c:pt>
                <c:pt idx="71">
                  <c:v>42948</c:v>
                </c:pt>
                <c:pt idx="72">
                  <c:v>42979</c:v>
                </c:pt>
                <c:pt idx="73">
                  <c:v>43009</c:v>
                </c:pt>
                <c:pt idx="74">
                  <c:v>43040</c:v>
                </c:pt>
                <c:pt idx="75">
                  <c:v>43070</c:v>
                </c:pt>
                <c:pt idx="76">
                  <c:v>43101</c:v>
                </c:pt>
                <c:pt idx="77">
                  <c:v>43132</c:v>
                </c:pt>
                <c:pt idx="78">
                  <c:v>43160</c:v>
                </c:pt>
                <c:pt idx="79">
                  <c:v>43191</c:v>
                </c:pt>
                <c:pt idx="80">
                  <c:v>43221</c:v>
                </c:pt>
                <c:pt idx="81">
                  <c:v>43252</c:v>
                </c:pt>
                <c:pt idx="82">
                  <c:v>43282</c:v>
                </c:pt>
                <c:pt idx="83">
                  <c:v>43313</c:v>
                </c:pt>
                <c:pt idx="84">
                  <c:v>43344</c:v>
                </c:pt>
                <c:pt idx="85">
                  <c:v>43374</c:v>
                </c:pt>
                <c:pt idx="86">
                  <c:v>43405</c:v>
                </c:pt>
                <c:pt idx="87">
                  <c:v>43435</c:v>
                </c:pt>
                <c:pt idx="88">
                  <c:v>43466</c:v>
                </c:pt>
                <c:pt idx="89">
                  <c:v>43497</c:v>
                </c:pt>
                <c:pt idx="90">
                  <c:v>43525</c:v>
                </c:pt>
              </c:numCache>
            </c:numRef>
          </c:cat>
          <c:val>
            <c:numRef>
              <c:f>濃度回帰式!$M$60:$M$150</c:f>
              <c:numCache>
                <c:formatCode>0</c:formatCode>
                <c:ptCount val="91"/>
                <c:pt idx="0">
                  <c:v>1200</c:v>
                </c:pt>
                <c:pt idx="1">
                  <c:v>697.48678630351162</c:v>
                </c:pt>
                <c:pt idx="2">
                  <c:v>642.02323772943339</c:v>
                </c:pt>
                <c:pt idx="3">
                  <c:v>592.55180384470373</c:v>
                </c:pt>
                <c:pt idx="4">
                  <c:v>545.43259470617079</c:v>
                </c:pt>
                <c:pt idx="5">
                  <c:v>502.06026449946307</c:v>
                </c:pt>
                <c:pt idx="6">
                  <c:v>464.61394617714882</c:v>
                </c:pt>
                <c:pt idx="7">
                  <c:v>427.66824530077849</c:v>
                </c:pt>
                <c:pt idx="8">
                  <c:v>394.71404663840514</c:v>
                </c:pt>
                <c:pt idx="9">
                  <c:v>363.32672557584715</c:v>
                </c:pt>
                <c:pt idx="10">
                  <c:v>335.3303961182898</c:v>
                </c:pt>
                <c:pt idx="11">
                  <c:v>308.66521180413349</c:v>
                </c:pt>
                <c:pt idx="12">
                  <c:v>284.12041998269092</c:v>
                </c:pt>
                <c:pt idx="13">
                  <c:v>262.22737352196629</c:v>
                </c:pt>
                <c:pt idx="14">
                  <c:v>241.37527860864461</c:v>
                </c:pt>
                <c:pt idx="15">
                  <c:v>222.77598120731267</c:v>
                </c:pt>
                <c:pt idx="16">
                  <c:v>205.06102703547398</c:v>
                </c:pt>
                <c:pt idx="17">
                  <c:v>188.75475076333359</c:v>
                </c:pt>
                <c:pt idx="18">
                  <c:v>175.14393241983743</c:v>
                </c:pt>
                <c:pt idx="19">
                  <c:v>161.21663774705263</c:v>
                </c:pt>
                <c:pt idx="20">
                  <c:v>148.79400603106026</c:v>
                </c:pt>
                <c:pt idx="21">
                  <c:v>136.96203481226172</c:v>
                </c:pt>
                <c:pt idx="22">
                  <c:v>126.40835411700265</c:v>
                </c:pt>
                <c:pt idx="23">
                  <c:v>116.35647065997786</c:v>
                </c:pt>
                <c:pt idx="24">
                  <c:v>107.10390431881464</c:v>
                </c:pt>
                <c:pt idx="25">
                  <c:v>98.850957369349771</c:v>
                </c:pt>
                <c:pt idx="26">
                  <c:v>90.990414369380616</c:v>
                </c:pt>
                <c:pt idx="27">
                  <c:v>83.979100753165369</c:v>
                </c:pt>
                <c:pt idx="28">
                  <c:v>77.3011549837329</c:v>
                </c:pt>
                <c:pt idx="29">
                  <c:v>71.154233710865981</c:v>
                </c:pt>
                <c:pt idx="30">
                  <c:v>66.023410007130124</c:v>
                </c:pt>
                <c:pt idx="31">
                  <c:v>60.773285302454703</c:v>
                </c:pt>
                <c:pt idx="32">
                  <c:v>56.090368253484485</c:v>
                </c:pt>
                <c:pt idx="33">
                  <c:v>51.630110474763896</c:v>
                </c:pt>
                <c:pt idx="34">
                  <c:v>47.651725508751198</c:v>
                </c:pt>
                <c:pt idx="35">
                  <c:v>43.862501333767042</c:v>
                </c:pt>
                <c:pt idx="36">
                  <c:v>40.374593001913233</c:v>
                </c:pt>
                <c:pt idx="37">
                  <c:v>37.263507777987456</c:v>
                </c:pt>
                <c:pt idx="38">
                  <c:v>34.30034573066289</c:v>
                </c:pt>
                <c:pt idx="39">
                  <c:v>31.657314783622667</c:v>
                </c:pt>
                <c:pt idx="40">
                  <c:v>29.139952375179423</c:v>
                </c:pt>
                <c:pt idx="41">
                  <c:v>26.822768457513348</c:v>
                </c:pt>
                <c:pt idx="42">
                  <c:v>24.888619370041514</c:v>
                </c:pt>
                <c:pt idx="43">
                  <c:v>22.909497791713367</c:v>
                </c:pt>
                <c:pt idx="44">
                  <c:v>21.144194546081089</c:v>
                </c:pt>
                <c:pt idx="45" formatCode="0.0">
                  <c:v>19.46282640507086</c:v>
                </c:pt>
                <c:pt idx="46" formatCode="0.0">
                  <c:v>17.963108212449608</c:v>
                </c:pt>
                <c:pt idx="47" formatCode="0.0">
                  <c:v>16.534697317151174</c:v>
                </c:pt>
                <c:pt idx="48" formatCode="0.0">
                  <c:v>15.219872426105235</c:v>
                </c:pt>
                <c:pt idx="49" formatCode="0.0">
                  <c:v>14.047097255030502</c:v>
                </c:pt>
                <c:pt idx="50" formatCode="0.0">
                  <c:v>12.930084178613377</c:v>
                </c:pt>
                <c:pt idx="51" formatCode="0.0">
                  <c:v>11.933749829675319</c:v>
                </c:pt>
                <c:pt idx="52" formatCode="0.0">
                  <c:v>10.984788320516241</c:v>
                </c:pt>
                <c:pt idx="53" formatCode="0.0">
                  <c:v>10.11128741332371</c:v>
                </c:pt>
                <c:pt idx="54" formatCode="0.00">
                  <c:v>9.3571339502823587</c:v>
                </c:pt>
                <c:pt idx="55" formatCode="0.00">
                  <c:v>8.6130627168815153</c:v>
                </c:pt>
                <c:pt idx="56" formatCode="0.00">
                  <c:v>7.9493786978261127</c:v>
                </c:pt>
                <c:pt idx="57" formatCode="0.00">
                  <c:v>7.3172509497475078</c:v>
                </c:pt>
                <c:pt idx="58" formatCode="0.00">
                  <c:v>6.7534163791194484</c:v>
                </c:pt>
                <c:pt idx="59" formatCode="0.00">
                  <c:v>6.2163905246665285</c:v>
                </c:pt>
                <c:pt idx="60" formatCode="0.00">
                  <c:v>5.7220685036752235</c:v>
                </c:pt>
                <c:pt idx="61" formatCode="0.00">
                  <c:v>5.2811515445561223</c:v>
                </c:pt>
                <c:pt idx="62" formatCode="0.00">
                  <c:v>4.8611989218391995</c:v>
                </c:pt>
                <c:pt idx="63" formatCode="0.00">
                  <c:v>4.4866167152623699</c:v>
                </c:pt>
                <c:pt idx="64" formatCode="0.00">
                  <c:v>4.1298448179207341</c:v>
                </c:pt>
                <c:pt idx="65" formatCode="0.00">
                  <c:v>3.8014431146052017</c:v>
                </c:pt>
                <c:pt idx="66" formatCode="0.00">
                  <c:v>3.5273268263169122</c:v>
                </c:pt>
                <c:pt idx="67" formatCode="0.00">
                  <c:v>3.2468368348076768</c:v>
                </c:pt>
                <c:pt idx="68" formatCode="0.00">
                  <c:v>2.9966501369308864</c:v>
                </c:pt>
                <c:pt idx="69" formatCode="0.00">
                  <c:v>2.7583590987450242</c:v>
                </c:pt>
                <c:pt idx="70" formatCode="0.00">
                  <c:v>2.5458123064100464</c:v>
                </c:pt>
                <c:pt idx="71" formatCode="0.00">
                  <c:v>2.3433715042474987</c:v>
                </c:pt>
                <c:pt idx="72" formatCode="0.00">
                  <c:v>2.1570286203317237</c:v>
                </c:pt>
                <c:pt idx="73" formatCode="0.00">
                  <c:v>1.9908176601870362</c:v>
                </c:pt>
                <c:pt idx="74" formatCode="0.00">
                  <c:v>1.8325095543330157</c:v>
                </c:pt>
                <c:pt idx="75" formatCode="0.00">
                  <c:v>1.6913045792904673</c:v>
                </c:pt>
                <c:pt idx="76" formatCode="0.00">
                  <c:v>1.556813495689898</c:v>
                </c:pt>
                <c:pt idx="77" formatCode="0.00">
                  <c:v>1.433017027234073</c:v>
                </c:pt>
                <c:pt idx="78" formatCode="0.00">
                  <c:v>1.3296843462713819</c:v>
                </c:pt>
                <c:pt idx="79" formatCode="0.00">
                  <c:v>1.2239489921746196</c:v>
                </c:pt>
                <c:pt idx="80" formatCode="0.00">
                  <c:v>1.1296369671787794</c:v>
                </c:pt>
                <c:pt idx="81" formatCode="0.00">
                  <c:v>1.0398092083874737</c:v>
                </c:pt>
                <c:pt idx="82" formatCode="0.00">
                  <c:v>0.95968617002612333</c:v>
                </c:pt>
                <c:pt idx="83" formatCode="0.00">
                  <c:v>0.88337275226346323</c:v>
                </c:pt>
                <c:pt idx="84" formatCode="0.00">
                  <c:v>0.81312771176048626</c:v>
                </c:pt>
                <c:pt idx="85" formatCode="0.00">
                  <c:v>0.75047173380170507</c:v>
                </c:pt>
                <c:pt idx="86" formatCode="0.00">
                  <c:v>0.69079486783299171</c:v>
                </c:pt>
                <c:pt idx="87" formatCode="0.00">
                  <c:v>0.63756531067121125</c:v>
                </c:pt>
                <c:pt idx="88" formatCode="0.00">
                  <c:v>0.58686666623528294</c:v>
                </c:pt>
                <c:pt idx="89" formatCode="0.00">
                  <c:v>0.5401995343434336</c:v>
                </c:pt>
                <c:pt idx="90" formatCode="0.00">
                  <c:v>0.50124656652961386</c:v>
                </c:pt>
              </c:numCache>
            </c:numRef>
          </c:val>
          <c:smooth val="0"/>
        </c:ser>
        <c:dLbls>
          <c:showLegendKey val="0"/>
          <c:showVal val="0"/>
          <c:showCatName val="0"/>
          <c:showSerName val="0"/>
          <c:showPercent val="0"/>
          <c:showBubbleSize val="0"/>
        </c:dLbls>
        <c:marker val="1"/>
        <c:smooth val="0"/>
        <c:axId val="135802880"/>
        <c:axId val="135804416"/>
      </c:lineChart>
      <c:dateAx>
        <c:axId val="135802880"/>
        <c:scaling>
          <c:orientation val="minMax"/>
        </c:scaling>
        <c:delete val="0"/>
        <c:axPos val="b"/>
        <c:majorGridlines>
          <c:spPr>
            <a:ln w="3175">
              <a:solidFill>
                <a:sysClr val="window" lastClr="FFFFFF">
                  <a:lumMod val="85000"/>
                </a:sysClr>
              </a:solidFill>
              <a:prstDash val="solid"/>
            </a:ln>
          </c:spPr>
        </c:majorGridlines>
        <c:numFmt formatCode="ge\.m" sourceLinked="0"/>
        <c:majorTickMark val="in"/>
        <c:minorTickMark val="none"/>
        <c:tickLblPos val="nextTo"/>
        <c:spPr>
          <a:ln w="3175">
            <a:solidFill>
              <a:srgbClr val="000000"/>
            </a:solidFill>
            <a:prstDash val="solid"/>
          </a:ln>
        </c:spPr>
        <c:txPr>
          <a:bodyPr rot="-5400000" vert="horz"/>
          <a:lstStyle/>
          <a:p>
            <a:pPr>
              <a:defRPr/>
            </a:pPr>
            <a:endParaRPr lang="ja-JP"/>
          </a:p>
        </c:txPr>
        <c:crossAx val="135804416"/>
        <c:crosses val="autoZero"/>
        <c:auto val="0"/>
        <c:lblOffset val="100"/>
        <c:baseTimeUnit val="days"/>
        <c:majorUnit val="6"/>
        <c:majorTimeUnit val="months"/>
      </c:dateAx>
      <c:valAx>
        <c:axId val="135804416"/>
        <c:scaling>
          <c:orientation val="minMax"/>
        </c:scaling>
        <c:delete val="0"/>
        <c:axPos val="l"/>
        <c:majorGridlines>
          <c:spPr>
            <a:ln w="3175">
              <a:solidFill>
                <a:srgbClr val="000000"/>
              </a:solidFill>
              <a:prstDash val="solid"/>
            </a:ln>
          </c:spPr>
        </c:majorGridlines>
        <c:minorGridlines>
          <c:spPr>
            <a:ln w="3175">
              <a:solidFill>
                <a:sysClr val="window" lastClr="FFFFFF">
                  <a:lumMod val="85000"/>
                </a:sysClr>
              </a:solidFill>
              <a:prstDash val="solid"/>
            </a:ln>
          </c:spPr>
        </c:minorGridlines>
        <c:numFmt formatCode="General" sourceLinked="0"/>
        <c:majorTickMark val="in"/>
        <c:minorTickMark val="none"/>
        <c:tickLblPos val="nextTo"/>
        <c:spPr>
          <a:ln w="3175">
            <a:solidFill>
              <a:srgbClr val="000000"/>
            </a:solidFill>
            <a:prstDash val="solid"/>
          </a:ln>
        </c:spPr>
        <c:txPr>
          <a:bodyPr rot="0" vert="horz"/>
          <a:lstStyle/>
          <a:p>
            <a:pPr>
              <a:defRPr/>
            </a:pPr>
            <a:endParaRPr lang="ja-JP"/>
          </a:p>
        </c:txPr>
        <c:crossAx val="135802880"/>
        <c:crosses val="autoZero"/>
        <c:crossBetween val="between"/>
        <c:majorUnit val="500"/>
      </c:valAx>
      <c:spPr>
        <a:noFill/>
        <a:ln w="12700">
          <a:solidFill>
            <a:srgbClr val="808080"/>
          </a:solidFill>
          <a:prstDash val="solid"/>
        </a:ln>
      </c:spPr>
    </c:plotArea>
    <c:legend>
      <c:legendPos val="t"/>
      <c:layout>
        <c:manualLayout>
          <c:xMode val="edge"/>
          <c:yMode val="edge"/>
          <c:x val="0.26206132749129929"/>
          <c:y val="5.7577241086361648E-2"/>
          <c:w val="0.64053003517237239"/>
          <c:h val="0.16433548483007396"/>
        </c:manualLayout>
      </c:layout>
      <c:overlay val="0"/>
      <c:spPr>
        <a:solidFill>
          <a:sysClr val="window" lastClr="FFFFFF"/>
        </a:solidFill>
        <a:ln>
          <a:solidFill>
            <a:sysClr val="windowText" lastClr="000000">
              <a:lumMod val="50000"/>
              <a:lumOff val="50000"/>
            </a:sysClr>
          </a:solidFill>
        </a:ln>
      </c:spPr>
      <c:txPr>
        <a:bodyPr/>
        <a:lstStyle/>
        <a:p>
          <a:pPr>
            <a:defRPr sz="900"/>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800" b="0" i="0" u="none" strike="noStrike" baseline="0">
          <a:solidFill>
            <a:srgbClr val="000000"/>
          </a:solidFill>
          <a:latin typeface="Meiryo UI" panose="020B0604030504040204" pitchFamily="50" charset="-128"/>
          <a:ea typeface="Meiryo UI" panose="020B0604030504040204" pitchFamily="50" charset="-128"/>
          <a:cs typeface="ＭＳ Ｐゴシック"/>
        </a:defRPr>
      </a:pPr>
      <a:endParaRPr lang="ja-JP"/>
    </a:p>
  </c:txPr>
  <c:printSettings>
    <c:headerFooter alignWithMargins="0"/>
    <c:pageMargins b="1" l="0.75" r="0.75" t="1" header="0.51200000000000001" footer="0.51200000000000001"/>
    <c:pageSetup orientation="portrait"/>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0.10148408952995464"/>
          <c:y val="3.6627296587926503E-2"/>
          <c:w val="0.85804969593517944"/>
          <c:h val="0.82193852659481148"/>
        </c:manualLayout>
      </c:layout>
      <c:lineChart>
        <c:grouping val="standard"/>
        <c:varyColors val="0"/>
        <c:ser>
          <c:idx val="1"/>
          <c:order val="0"/>
          <c:tx>
            <c:strRef>
              <c:f>濃度回帰式!$G$53</c:f>
              <c:strCache>
                <c:ptCount val="1"/>
                <c:pt idx="0">
                  <c:v>Cs-137</c:v>
                </c:pt>
              </c:strCache>
            </c:strRef>
          </c:tx>
          <c:spPr>
            <a:ln w="9525">
              <a:solidFill>
                <a:srgbClr val="009900"/>
              </a:solidFill>
            </a:ln>
          </c:spPr>
          <c:marker>
            <c:symbol val="triangle"/>
            <c:size val="6"/>
            <c:spPr>
              <a:solidFill>
                <a:srgbClr val="92D050"/>
              </a:solidFill>
              <a:ln>
                <a:solidFill>
                  <a:srgbClr val="009900"/>
                </a:solidFill>
              </a:ln>
            </c:spPr>
          </c:marker>
          <c:cat>
            <c:numRef>
              <c:f>濃度回帰式!$E$60:$E$150</c:f>
              <c:numCache>
                <c:formatCode>[$-411]m\.d\.ge</c:formatCode>
                <c:ptCount val="91"/>
                <c:pt idx="0">
                  <c:v>40614</c:v>
                </c:pt>
                <c:pt idx="1">
                  <c:v>40817</c:v>
                </c:pt>
                <c:pt idx="2">
                  <c:v>40848</c:v>
                </c:pt>
                <c:pt idx="3">
                  <c:v>40878</c:v>
                </c:pt>
                <c:pt idx="4">
                  <c:v>40909</c:v>
                </c:pt>
                <c:pt idx="5">
                  <c:v>40940</c:v>
                </c:pt>
                <c:pt idx="6">
                  <c:v>40969</c:v>
                </c:pt>
                <c:pt idx="7">
                  <c:v>41000</c:v>
                </c:pt>
                <c:pt idx="8">
                  <c:v>41030</c:v>
                </c:pt>
                <c:pt idx="9">
                  <c:v>41061</c:v>
                </c:pt>
                <c:pt idx="10">
                  <c:v>41091</c:v>
                </c:pt>
                <c:pt idx="11">
                  <c:v>41122</c:v>
                </c:pt>
                <c:pt idx="12">
                  <c:v>41153</c:v>
                </c:pt>
                <c:pt idx="13">
                  <c:v>41183</c:v>
                </c:pt>
                <c:pt idx="14">
                  <c:v>41214</c:v>
                </c:pt>
                <c:pt idx="15">
                  <c:v>41244</c:v>
                </c:pt>
                <c:pt idx="16">
                  <c:v>41275</c:v>
                </c:pt>
                <c:pt idx="17">
                  <c:v>41306</c:v>
                </c:pt>
                <c:pt idx="18">
                  <c:v>41334</c:v>
                </c:pt>
                <c:pt idx="19">
                  <c:v>41365</c:v>
                </c:pt>
                <c:pt idx="20">
                  <c:v>41395</c:v>
                </c:pt>
                <c:pt idx="21">
                  <c:v>41426</c:v>
                </c:pt>
                <c:pt idx="22">
                  <c:v>41456</c:v>
                </c:pt>
                <c:pt idx="23">
                  <c:v>41487</c:v>
                </c:pt>
                <c:pt idx="24">
                  <c:v>41518</c:v>
                </c:pt>
                <c:pt idx="25">
                  <c:v>41548</c:v>
                </c:pt>
                <c:pt idx="26">
                  <c:v>41579</c:v>
                </c:pt>
                <c:pt idx="27">
                  <c:v>41609</c:v>
                </c:pt>
                <c:pt idx="28">
                  <c:v>41640</c:v>
                </c:pt>
                <c:pt idx="29">
                  <c:v>41671</c:v>
                </c:pt>
                <c:pt idx="30">
                  <c:v>41699</c:v>
                </c:pt>
                <c:pt idx="31">
                  <c:v>41730</c:v>
                </c:pt>
                <c:pt idx="32">
                  <c:v>41760</c:v>
                </c:pt>
                <c:pt idx="33">
                  <c:v>41791</c:v>
                </c:pt>
                <c:pt idx="34">
                  <c:v>41821</c:v>
                </c:pt>
                <c:pt idx="35">
                  <c:v>41852</c:v>
                </c:pt>
                <c:pt idx="36">
                  <c:v>41883</c:v>
                </c:pt>
                <c:pt idx="37">
                  <c:v>41913</c:v>
                </c:pt>
                <c:pt idx="38">
                  <c:v>41944</c:v>
                </c:pt>
                <c:pt idx="39">
                  <c:v>41974</c:v>
                </c:pt>
                <c:pt idx="40">
                  <c:v>42005</c:v>
                </c:pt>
                <c:pt idx="41">
                  <c:v>42036</c:v>
                </c:pt>
                <c:pt idx="42">
                  <c:v>42064</c:v>
                </c:pt>
                <c:pt idx="43">
                  <c:v>42095</c:v>
                </c:pt>
                <c:pt idx="44">
                  <c:v>42125</c:v>
                </c:pt>
                <c:pt idx="45">
                  <c:v>42156</c:v>
                </c:pt>
                <c:pt idx="46">
                  <c:v>42186</c:v>
                </c:pt>
                <c:pt idx="47">
                  <c:v>42217</c:v>
                </c:pt>
                <c:pt idx="48">
                  <c:v>42248</c:v>
                </c:pt>
                <c:pt idx="49">
                  <c:v>42278</c:v>
                </c:pt>
                <c:pt idx="50">
                  <c:v>42309</c:v>
                </c:pt>
                <c:pt idx="51">
                  <c:v>42339</c:v>
                </c:pt>
                <c:pt idx="52">
                  <c:v>42370</c:v>
                </c:pt>
                <c:pt idx="53">
                  <c:v>42401</c:v>
                </c:pt>
                <c:pt idx="54">
                  <c:v>42430</c:v>
                </c:pt>
                <c:pt idx="55">
                  <c:v>42461</c:v>
                </c:pt>
                <c:pt idx="56">
                  <c:v>42491</c:v>
                </c:pt>
                <c:pt idx="57">
                  <c:v>42522</c:v>
                </c:pt>
                <c:pt idx="58">
                  <c:v>42552</c:v>
                </c:pt>
                <c:pt idx="59">
                  <c:v>42583</c:v>
                </c:pt>
                <c:pt idx="60">
                  <c:v>42614</c:v>
                </c:pt>
                <c:pt idx="61">
                  <c:v>42644</c:v>
                </c:pt>
                <c:pt idx="62">
                  <c:v>42675</c:v>
                </c:pt>
                <c:pt idx="63">
                  <c:v>42705</c:v>
                </c:pt>
                <c:pt idx="64">
                  <c:v>42736</c:v>
                </c:pt>
                <c:pt idx="65">
                  <c:v>42767</c:v>
                </c:pt>
                <c:pt idx="66">
                  <c:v>42795</c:v>
                </c:pt>
                <c:pt idx="67">
                  <c:v>42826</c:v>
                </c:pt>
                <c:pt idx="68">
                  <c:v>42856</c:v>
                </c:pt>
                <c:pt idx="69">
                  <c:v>42887</c:v>
                </c:pt>
                <c:pt idx="70">
                  <c:v>42917</c:v>
                </c:pt>
                <c:pt idx="71">
                  <c:v>42948</c:v>
                </c:pt>
                <c:pt idx="72">
                  <c:v>42979</c:v>
                </c:pt>
                <c:pt idx="73">
                  <c:v>43009</c:v>
                </c:pt>
                <c:pt idx="74">
                  <c:v>43040</c:v>
                </c:pt>
                <c:pt idx="75">
                  <c:v>43070</c:v>
                </c:pt>
                <c:pt idx="76">
                  <c:v>43101</c:v>
                </c:pt>
                <c:pt idx="77">
                  <c:v>43132</c:v>
                </c:pt>
                <c:pt idx="78">
                  <c:v>43160</c:v>
                </c:pt>
                <c:pt idx="79">
                  <c:v>43191</c:v>
                </c:pt>
                <c:pt idx="80">
                  <c:v>43221</c:v>
                </c:pt>
                <c:pt idx="81">
                  <c:v>43252</c:v>
                </c:pt>
                <c:pt idx="82">
                  <c:v>43282</c:v>
                </c:pt>
                <c:pt idx="83">
                  <c:v>43313</c:v>
                </c:pt>
                <c:pt idx="84">
                  <c:v>43344</c:v>
                </c:pt>
                <c:pt idx="85">
                  <c:v>43374</c:v>
                </c:pt>
                <c:pt idx="86">
                  <c:v>43405</c:v>
                </c:pt>
                <c:pt idx="87">
                  <c:v>43435</c:v>
                </c:pt>
                <c:pt idx="88">
                  <c:v>43466</c:v>
                </c:pt>
                <c:pt idx="89">
                  <c:v>43497</c:v>
                </c:pt>
                <c:pt idx="90">
                  <c:v>43525</c:v>
                </c:pt>
              </c:numCache>
            </c:numRef>
          </c:cat>
          <c:val>
            <c:numRef>
              <c:f>濃度回帰式!$G$60:$G$150</c:f>
              <c:numCache>
                <c:formatCode>General</c:formatCode>
                <c:ptCount val="91"/>
                <c:pt idx="7">
                  <c:v>510</c:v>
                </c:pt>
                <c:pt idx="8">
                  <c:v>850</c:v>
                </c:pt>
                <c:pt idx="9">
                  <c:v>890</c:v>
                </c:pt>
                <c:pt idx="10">
                  <c:v>760</c:v>
                </c:pt>
                <c:pt idx="11">
                  <c:v>660</c:v>
                </c:pt>
                <c:pt idx="12">
                  <c:v>510</c:v>
                </c:pt>
                <c:pt idx="13">
                  <c:v>450</c:v>
                </c:pt>
                <c:pt idx="14">
                  <c:v>450</c:v>
                </c:pt>
                <c:pt idx="15">
                  <c:v>330</c:v>
                </c:pt>
                <c:pt idx="16">
                  <c:v>300</c:v>
                </c:pt>
                <c:pt idx="17">
                  <c:v>180</c:v>
                </c:pt>
                <c:pt idx="18">
                  <c:v>320</c:v>
                </c:pt>
                <c:pt idx="19">
                  <c:v>460</c:v>
                </c:pt>
                <c:pt idx="20">
                  <c:v>540</c:v>
                </c:pt>
                <c:pt idx="21">
                  <c:v>560</c:v>
                </c:pt>
                <c:pt idx="22">
                  <c:v>430</c:v>
                </c:pt>
                <c:pt idx="23">
                  <c:v>390</c:v>
                </c:pt>
                <c:pt idx="24">
                  <c:v>360</c:v>
                </c:pt>
                <c:pt idx="25">
                  <c:v>290</c:v>
                </c:pt>
                <c:pt idx="26">
                  <c:v>300</c:v>
                </c:pt>
                <c:pt idx="27">
                  <c:v>280</c:v>
                </c:pt>
                <c:pt idx="28">
                  <c:v>190</c:v>
                </c:pt>
                <c:pt idx="29">
                  <c:v>120</c:v>
                </c:pt>
                <c:pt idx="30">
                  <c:v>130</c:v>
                </c:pt>
                <c:pt idx="31">
                  <c:v>210</c:v>
                </c:pt>
                <c:pt idx="32">
                  <c:v>320</c:v>
                </c:pt>
                <c:pt idx="33">
                  <c:v>330</c:v>
                </c:pt>
                <c:pt idx="34">
                  <c:v>290</c:v>
                </c:pt>
                <c:pt idx="35">
                  <c:v>220</c:v>
                </c:pt>
                <c:pt idx="36">
                  <c:v>230</c:v>
                </c:pt>
                <c:pt idx="37">
                  <c:v>200</c:v>
                </c:pt>
                <c:pt idx="38">
                  <c:v>190</c:v>
                </c:pt>
                <c:pt idx="39">
                  <c:v>180</c:v>
                </c:pt>
                <c:pt idx="40">
                  <c:v>110</c:v>
                </c:pt>
                <c:pt idx="41">
                  <c:v>71</c:v>
                </c:pt>
                <c:pt idx="42">
                  <c:v>100</c:v>
                </c:pt>
                <c:pt idx="43">
                  <c:v>170</c:v>
                </c:pt>
                <c:pt idx="44">
                  <c:v>230</c:v>
                </c:pt>
                <c:pt idx="45">
                  <c:v>240</c:v>
                </c:pt>
                <c:pt idx="46">
                  <c:v>230</c:v>
                </c:pt>
                <c:pt idx="47">
                  <c:v>170</c:v>
                </c:pt>
                <c:pt idx="48">
                  <c:v>160</c:v>
                </c:pt>
                <c:pt idx="49">
                  <c:v>160</c:v>
                </c:pt>
                <c:pt idx="50">
                  <c:v>170</c:v>
                </c:pt>
                <c:pt idx="51">
                  <c:v>140</c:v>
                </c:pt>
                <c:pt idx="52">
                  <c:v>110</c:v>
                </c:pt>
                <c:pt idx="53">
                  <c:v>120</c:v>
                </c:pt>
                <c:pt idx="54">
                  <c:v>75</c:v>
                </c:pt>
                <c:pt idx="55">
                  <c:v>120</c:v>
                </c:pt>
                <c:pt idx="56">
                  <c:v>180</c:v>
                </c:pt>
                <c:pt idx="57">
                  <c:v>210</c:v>
                </c:pt>
                <c:pt idx="58">
                  <c:v>180</c:v>
                </c:pt>
                <c:pt idx="59">
                  <c:v>150</c:v>
                </c:pt>
                <c:pt idx="60">
                  <c:v>110</c:v>
                </c:pt>
                <c:pt idx="61">
                  <c:v>120</c:v>
                </c:pt>
                <c:pt idx="62">
                  <c:v>110</c:v>
                </c:pt>
                <c:pt idx="63">
                  <c:v>120</c:v>
                </c:pt>
                <c:pt idx="64">
                  <c:v>93</c:v>
                </c:pt>
                <c:pt idx="65">
                  <c:v>70</c:v>
                </c:pt>
                <c:pt idx="66">
                  <c:v>72</c:v>
                </c:pt>
                <c:pt idx="67">
                  <c:v>120</c:v>
                </c:pt>
                <c:pt idx="68">
                  <c:v>170</c:v>
                </c:pt>
                <c:pt idx="69">
                  <c:v>150</c:v>
                </c:pt>
                <c:pt idx="70">
                  <c:v>140</c:v>
                </c:pt>
                <c:pt idx="71">
                  <c:v>120</c:v>
                </c:pt>
                <c:pt idx="72">
                  <c:v>130</c:v>
                </c:pt>
                <c:pt idx="73">
                  <c:v>120</c:v>
                </c:pt>
                <c:pt idx="74">
                  <c:v>120</c:v>
                </c:pt>
                <c:pt idx="75">
                  <c:v>120</c:v>
                </c:pt>
                <c:pt idx="76">
                  <c:v>81</c:v>
                </c:pt>
                <c:pt idx="77">
                  <c:v>48</c:v>
                </c:pt>
                <c:pt idx="78">
                  <c:v>51</c:v>
                </c:pt>
                <c:pt idx="79">
                  <c:v>100</c:v>
                </c:pt>
                <c:pt idx="80">
                  <c:v>130</c:v>
                </c:pt>
                <c:pt idx="81">
                  <c:v>170</c:v>
                </c:pt>
                <c:pt idx="82">
                  <c:v>130</c:v>
                </c:pt>
                <c:pt idx="83">
                  <c:v>120</c:v>
                </c:pt>
                <c:pt idx="84">
                  <c:v>110</c:v>
                </c:pt>
                <c:pt idx="85">
                  <c:v>100</c:v>
                </c:pt>
                <c:pt idx="86">
                  <c:v>80</c:v>
                </c:pt>
                <c:pt idx="87">
                  <c:v>180</c:v>
                </c:pt>
                <c:pt idx="88">
                  <c:v>200</c:v>
                </c:pt>
                <c:pt idx="89">
                  <c:v>200</c:v>
                </c:pt>
                <c:pt idx="90">
                  <c:v>190</c:v>
                </c:pt>
              </c:numCache>
            </c:numRef>
          </c:val>
          <c:smooth val="0"/>
        </c:ser>
        <c:ser>
          <c:idx val="0"/>
          <c:order val="1"/>
          <c:tx>
            <c:strRef>
              <c:f>濃度回帰式!$R$53</c:f>
              <c:strCache>
                <c:ptCount val="1"/>
                <c:pt idx="0">
                  <c:v>回帰式_Cs-137</c:v>
                </c:pt>
              </c:strCache>
            </c:strRef>
          </c:tx>
          <c:spPr>
            <a:ln w="25400">
              <a:solidFill>
                <a:srgbClr val="C00000"/>
              </a:solidFill>
              <a:prstDash val="sysDash"/>
            </a:ln>
          </c:spPr>
          <c:marker>
            <c:symbol val="none"/>
          </c:marker>
          <c:cat>
            <c:numRef>
              <c:f>濃度回帰式!$E$60:$E$150</c:f>
              <c:numCache>
                <c:formatCode>[$-411]m\.d\.ge</c:formatCode>
                <c:ptCount val="91"/>
                <c:pt idx="0">
                  <c:v>40614</c:v>
                </c:pt>
                <c:pt idx="1">
                  <c:v>40817</c:v>
                </c:pt>
                <c:pt idx="2">
                  <c:v>40848</c:v>
                </c:pt>
                <c:pt idx="3">
                  <c:v>40878</c:v>
                </c:pt>
                <c:pt idx="4">
                  <c:v>40909</c:v>
                </c:pt>
                <c:pt idx="5">
                  <c:v>40940</c:v>
                </c:pt>
                <c:pt idx="6">
                  <c:v>40969</c:v>
                </c:pt>
                <c:pt idx="7">
                  <c:v>41000</c:v>
                </c:pt>
                <c:pt idx="8">
                  <c:v>41030</c:v>
                </c:pt>
                <c:pt idx="9">
                  <c:v>41061</c:v>
                </c:pt>
                <c:pt idx="10">
                  <c:v>41091</c:v>
                </c:pt>
                <c:pt idx="11">
                  <c:v>41122</c:v>
                </c:pt>
                <c:pt idx="12">
                  <c:v>41153</c:v>
                </c:pt>
                <c:pt idx="13">
                  <c:v>41183</c:v>
                </c:pt>
                <c:pt idx="14">
                  <c:v>41214</c:v>
                </c:pt>
                <c:pt idx="15">
                  <c:v>41244</c:v>
                </c:pt>
                <c:pt idx="16">
                  <c:v>41275</c:v>
                </c:pt>
                <c:pt idx="17">
                  <c:v>41306</c:v>
                </c:pt>
                <c:pt idx="18">
                  <c:v>41334</c:v>
                </c:pt>
                <c:pt idx="19">
                  <c:v>41365</c:v>
                </c:pt>
                <c:pt idx="20">
                  <c:v>41395</c:v>
                </c:pt>
                <c:pt idx="21">
                  <c:v>41426</c:v>
                </c:pt>
                <c:pt idx="22">
                  <c:v>41456</c:v>
                </c:pt>
                <c:pt idx="23">
                  <c:v>41487</c:v>
                </c:pt>
                <c:pt idx="24">
                  <c:v>41518</c:v>
                </c:pt>
                <c:pt idx="25">
                  <c:v>41548</c:v>
                </c:pt>
                <c:pt idx="26">
                  <c:v>41579</c:v>
                </c:pt>
                <c:pt idx="27">
                  <c:v>41609</c:v>
                </c:pt>
                <c:pt idx="28">
                  <c:v>41640</c:v>
                </c:pt>
                <c:pt idx="29">
                  <c:v>41671</c:v>
                </c:pt>
                <c:pt idx="30">
                  <c:v>41699</c:v>
                </c:pt>
                <c:pt idx="31">
                  <c:v>41730</c:v>
                </c:pt>
                <c:pt idx="32">
                  <c:v>41760</c:v>
                </c:pt>
                <c:pt idx="33">
                  <c:v>41791</c:v>
                </c:pt>
                <c:pt idx="34">
                  <c:v>41821</c:v>
                </c:pt>
                <c:pt idx="35">
                  <c:v>41852</c:v>
                </c:pt>
                <c:pt idx="36">
                  <c:v>41883</c:v>
                </c:pt>
                <c:pt idx="37">
                  <c:v>41913</c:v>
                </c:pt>
                <c:pt idx="38">
                  <c:v>41944</c:v>
                </c:pt>
                <c:pt idx="39">
                  <c:v>41974</c:v>
                </c:pt>
                <c:pt idx="40">
                  <c:v>42005</c:v>
                </c:pt>
                <c:pt idx="41">
                  <c:v>42036</c:v>
                </c:pt>
                <c:pt idx="42">
                  <c:v>42064</c:v>
                </c:pt>
                <c:pt idx="43">
                  <c:v>42095</c:v>
                </c:pt>
                <c:pt idx="44">
                  <c:v>42125</c:v>
                </c:pt>
                <c:pt idx="45">
                  <c:v>42156</c:v>
                </c:pt>
                <c:pt idx="46">
                  <c:v>42186</c:v>
                </c:pt>
                <c:pt idx="47">
                  <c:v>42217</c:v>
                </c:pt>
                <c:pt idx="48">
                  <c:v>42248</c:v>
                </c:pt>
                <c:pt idx="49">
                  <c:v>42278</c:v>
                </c:pt>
                <c:pt idx="50">
                  <c:v>42309</c:v>
                </c:pt>
                <c:pt idx="51">
                  <c:v>42339</c:v>
                </c:pt>
                <c:pt idx="52">
                  <c:v>42370</c:v>
                </c:pt>
                <c:pt idx="53">
                  <c:v>42401</c:v>
                </c:pt>
                <c:pt idx="54">
                  <c:v>42430</c:v>
                </c:pt>
                <c:pt idx="55">
                  <c:v>42461</c:v>
                </c:pt>
                <c:pt idx="56">
                  <c:v>42491</c:v>
                </c:pt>
                <c:pt idx="57">
                  <c:v>42522</c:v>
                </c:pt>
                <c:pt idx="58">
                  <c:v>42552</c:v>
                </c:pt>
                <c:pt idx="59">
                  <c:v>42583</c:v>
                </c:pt>
                <c:pt idx="60">
                  <c:v>42614</c:v>
                </c:pt>
                <c:pt idx="61">
                  <c:v>42644</c:v>
                </c:pt>
                <c:pt idx="62">
                  <c:v>42675</c:v>
                </c:pt>
                <c:pt idx="63">
                  <c:v>42705</c:v>
                </c:pt>
                <c:pt idx="64">
                  <c:v>42736</c:v>
                </c:pt>
                <c:pt idx="65">
                  <c:v>42767</c:v>
                </c:pt>
                <c:pt idx="66">
                  <c:v>42795</c:v>
                </c:pt>
                <c:pt idx="67">
                  <c:v>42826</c:v>
                </c:pt>
                <c:pt idx="68">
                  <c:v>42856</c:v>
                </c:pt>
                <c:pt idx="69">
                  <c:v>42887</c:v>
                </c:pt>
                <c:pt idx="70">
                  <c:v>42917</c:v>
                </c:pt>
                <c:pt idx="71">
                  <c:v>42948</c:v>
                </c:pt>
                <c:pt idx="72">
                  <c:v>42979</c:v>
                </c:pt>
                <c:pt idx="73">
                  <c:v>43009</c:v>
                </c:pt>
                <c:pt idx="74">
                  <c:v>43040</c:v>
                </c:pt>
                <c:pt idx="75">
                  <c:v>43070</c:v>
                </c:pt>
                <c:pt idx="76">
                  <c:v>43101</c:v>
                </c:pt>
                <c:pt idx="77">
                  <c:v>43132</c:v>
                </c:pt>
                <c:pt idx="78">
                  <c:v>43160</c:v>
                </c:pt>
                <c:pt idx="79">
                  <c:v>43191</c:v>
                </c:pt>
                <c:pt idx="80">
                  <c:v>43221</c:v>
                </c:pt>
                <c:pt idx="81">
                  <c:v>43252</c:v>
                </c:pt>
                <c:pt idx="82">
                  <c:v>43282</c:v>
                </c:pt>
                <c:pt idx="83">
                  <c:v>43313</c:v>
                </c:pt>
                <c:pt idx="84">
                  <c:v>43344</c:v>
                </c:pt>
                <c:pt idx="85">
                  <c:v>43374</c:v>
                </c:pt>
                <c:pt idx="86">
                  <c:v>43405</c:v>
                </c:pt>
                <c:pt idx="87">
                  <c:v>43435</c:v>
                </c:pt>
                <c:pt idx="88">
                  <c:v>43466</c:v>
                </c:pt>
                <c:pt idx="89">
                  <c:v>43497</c:v>
                </c:pt>
                <c:pt idx="90">
                  <c:v>43525</c:v>
                </c:pt>
              </c:numCache>
            </c:numRef>
          </c:cat>
          <c:val>
            <c:numRef>
              <c:f>濃度回帰式!$R$60:$R$150</c:f>
              <c:numCache>
                <c:formatCode>0</c:formatCode>
                <c:ptCount val="91"/>
                <c:pt idx="1">
                  <c:v>997.57574023096845</c:v>
                </c:pt>
                <c:pt idx="2">
                  <c:v>795.59668107040034</c:v>
                </c:pt>
                <c:pt idx="3">
                  <c:v>562.32333779533371</c:v>
                </c:pt>
                <c:pt idx="4">
                  <c:v>485.62496397415384</c:v>
                </c:pt>
                <c:pt idx="5">
                  <c:v>424.0693716852881</c:v>
                </c:pt>
                <c:pt idx="6">
                  <c:v>378.17008098214609</c:v>
                </c:pt>
                <c:pt idx="7">
                  <c:v>619.11163311909479</c:v>
                </c:pt>
                <c:pt idx="8">
                  <c:v>893.14449191352446</c:v>
                </c:pt>
                <c:pt idx="9">
                  <c:v>921.94337224211188</c:v>
                </c:pt>
                <c:pt idx="10">
                  <c:v>840.16902975276457</c:v>
                </c:pt>
                <c:pt idx="11">
                  <c:v>698.30436134875242</c:v>
                </c:pt>
                <c:pt idx="12">
                  <c:v>623.69646112611258</c:v>
                </c:pt>
                <c:pt idx="13">
                  <c:v>552.95647959774908</c:v>
                </c:pt>
                <c:pt idx="14">
                  <c:v>443.34245582281784</c:v>
                </c:pt>
                <c:pt idx="15">
                  <c:v>315.08998786242449</c:v>
                </c:pt>
                <c:pt idx="16">
                  <c:v>273.69205588226487</c:v>
                </c:pt>
                <c:pt idx="17">
                  <c:v>240.48040595634467</c:v>
                </c:pt>
                <c:pt idx="18">
                  <c:v>215.9464076889418</c:v>
                </c:pt>
                <c:pt idx="19">
                  <c:v>355.89706653956932</c:v>
                </c:pt>
                <c:pt idx="20">
                  <c:v>516.84227119223203</c:v>
                </c:pt>
                <c:pt idx="21">
                  <c:v>537.1742141586318</c:v>
                </c:pt>
                <c:pt idx="22">
                  <c:v>492.94600607645924</c:v>
                </c:pt>
                <c:pt idx="23">
                  <c:v>412.69059731125117</c:v>
                </c:pt>
                <c:pt idx="24">
                  <c:v>371.32376796552376</c:v>
                </c:pt>
                <c:pt idx="25">
                  <c:v>331.7052894234115</c:v>
                </c:pt>
                <c:pt idx="26">
                  <c:v>268.06228702177407</c:v>
                </c:pt>
                <c:pt idx="27">
                  <c:v>191.99518123089607</c:v>
                </c:pt>
                <c:pt idx="28">
                  <c:v>168.20015468298203</c:v>
                </c:pt>
                <c:pt idx="29">
                  <c:v>149.05561249246404</c:v>
                </c:pt>
                <c:pt idx="30">
                  <c:v>134.93903507617941</c:v>
                </c:pt>
                <c:pt idx="31">
                  <c:v>224.38568056284529</c:v>
                </c:pt>
                <c:pt idx="32">
                  <c:v>328.67139039305005</c:v>
                </c:pt>
                <c:pt idx="33">
                  <c:v>344.77370251768696</c:v>
                </c:pt>
                <c:pt idx="34">
                  <c:v>319.22487223296105</c:v>
                </c:pt>
                <c:pt idx="35">
                  <c:v>269.8498753976699</c:v>
                </c:pt>
                <c:pt idx="36">
                  <c:v>245.12734787655489</c:v>
                </c:pt>
                <c:pt idx="37">
                  <c:v>221.03578628056266</c:v>
                </c:pt>
                <c:pt idx="38">
                  <c:v>180.4053801930381</c:v>
                </c:pt>
                <c:pt idx="39">
                  <c:v>130.45785984156714</c:v>
                </c:pt>
                <c:pt idx="40">
                  <c:v>115.44115043282261</c:v>
                </c:pt>
                <c:pt idx="41">
                  <c:v>103.32991123415472</c:v>
                </c:pt>
                <c:pt idx="42">
                  <c:v>94.389697224070218</c:v>
                </c:pt>
                <c:pt idx="43">
                  <c:v>158.53918906284284</c:v>
                </c:pt>
                <c:pt idx="44">
                  <c:v>234.52019095962723</c:v>
                </c:pt>
                <c:pt idx="45">
                  <c:v>248.49911277488587</c:v>
                </c:pt>
                <c:pt idx="46">
                  <c:v>232.3122307271469</c:v>
                </c:pt>
                <c:pt idx="47">
                  <c:v>198.36209778918848</c:v>
                </c:pt>
                <c:pt idx="48">
                  <c:v>182.00381952052985</c:v>
                </c:pt>
                <c:pt idx="49">
                  <c:v>165.67070815564415</c:v>
                </c:pt>
                <c:pt idx="50">
                  <c:v>136.53162753033865</c:v>
                </c:pt>
                <c:pt idx="51">
                  <c:v>99.669438020800342</c:v>
                </c:pt>
                <c:pt idx="52">
                  <c:v>89.030199189001422</c:v>
                </c:pt>
                <c:pt idx="53">
                  <c:v>80.424203285927177</c:v>
                </c:pt>
                <c:pt idx="54">
                  <c:v>74.071024287227857</c:v>
                </c:pt>
                <c:pt idx="55">
                  <c:v>125.55892816921619</c:v>
                </c:pt>
                <c:pt idx="56">
                  <c:v>187.33818923251644</c:v>
                </c:pt>
                <c:pt idx="57">
                  <c:v>200.23026219523791</c:v>
                </c:pt>
                <c:pt idx="58">
                  <c:v>188.77485075829043</c:v>
                </c:pt>
                <c:pt idx="59">
                  <c:v>162.52860193505822</c:v>
                </c:pt>
                <c:pt idx="60">
                  <c:v>150.38066495457664</c:v>
                </c:pt>
                <c:pt idx="61">
                  <c:v>137.93921947435391</c:v>
                </c:pt>
                <c:pt idx="62">
                  <c:v>114.57784828591433</c:v>
                </c:pt>
                <c:pt idx="63">
                  <c:v>84.238705438379597</c:v>
                </c:pt>
                <c:pt idx="64">
                  <c:v>75.801483917461184</c:v>
                </c:pt>
                <c:pt idx="65">
                  <c:v>68.976714710764995</c:v>
                </c:pt>
                <c:pt idx="66">
                  <c:v>63.941519707196882</c:v>
                </c:pt>
                <c:pt idx="67">
                  <c:v>109.10597749205307</c:v>
                </c:pt>
                <c:pt idx="68">
                  <c:v>163.80954829020123</c:v>
                </c:pt>
                <c:pt idx="69">
                  <c:v>176.22784908908042</c:v>
                </c:pt>
                <c:pt idx="70">
                  <c:v>167.0949736629147</c:v>
                </c:pt>
                <c:pt idx="71">
                  <c:v>144.69053005288382</c:v>
                </c:pt>
                <c:pt idx="72">
                  <c:v>134.5810598573712</c:v>
                </c:pt>
                <c:pt idx="73">
                  <c:v>124.1027901428062</c:v>
                </c:pt>
                <c:pt idx="74">
                  <c:v>103.6093310809801</c:v>
                </c:pt>
                <c:pt idx="75">
                  <c:v>76.543721190423028</c:v>
                </c:pt>
                <c:pt idx="76">
                  <c:v>69.210734499811736</c:v>
                </c:pt>
                <c:pt idx="77">
                  <c:v>63.270678548787757</c:v>
                </c:pt>
                <c:pt idx="78">
                  <c:v>58.882327891800372</c:v>
                </c:pt>
                <c:pt idx="79">
                  <c:v>100.88966652746389</c:v>
                </c:pt>
                <c:pt idx="80">
                  <c:v>152.07690548816228</c:v>
                </c:pt>
                <c:pt idx="81">
                  <c:v>164.16326699435419</c:v>
                </c:pt>
                <c:pt idx="82">
                  <c:v>156.23888298457661</c:v>
                </c:pt>
                <c:pt idx="83">
                  <c:v>135.75285271576826</c:v>
                </c:pt>
                <c:pt idx="84">
                  <c:v>126.70455463803174</c:v>
                </c:pt>
                <c:pt idx="85">
                  <c:v>117.19802911331773</c:v>
                </c:pt>
                <c:pt idx="86">
                  <c:v>98.154094442414916</c:v>
                </c:pt>
                <c:pt idx="87">
                  <c:v>72.663092020679144</c:v>
                </c:pt>
                <c:pt idx="88">
                  <c:v>65.854477606270748</c:v>
                </c:pt>
                <c:pt idx="89">
                  <c:v>60.345219542212263</c:v>
                </c:pt>
                <c:pt idx="90">
                  <c:v>56.290567829731557</c:v>
                </c:pt>
              </c:numCache>
            </c:numRef>
          </c:val>
          <c:smooth val="0"/>
        </c:ser>
        <c:ser>
          <c:idx val="3"/>
          <c:order val="2"/>
          <c:tx>
            <c:strRef>
              <c:f>濃度回帰式!$P$53</c:f>
              <c:strCache>
                <c:ptCount val="1"/>
                <c:pt idx="0">
                  <c:v>Cs-137:事故日1200から減衰</c:v>
                </c:pt>
              </c:strCache>
            </c:strRef>
          </c:tx>
          <c:marker>
            <c:symbol val="none"/>
          </c:marker>
          <c:cat>
            <c:numRef>
              <c:f>濃度回帰式!$E$60:$E$150</c:f>
              <c:numCache>
                <c:formatCode>[$-411]m\.d\.ge</c:formatCode>
                <c:ptCount val="91"/>
                <c:pt idx="0">
                  <c:v>40614</c:v>
                </c:pt>
                <c:pt idx="1">
                  <c:v>40817</c:v>
                </c:pt>
                <c:pt idx="2">
                  <c:v>40848</c:v>
                </c:pt>
                <c:pt idx="3">
                  <c:v>40878</c:v>
                </c:pt>
                <c:pt idx="4">
                  <c:v>40909</c:v>
                </c:pt>
                <c:pt idx="5">
                  <c:v>40940</c:v>
                </c:pt>
                <c:pt idx="6">
                  <c:v>40969</c:v>
                </c:pt>
                <c:pt idx="7">
                  <c:v>41000</c:v>
                </c:pt>
                <c:pt idx="8">
                  <c:v>41030</c:v>
                </c:pt>
                <c:pt idx="9">
                  <c:v>41061</c:v>
                </c:pt>
                <c:pt idx="10">
                  <c:v>41091</c:v>
                </c:pt>
                <c:pt idx="11">
                  <c:v>41122</c:v>
                </c:pt>
                <c:pt idx="12">
                  <c:v>41153</c:v>
                </c:pt>
                <c:pt idx="13">
                  <c:v>41183</c:v>
                </c:pt>
                <c:pt idx="14">
                  <c:v>41214</c:v>
                </c:pt>
                <c:pt idx="15">
                  <c:v>41244</c:v>
                </c:pt>
                <c:pt idx="16">
                  <c:v>41275</c:v>
                </c:pt>
                <c:pt idx="17">
                  <c:v>41306</c:v>
                </c:pt>
                <c:pt idx="18">
                  <c:v>41334</c:v>
                </c:pt>
                <c:pt idx="19">
                  <c:v>41365</c:v>
                </c:pt>
                <c:pt idx="20">
                  <c:v>41395</c:v>
                </c:pt>
                <c:pt idx="21">
                  <c:v>41426</c:v>
                </c:pt>
                <c:pt idx="22">
                  <c:v>41456</c:v>
                </c:pt>
                <c:pt idx="23">
                  <c:v>41487</c:v>
                </c:pt>
                <c:pt idx="24">
                  <c:v>41518</c:v>
                </c:pt>
                <c:pt idx="25">
                  <c:v>41548</c:v>
                </c:pt>
                <c:pt idx="26">
                  <c:v>41579</c:v>
                </c:pt>
                <c:pt idx="27">
                  <c:v>41609</c:v>
                </c:pt>
                <c:pt idx="28">
                  <c:v>41640</c:v>
                </c:pt>
                <c:pt idx="29">
                  <c:v>41671</c:v>
                </c:pt>
                <c:pt idx="30">
                  <c:v>41699</c:v>
                </c:pt>
                <c:pt idx="31">
                  <c:v>41730</c:v>
                </c:pt>
                <c:pt idx="32">
                  <c:v>41760</c:v>
                </c:pt>
                <c:pt idx="33">
                  <c:v>41791</c:v>
                </c:pt>
                <c:pt idx="34">
                  <c:v>41821</c:v>
                </c:pt>
                <c:pt idx="35">
                  <c:v>41852</c:v>
                </c:pt>
                <c:pt idx="36">
                  <c:v>41883</c:v>
                </c:pt>
                <c:pt idx="37">
                  <c:v>41913</c:v>
                </c:pt>
                <c:pt idx="38">
                  <c:v>41944</c:v>
                </c:pt>
                <c:pt idx="39">
                  <c:v>41974</c:v>
                </c:pt>
                <c:pt idx="40">
                  <c:v>42005</c:v>
                </c:pt>
                <c:pt idx="41">
                  <c:v>42036</c:v>
                </c:pt>
                <c:pt idx="42">
                  <c:v>42064</c:v>
                </c:pt>
                <c:pt idx="43">
                  <c:v>42095</c:v>
                </c:pt>
                <c:pt idx="44">
                  <c:v>42125</c:v>
                </c:pt>
                <c:pt idx="45">
                  <c:v>42156</c:v>
                </c:pt>
                <c:pt idx="46">
                  <c:v>42186</c:v>
                </c:pt>
                <c:pt idx="47">
                  <c:v>42217</c:v>
                </c:pt>
                <c:pt idx="48">
                  <c:v>42248</c:v>
                </c:pt>
                <c:pt idx="49">
                  <c:v>42278</c:v>
                </c:pt>
                <c:pt idx="50">
                  <c:v>42309</c:v>
                </c:pt>
                <c:pt idx="51">
                  <c:v>42339</c:v>
                </c:pt>
                <c:pt idx="52">
                  <c:v>42370</c:v>
                </c:pt>
                <c:pt idx="53">
                  <c:v>42401</c:v>
                </c:pt>
                <c:pt idx="54">
                  <c:v>42430</c:v>
                </c:pt>
                <c:pt idx="55">
                  <c:v>42461</c:v>
                </c:pt>
                <c:pt idx="56">
                  <c:v>42491</c:v>
                </c:pt>
                <c:pt idx="57">
                  <c:v>42522</c:v>
                </c:pt>
                <c:pt idx="58">
                  <c:v>42552</c:v>
                </c:pt>
                <c:pt idx="59">
                  <c:v>42583</c:v>
                </c:pt>
                <c:pt idx="60">
                  <c:v>42614</c:v>
                </c:pt>
                <c:pt idx="61">
                  <c:v>42644</c:v>
                </c:pt>
                <c:pt idx="62">
                  <c:v>42675</c:v>
                </c:pt>
                <c:pt idx="63">
                  <c:v>42705</c:v>
                </c:pt>
                <c:pt idx="64">
                  <c:v>42736</c:v>
                </c:pt>
                <c:pt idx="65">
                  <c:v>42767</c:v>
                </c:pt>
                <c:pt idx="66">
                  <c:v>42795</c:v>
                </c:pt>
                <c:pt idx="67">
                  <c:v>42826</c:v>
                </c:pt>
                <c:pt idx="68">
                  <c:v>42856</c:v>
                </c:pt>
                <c:pt idx="69">
                  <c:v>42887</c:v>
                </c:pt>
                <c:pt idx="70">
                  <c:v>42917</c:v>
                </c:pt>
                <c:pt idx="71">
                  <c:v>42948</c:v>
                </c:pt>
                <c:pt idx="72">
                  <c:v>42979</c:v>
                </c:pt>
                <c:pt idx="73">
                  <c:v>43009</c:v>
                </c:pt>
                <c:pt idx="74">
                  <c:v>43040</c:v>
                </c:pt>
                <c:pt idx="75">
                  <c:v>43070</c:v>
                </c:pt>
                <c:pt idx="76">
                  <c:v>43101</c:v>
                </c:pt>
                <c:pt idx="77">
                  <c:v>43132</c:v>
                </c:pt>
                <c:pt idx="78">
                  <c:v>43160</c:v>
                </c:pt>
                <c:pt idx="79">
                  <c:v>43191</c:v>
                </c:pt>
                <c:pt idx="80">
                  <c:v>43221</c:v>
                </c:pt>
                <c:pt idx="81">
                  <c:v>43252</c:v>
                </c:pt>
                <c:pt idx="82">
                  <c:v>43282</c:v>
                </c:pt>
                <c:pt idx="83">
                  <c:v>43313</c:v>
                </c:pt>
                <c:pt idx="84">
                  <c:v>43344</c:v>
                </c:pt>
                <c:pt idx="85">
                  <c:v>43374</c:v>
                </c:pt>
                <c:pt idx="86">
                  <c:v>43405</c:v>
                </c:pt>
                <c:pt idx="87">
                  <c:v>43435</c:v>
                </c:pt>
                <c:pt idx="88">
                  <c:v>43466</c:v>
                </c:pt>
                <c:pt idx="89">
                  <c:v>43497</c:v>
                </c:pt>
                <c:pt idx="90">
                  <c:v>43525</c:v>
                </c:pt>
              </c:numCache>
            </c:numRef>
          </c:cat>
          <c:val>
            <c:numRef>
              <c:f>濃度回帰式!$P$60:$P$150</c:f>
              <c:numCache>
                <c:formatCode>0</c:formatCode>
                <c:ptCount val="91"/>
                <c:pt idx="0">
                  <c:v>1200</c:v>
                </c:pt>
                <c:pt idx="1">
                  <c:v>816.34382180349121</c:v>
                </c:pt>
                <c:pt idx="2">
                  <c:v>769.70373154246909</c:v>
                </c:pt>
                <c:pt idx="3">
                  <c:v>727.10687623394915</c:v>
                </c:pt>
                <c:pt idx="4">
                  <c:v>685.56515149590791</c:v>
                </c:pt>
                <c:pt idx="5">
                  <c:v>646.39682597965589</c:v>
                </c:pt>
                <c:pt idx="6">
                  <c:v>611.78391309780591</c:v>
                </c:pt>
                <c:pt idx="7">
                  <c:v>576.83092372613953</c:v>
                </c:pt>
                <c:pt idx="8">
                  <c:v>544.908013145724</c:v>
                </c:pt>
                <c:pt idx="9">
                  <c:v>513.77583790499762</c:v>
                </c:pt>
                <c:pt idx="10">
                  <c:v>485.34251462566851</c:v>
                </c:pt>
                <c:pt idx="11">
                  <c:v>457.61348907900185</c:v>
                </c:pt>
                <c:pt idx="12">
                  <c:v>431.46870318700604</c:v>
                </c:pt>
                <c:pt idx="13">
                  <c:v>407.59041188266207</c:v>
                </c:pt>
                <c:pt idx="14">
                  <c:v>384.30358947768934</c:v>
                </c:pt>
                <c:pt idx="15">
                  <c:v>363.03550446695323</c:v>
                </c:pt>
                <c:pt idx="16">
                  <c:v>342.29423314957177</c:v>
                </c:pt>
                <c:pt idx="17">
                  <c:v>322.73797082047895</c:v>
                </c:pt>
                <c:pt idx="18">
                  <c:v>306.0363966679954</c:v>
                </c:pt>
                <c:pt idx="19">
                  <c:v>288.55164969922481</c:v>
                </c:pt>
                <c:pt idx="20">
                  <c:v>272.58265751746552</c:v>
                </c:pt>
                <c:pt idx="21">
                  <c:v>257.00921969549813</c:v>
                </c:pt>
                <c:pt idx="22">
                  <c:v>242.78584504407786</c:v>
                </c:pt>
                <c:pt idx="23">
                  <c:v>228.91478554130859</c:v>
                </c:pt>
                <c:pt idx="24">
                  <c:v>215.83621989951558</c:v>
                </c:pt>
                <c:pt idx="25">
                  <c:v>203.89143666327854</c:v>
                </c:pt>
                <c:pt idx="26">
                  <c:v>192.24252752053997</c:v>
                </c:pt>
                <c:pt idx="27">
                  <c:v>181.60346369201193</c:v>
                </c:pt>
                <c:pt idx="28">
                  <c:v>171.22793108909769</c:v>
                </c:pt>
                <c:pt idx="29">
                  <c:v>161.44518275695441</c:v>
                </c:pt>
                <c:pt idx="30">
                  <c:v>153.09045249536908</c:v>
                </c:pt>
                <c:pt idx="31">
                  <c:v>144.34395092117873</c:v>
                </c:pt>
                <c:pt idx="32">
                  <c:v>136.35568460508864</c:v>
                </c:pt>
                <c:pt idx="33">
                  <c:v>128.56528885794515</c:v>
                </c:pt>
                <c:pt idx="34">
                  <c:v>121.45024344143765</c:v>
                </c:pt>
                <c:pt idx="35">
                  <c:v>114.51143877967435</c:v>
                </c:pt>
                <c:pt idx="36">
                  <c:v>107.96906815352763</c:v>
                </c:pt>
                <c:pt idx="37">
                  <c:v>101.99385641236198</c:v>
                </c:pt>
                <c:pt idx="38">
                  <c:v>96.166651572821493</c:v>
                </c:pt>
                <c:pt idx="39">
                  <c:v>90.844607811459895</c:v>
                </c:pt>
                <c:pt idx="40">
                  <c:v>85.654391881739102</c:v>
                </c:pt>
                <c:pt idx="41">
                  <c:v>80.760708041771352</c:v>
                </c:pt>
                <c:pt idx="42">
                  <c:v>76.581370387334019</c:v>
                </c:pt>
                <c:pt idx="43">
                  <c:v>72.206054580708368</c:v>
                </c:pt>
                <c:pt idx="44">
                  <c:v>68.210035419920615</c:v>
                </c:pt>
                <c:pt idx="45">
                  <c:v>64.312998260180336</c:v>
                </c:pt>
                <c:pt idx="46">
                  <c:v>60.753795713694004</c:v>
                </c:pt>
                <c:pt idx="47">
                  <c:v>57.282755154427697</c:v>
                </c:pt>
                <c:pt idx="48">
                  <c:v>54.010025209708829</c:v>
                </c:pt>
                <c:pt idx="49">
                  <c:v>51.021008611780928</c:v>
                </c:pt>
                <c:pt idx="50">
                  <c:v>48.106030408596013</c:v>
                </c:pt>
                <c:pt idx="51">
                  <c:v>45.44375201132781</c:v>
                </c:pt>
                <c:pt idx="52">
                  <c:v>42.847418653986558</c:v>
                </c:pt>
                <c:pt idx="53">
                  <c:v>40.39942135174843</c:v>
                </c:pt>
                <c:pt idx="54">
                  <c:v>38.236134659234203</c:v>
                </c:pt>
                <c:pt idx="55">
                  <c:v>36.051593386171731</c:v>
                </c:pt>
                <c:pt idx="56">
                  <c:v>34.056430254982452</c:v>
                </c:pt>
                <c:pt idx="57">
                  <c:v>32.110687617338115</c:v>
                </c:pt>
                <c:pt idx="58">
                  <c:v>30.333621639560175</c:v>
                </c:pt>
                <c:pt idx="59">
                  <c:v>28.600573855738844</c:v>
                </c:pt>
                <c:pt idx="60">
                  <c:v>26.966540118334276</c:v>
                </c:pt>
                <c:pt idx="61">
                  <c:v>25.474160959290661</c:v>
                </c:pt>
                <c:pt idx="62">
                  <c:v>24.018748258499592</c:v>
                </c:pt>
                <c:pt idx="63">
                  <c:v>22.689505457235327</c:v>
                </c:pt>
                <c:pt idx="64">
                  <c:v>21.393188201883877</c:v>
                </c:pt>
                <c:pt idx="65" formatCode="0.0">
                  <c:v>20.170933311165683</c:v>
                </c:pt>
                <c:pt idx="66" formatCode="0.0">
                  <c:v>19.127094752086979</c:v>
                </c:pt>
                <c:pt idx="67" formatCode="0.0">
                  <c:v>18.034308352726946</c:v>
                </c:pt>
                <c:pt idx="68" formatCode="0.0">
                  <c:v>17.036255735844243</c:v>
                </c:pt>
                <c:pt idx="69" formatCode="0.0">
                  <c:v>16.062925033745909</c:v>
                </c:pt>
                <c:pt idx="70" formatCode="0.0">
                  <c:v>15.173972485571428</c:v>
                </c:pt>
                <c:pt idx="71" formatCode="0.0">
                  <c:v>14.307039426922424</c:v>
                </c:pt>
                <c:pt idx="72" formatCode="0.0">
                  <c:v>13.489636768364312</c:v>
                </c:pt>
                <c:pt idx="73" formatCode="0.0">
                  <c:v>12.743094843155014</c:v>
                </c:pt>
                <c:pt idx="74" formatCode="0.0">
                  <c:v>12.015044874728128</c:v>
                </c:pt>
                <c:pt idx="75" formatCode="0.0">
                  <c:v>11.350109644352496</c:v>
                </c:pt>
                <c:pt idx="76" formatCode="0.0">
                  <c:v>10.701644960543659</c:v>
                </c:pt>
                <c:pt idx="77" formatCode="0.0">
                  <c:v>10.09022894492602</c:v>
                </c:pt>
                <c:pt idx="78" formatCode="0.00">
                  <c:v>9.5680632186224521</c:v>
                </c:pt>
                <c:pt idx="79" formatCode="0.00">
                  <c:v>9.0214120157581537</c:v>
                </c:pt>
                <c:pt idx="80" formatCode="0.00">
                  <c:v>8.5221500704591477</c:v>
                </c:pt>
                <c:pt idx="81" formatCode="0.00">
                  <c:v>8.0352549193130525</c:v>
                </c:pt>
                <c:pt idx="82" formatCode="0.00">
                  <c:v>7.5905687665265305</c:v>
                </c:pt>
                <c:pt idx="83" formatCode="0.00">
                  <c:v>7.156897557229974</c:v>
                </c:pt>
                <c:pt idx="84" formatCode="0.00">
                  <c:v>6.7480032419393199</c:v>
                </c:pt>
                <c:pt idx="85" formatCode="0.00">
                  <c:v>6.3745560233032865</c:v>
                </c:pt>
                <c:pt idx="86" formatCode="0.00">
                  <c:v>6.0103591489471091</c:v>
                </c:pt>
                <c:pt idx="87" formatCode="0.00">
                  <c:v>5.6777345447934104</c:v>
                </c:pt>
                <c:pt idx="88" formatCode="0.00">
                  <c:v>5.3533491025636142</c:v>
                </c:pt>
                <c:pt idx="89" formatCode="0.00">
                  <c:v>5.0474967414950562</c:v>
                </c:pt>
                <c:pt idx="90" formatCode="0.00">
                  <c:v>4.7862905967759062</c:v>
                </c:pt>
              </c:numCache>
            </c:numRef>
          </c:val>
          <c:smooth val="0"/>
        </c:ser>
        <c:dLbls>
          <c:showLegendKey val="0"/>
          <c:showVal val="0"/>
          <c:showCatName val="0"/>
          <c:showSerName val="0"/>
          <c:showPercent val="0"/>
          <c:showBubbleSize val="0"/>
        </c:dLbls>
        <c:marker val="1"/>
        <c:smooth val="0"/>
        <c:axId val="136909952"/>
        <c:axId val="136911488"/>
      </c:lineChart>
      <c:dateAx>
        <c:axId val="136909952"/>
        <c:scaling>
          <c:orientation val="minMax"/>
        </c:scaling>
        <c:delete val="0"/>
        <c:axPos val="b"/>
        <c:majorGridlines>
          <c:spPr>
            <a:ln w="3175">
              <a:solidFill>
                <a:sysClr val="window" lastClr="FFFFFF">
                  <a:lumMod val="85000"/>
                </a:sysClr>
              </a:solidFill>
              <a:prstDash val="solid"/>
            </a:ln>
          </c:spPr>
        </c:majorGridlines>
        <c:numFmt formatCode="ge\.m" sourceLinked="0"/>
        <c:majorTickMark val="in"/>
        <c:minorTickMark val="none"/>
        <c:tickLblPos val="nextTo"/>
        <c:spPr>
          <a:ln w="3175">
            <a:solidFill>
              <a:srgbClr val="000000"/>
            </a:solidFill>
            <a:prstDash val="solid"/>
          </a:ln>
        </c:spPr>
        <c:txPr>
          <a:bodyPr rot="-5400000" vert="horz"/>
          <a:lstStyle/>
          <a:p>
            <a:pPr>
              <a:defRPr/>
            </a:pPr>
            <a:endParaRPr lang="ja-JP"/>
          </a:p>
        </c:txPr>
        <c:crossAx val="136911488"/>
        <c:crosses val="autoZero"/>
        <c:auto val="0"/>
        <c:lblOffset val="100"/>
        <c:baseTimeUnit val="days"/>
        <c:majorUnit val="6"/>
        <c:majorTimeUnit val="months"/>
      </c:dateAx>
      <c:valAx>
        <c:axId val="136911488"/>
        <c:scaling>
          <c:orientation val="minMax"/>
        </c:scaling>
        <c:delete val="0"/>
        <c:axPos val="l"/>
        <c:majorGridlines>
          <c:spPr>
            <a:ln w="3175">
              <a:solidFill>
                <a:srgbClr val="000000"/>
              </a:solidFill>
              <a:prstDash val="solid"/>
            </a:ln>
          </c:spPr>
        </c:majorGridlines>
        <c:minorGridlines>
          <c:spPr>
            <a:ln w="3175">
              <a:solidFill>
                <a:sysClr val="window" lastClr="FFFFFF">
                  <a:lumMod val="85000"/>
                </a:sysClr>
              </a:solidFill>
              <a:prstDash val="solid"/>
            </a:ln>
          </c:spPr>
        </c:minorGridlines>
        <c:numFmt formatCode="General" sourceLinked="0"/>
        <c:majorTickMark val="in"/>
        <c:minorTickMark val="none"/>
        <c:tickLblPos val="nextTo"/>
        <c:spPr>
          <a:ln w="3175">
            <a:solidFill>
              <a:srgbClr val="000000"/>
            </a:solidFill>
            <a:prstDash val="solid"/>
          </a:ln>
        </c:spPr>
        <c:txPr>
          <a:bodyPr rot="0" vert="horz"/>
          <a:lstStyle/>
          <a:p>
            <a:pPr>
              <a:defRPr/>
            </a:pPr>
            <a:endParaRPr lang="ja-JP"/>
          </a:p>
        </c:txPr>
        <c:crossAx val="136909952"/>
        <c:crosses val="autoZero"/>
        <c:crossBetween val="between"/>
        <c:majorUnit val="500"/>
      </c:valAx>
      <c:spPr>
        <a:noFill/>
        <a:ln w="12700">
          <a:solidFill>
            <a:srgbClr val="808080"/>
          </a:solidFill>
          <a:prstDash val="solid"/>
        </a:ln>
      </c:spPr>
    </c:plotArea>
    <c:legend>
      <c:legendPos val="t"/>
      <c:layout>
        <c:manualLayout>
          <c:xMode val="edge"/>
          <c:yMode val="edge"/>
          <c:x val="0.27289817648419867"/>
          <c:y val="5.7577241086361648E-2"/>
          <c:w val="0.62969330489865238"/>
          <c:h val="0.1483354797907023"/>
        </c:manualLayout>
      </c:layout>
      <c:overlay val="0"/>
      <c:spPr>
        <a:solidFill>
          <a:sysClr val="window" lastClr="FFFFFF"/>
        </a:solidFill>
        <a:ln>
          <a:solidFill>
            <a:sysClr val="windowText" lastClr="000000">
              <a:lumMod val="50000"/>
              <a:lumOff val="50000"/>
            </a:sysClr>
          </a:solidFill>
        </a:ln>
      </c:spPr>
      <c:txPr>
        <a:bodyPr/>
        <a:lstStyle/>
        <a:p>
          <a:pPr>
            <a:defRPr sz="900"/>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800" b="0" i="0" u="none" strike="noStrike" baseline="0">
          <a:solidFill>
            <a:srgbClr val="000000"/>
          </a:solidFill>
          <a:latin typeface="Meiryo UI" panose="020B0604030504040204" pitchFamily="50" charset="-128"/>
          <a:ea typeface="Meiryo UI" panose="020B0604030504040204" pitchFamily="50" charset="-128"/>
          <a:cs typeface="ＭＳ Ｐゴシック"/>
        </a:defRPr>
      </a:pPr>
      <a:endParaRPr lang="ja-JP"/>
    </a:p>
  </c:txPr>
  <c:printSettings>
    <c:headerFooter alignWithMargins="0"/>
    <c:pageMargins b="1" l="0.75" r="0.75" t="1" header="0.51200000000000001" footer="0.51200000000000001"/>
    <c:pageSetup orientation="portrait"/>
  </c:printSettings>
</c:chartSpace>
</file>

<file path=xl/charts/chart1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0.10171755573742668"/>
          <c:y val="3.6627296587926503E-2"/>
          <c:w val="0.85458439390452412"/>
          <c:h val="0.93600428036521222"/>
        </c:manualLayout>
      </c:layout>
      <c:lineChart>
        <c:grouping val="standard"/>
        <c:varyColors val="0"/>
        <c:ser>
          <c:idx val="1"/>
          <c:order val="0"/>
          <c:tx>
            <c:strRef>
              <c:f>濃度回帰式!$F$53</c:f>
              <c:strCache>
                <c:ptCount val="1"/>
                <c:pt idx="0">
                  <c:v>Cs-134</c:v>
                </c:pt>
              </c:strCache>
            </c:strRef>
          </c:tx>
          <c:spPr>
            <a:ln w="9525">
              <a:solidFill>
                <a:srgbClr val="009900"/>
              </a:solidFill>
            </a:ln>
          </c:spPr>
          <c:marker>
            <c:symbol val="triangle"/>
            <c:size val="6"/>
            <c:spPr>
              <a:solidFill>
                <a:srgbClr val="92D050"/>
              </a:solidFill>
              <a:ln>
                <a:solidFill>
                  <a:srgbClr val="009900"/>
                </a:solidFill>
              </a:ln>
            </c:spPr>
          </c:marker>
          <c:cat>
            <c:numRef>
              <c:f>濃度回帰式!$E$61:$E$150</c:f>
              <c:numCache>
                <c:formatCode>[$-411]m\.d\.ge</c:formatCode>
                <c:ptCount val="90"/>
                <c:pt idx="0">
                  <c:v>40817</c:v>
                </c:pt>
                <c:pt idx="1">
                  <c:v>40848</c:v>
                </c:pt>
                <c:pt idx="2">
                  <c:v>40878</c:v>
                </c:pt>
                <c:pt idx="3">
                  <c:v>40909</c:v>
                </c:pt>
                <c:pt idx="4">
                  <c:v>40940</c:v>
                </c:pt>
                <c:pt idx="5">
                  <c:v>40969</c:v>
                </c:pt>
                <c:pt idx="6">
                  <c:v>41000</c:v>
                </c:pt>
                <c:pt idx="7">
                  <c:v>41030</c:v>
                </c:pt>
                <c:pt idx="8">
                  <c:v>41061</c:v>
                </c:pt>
                <c:pt idx="9">
                  <c:v>41091</c:v>
                </c:pt>
                <c:pt idx="10">
                  <c:v>41122</c:v>
                </c:pt>
                <c:pt idx="11">
                  <c:v>41153</c:v>
                </c:pt>
                <c:pt idx="12">
                  <c:v>41183</c:v>
                </c:pt>
                <c:pt idx="13">
                  <c:v>41214</c:v>
                </c:pt>
                <c:pt idx="14">
                  <c:v>41244</c:v>
                </c:pt>
                <c:pt idx="15">
                  <c:v>41275</c:v>
                </c:pt>
                <c:pt idx="16">
                  <c:v>41306</c:v>
                </c:pt>
                <c:pt idx="17">
                  <c:v>41334</c:v>
                </c:pt>
                <c:pt idx="18">
                  <c:v>41365</c:v>
                </c:pt>
                <c:pt idx="19">
                  <c:v>41395</c:v>
                </c:pt>
                <c:pt idx="20">
                  <c:v>41426</c:v>
                </c:pt>
                <c:pt idx="21">
                  <c:v>41456</c:v>
                </c:pt>
                <c:pt idx="22">
                  <c:v>41487</c:v>
                </c:pt>
                <c:pt idx="23">
                  <c:v>41518</c:v>
                </c:pt>
                <c:pt idx="24">
                  <c:v>41548</c:v>
                </c:pt>
                <c:pt idx="25">
                  <c:v>41579</c:v>
                </c:pt>
                <c:pt idx="26">
                  <c:v>41609</c:v>
                </c:pt>
                <c:pt idx="27">
                  <c:v>41640</c:v>
                </c:pt>
                <c:pt idx="28">
                  <c:v>41671</c:v>
                </c:pt>
                <c:pt idx="29">
                  <c:v>41699</c:v>
                </c:pt>
                <c:pt idx="30">
                  <c:v>41730</c:v>
                </c:pt>
                <c:pt idx="31">
                  <c:v>41760</c:v>
                </c:pt>
                <c:pt idx="32">
                  <c:v>41791</c:v>
                </c:pt>
                <c:pt idx="33">
                  <c:v>41821</c:v>
                </c:pt>
                <c:pt idx="34">
                  <c:v>41852</c:v>
                </c:pt>
                <c:pt idx="35">
                  <c:v>41883</c:v>
                </c:pt>
                <c:pt idx="36">
                  <c:v>41913</c:v>
                </c:pt>
                <c:pt idx="37">
                  <c:v>41944</c:v>
                </c:pt>
                <c:pt idx="38">
                  <c:v>41974</c:v>
                </c:pt>
                <c:pt idx="39">
                  <c:v>42005</c:v>
                </c:pt>
                <c:pt idx="40">
                  <c:v>42036</c:v>
                </c:pt>
                <c:pt idx="41">
                  <c:v>42064</c:v>
                </c:pt>
                <c:pt idx="42">
                  <c:v>42095</c:v>
                </c:pt>
                <c:pt idx="43">
                  <c:v>42125</c:v>
                </c:pt>
                <c:pt idx="44">
                  <c:v>42156</c:v>
                </c:pt>
                <c:pt idx="45">
                  <c:v>42186</c:v>
                </c:pt>
                <c:pt idx="46">
                  <c:v>42217</c:v>
                </c:pt>
                <c:pt idx="47">
                  <c:v>42248</c:v>
                </c:pt>
                <c:pt idx="48">
                  <c:v>42278</c:v>
                </c:pt>
                <c:pt idx="49">
                  <c:v>42309</c:v>
                </c:pt>
                <c:pt idx="50">
                  <c:v>42339</c:v>
                </c:pt>
                <c:pt idx="51">
                  <c:v>42370</c:v>
                </c:pt>
                <c:pt idx="52">
                  <c:v>42401</c:v>
                </c:pt>
                <c:pt idx="53">
                  <c:v>42430</c:v>
                </c:pt>
                <c:pt idx="54">
                  <c:v>42461</c:v>
                </c:pt>
                <c:pt idx="55">
                  <c:v>42491</c:v>
                </c:pt>
                <c:pt idx="56">
                  <c:v>42522</c:v>
                </c:pt>
                <c:pt idx="57">
                  <c:v>42552</c:v>
                </c:pt>
                <c:pt idx="58">
                  <c:v>42583</c:v>
                </c:pt>
                <c:pt idx="59">
                  <c:v>42614</c:v>
                </c:pt>
                <c:pt idx="60">
                  <c:v>42644</c:v>
                </c:pt>
                <c:pt idx="61">
                  <c:v>42675</c:v>
                </c:pt>
                <c:pt idx="62">
                  <c:v>42705</c:v>
                </c:pt>
                <c:pt idx="63">
                  <c:v>42736</c:v>
                </c:pt>
                <c:pt idx="64">
                  <c:v>42767</c:v>
                </c:pt>
                <c:pt idx="65">
                  <c:v>42795</c:v>
                </c:pt>
                <c:pt idx="66">
                  <c:v>42826</c:v>
                </c:pt>
                <c:pt idx="67">
                  <c:v>42856</c:v>
                </c:pt>
                <c:pt idx="68">
                  <c:v>42887</c:v>
                </c:pt>
                <c:pt idx="69">
                  <c:v>42917</c:v>
                </c:pt>
                <c:pt idx="70">
                  <c:v>42948</c:v>
                </c:pt>
                <c:pt idx="71">
                  <c:v>42979</c:v>
                </c:pt>
                <c:pt idx="72">
                  <c:v>43009</c:v>
                </c:pt>
                <c:pt idx="73">
                  <c:v>43040</c:v>
                </c:pt>
                <c:pt idx="74">
                  <c:v>43070</c:v>
                </c:pt>
                <c:pt idx="75">
                  <c:v>43101</c:v>
                </c:pt>
                <c:pt idx="76">
                  <c:v>43132</c:v>
                </c:pt>
                <c:pt idx="77">
                  <c:v>43160</c:v>
                </c:pt>
                <c:pt idx="78">
                  <c:v>43191</c:v>
                </c:pt>
                <c:pt idx="79">
                  <c:v>43221</c:v>
                </c:pt>
                <c:pt idx="80">
                  <c:v>43252</c:v>
                </c:pt>
                <c:pt idx="81">
                  <c:v>43282</c:v>
                </c:pt>
                <c:pt idx="82">
                  <c:v>43313</c:v>
                </c:pt>
                <c:pt idx="83">
                  <c:v>43344</c:v>
                </c:pt>
                <c:pt idx="84">
                  <c:v>43374</c:v>
                </c:pt>
                <c:pt idx="85">
                  <c:v>43405</c:v>
                </c:pt>
                <c:pt idx="86">
                  <c:v>43435</c:v>
                </c:pt>
                <c:pt idx="87">
                  <c:v>43466</c:v>
                </c:pt>
                <c:pt idx="88">
                  <c:v>43497</c:v>
                </c:pt>
                <c:pt idx="89">
                  <c:v>43525</c:v>
                </c:pt>
              </c:numCache>
            </c:numRef>
          </c:cat>
          <c:val>
            <c:numRef>
              <c:f>濃度回帰式!$F$60:$F$150</c:f>
              <c:numCache>
                <c:formatCode>General</c:formatCode>
                <c:ptCount val="91"/>
                <c:pt idx="7">
                  <c:v>340</c:v>
                </c:pt>
                <c:pt idx="8">
                  <c:v>550</c:v>
                </c:pt>
                <c:pt idx="9">
                  <c:v>550</c:v>
                </c:pt>
                <c:pt idx="10">
                  <c:v>460</c:v>
                </c:pt>
                <c:pt idx="11">
                  <c:v>390</c:v>
                </c:pt>
                <c:pt idx="12">
                  <c:v>300</c:v>
                </c:pt>
                <c:pt idx="13">
                  <c:v>260</c:v>
                </c:pt>
                <c:pt idx="14">
                  <c:v>250</c:v>
                </c:pt>
                <c:pt idx="15">
                  <c:v>180</c:v>
                </c:pt>
                <c:pt idx="16">
                  <c:v>160</c:v>
                </c:pt>
                <c:pt idx="17">
                  <c:v>98</c:v>
                </c:pt>
                <c:pt idx="18">
                  <c:v>160</c:v>
                </c:pt>
                <c:pt idx="19">
                  <c:v>220</c:v>
                </c:pt>
                <c:pt idx="20">
                  <c:v>250</c:v>
                </c:pt>
                <c:pt idx="21">
                  <c:v>260</c:v>
                </c:pt>
                <c:pt idx="22">
                  <c:v>200</c:v>
                </c:pt>
                <c:pt idx="23">
                  <c:v>190</c:v>
                </c:pt>
                <c:pt idx="24">
                  <c:v>150</c:v>
                </c:pt>
                <c:pt idx="25">
                  <c:v>130</c:v>
                </c:pt>
                <c:pt idx="26">
                  <c:v>120</c:v>
                </c:pt>
                <c:pt idx="27">
                  <c:v>110</c:v>
                </c:pt>
                <c:pt idx="28">
                  <c:v>76</c:v>
                </c:pt>
                <c:pt idx="29">
                  <c:v>46</c:v>
                </c:pt>
                <c:pt idx="30">
                  <c:v>49</c:v>
                </c:pt>
                <c:pt idx="31">
                  <c:v>74</c:v>
                </c:pt>
                <c:pt idx="32">
                  <c:v>120</c:v>
                </c:pt>
                <c:pt idx="33">
                  <c:v>110</c:v>
                </c:pt>
                <c:pt idx="34">
                  <c:v>91</c:v>
                </c:pt>
                <c:pt idx="35">
                  <c:v>74</c:v>
                </c:pt>
                <c:pt idx="36">
                  <c:v>72</c:v>
                </c:pt>
                <c:pt idx="37">
                  <c:v>63</c:v>
                </c:pt>
                <c:pt idx="38">
                  <c:v>60</c:v>
                </c:pt>
                <c:pt idx="39">
                  <c:v>60</c:v>
                </c:pt>
                <c:pt idx="40">
                  <c:v>33</c:v>
                </c:pt>
                <c:pt idx="41">
                  <c:v>20</c:v>
                </c:pt>
                <c:pt idx="42">
                  <c:v>26</c:v>
                </c:pt>
                <c:pt idx="43">
                  <c:v>47</c:v>
                </c:pt>
                <c:pt idx="44">
                  <c:v>67</c:v>
                </c:pt>
                <c:pt idx="45">
                  <c:v>58</c:v>
                </c:pt>
                <c:pt idx="46">
                  <c:v>56</c:v>
                </c:pt>
                <c:pt idx="47">
                  <c:v>39</c:v>
                </c:pt>
                <c:pt idx="48">
                  <c:v>35</c:v>
                </c:pt>
                <c:pt idx="49">
                  <c:v>34</c:v>
                </c:pt>
                <c:pt idx="50">
                  <c:v>39</c:v>
                </c:pt>
                <c:pt idx="51">
                  <c:v>33</c:v>
                </c:pt>
                <c:pt idx="52">
                  <c:v>23</c:v>
                </c:pt>
                <c:pt idx="53">
                  <c:v>24</c:v>
                </c:pt>
                <c:pt idx="54">
                  <c:v>17</c:v>
                </c:pt>
                <c:pt idx="55">
                  <c:v>22</c:v>
                </c:pt>
                <c:pt idx="56">
                  <c:v>33</c:v>
                </c:pt>
                <c:pt idx="57">
                  <c:v>42</c:v>
                </c:pt>
                <c:pt idx="58">
                  <c:v>33</c:v>
                </c:pt>
                <c:pt idx="59">
                  <c:v>24</c:v>
                </c:pt>
                <c:pt idx="60">
                  <c:v>19</c:v>
                </c:pt>
                <c:pt idx="61">
                  <c:v>21</c:v>
                </c:pt>
                <c:pt idx="62">
                  <c:v>21</c:v>
                </c:pt>
                <c:pt idx="63">
                  <c:v>18</c:v>
                </c:pt>
                <c:pt idx="64">
                  <c:v>15</c:v>
                </c:pt>
                <c:pt idx="65">
                  <c:v>11</c:v>
                </c:pt>
                <c:pt idx="66">
                  <c:v>12</c:v>
                </c:pt>
                <c:pt idx="67">
                  <c:v>17</c:v>
                </c:pt>
                <c:pt idx="68">
                  <c:v>25</c:v>
                </c:pt>
                <c:pt idx="69">
                  <c:v>22</c:v>
                </c:pt>
                <c:pt idx="70">
                  <c:v>20</c:v>
                </c:pt>
                <c:pt idx="71">
                  <c:v>14</c:v>
                </c:pt>
                <c:pt idx="72">
                  <c:v>15</c:v>
                </c:pt>
                <c:pt idx="73">
                  <c:v>15</c:v>
                </c:pt>
                <c:pt idx="74">
                  <c:v>14</c:v>
                </c:pt>
                <c:pt idx="75">
                  <c:v>13</c:v>
                </c:pt>
                <c:pt idx="76">
                  <c:v>11</c:v>
                </c:pt>
                <c:pt idx="77">
                  <c:v>5.5</c:v>
                </c:pt>
                <c:pt idx="78" formatCode="0.0">
                  <c:v>5.383998161135243</c:v>
                </c:pt>
                <c:pt idx="79">
                  <c:v>11</c:v>
                </c:pt>
                <c:pt idx="80">
                  <c:v>14</c:v>
                </c:pt>
                <c:pt idx="81">
                  <c:v>16</c:v>
                </c:pt>
                <c:pt idx="82">
                  <c:v>12</c:v>
                </c:pt>
                <c:pt idx="83">
                  <c:v>10</c:v>
                </c:pt>
                <c:pt idx="84">
                  <c:v>10</c:v>
                </c:pt>
                <c:pt idx="85">
                  <c:v>10</c:v>
                </c:pt>
                <c:pt idx="86" formatCode="0.0">
                  <c:v>4.2971331004994537</c:v>
                </c:pt>
                <c:pt idx="87">
                  <c:v>20</c:v>
                </c:pt>
                <c:pt idx="88">
                  <c:v>20</c:v>
                </c:pt>
                <c:pt idx="89">
                  <c:v>20</c:v>
                </c:pt>
                <c:pt idx="90">
                  <c:v>10</c:v>
                </c:pt>
              </c:numCache>
            </c:numRef>
          </c:val>
          <c:smooth val="0"/>
        </c:ser>
        <c:ser>
          <c:idx val="0"/>
          <c:order val="1"/>
          <c:tx>
            <c:strRef>
              <c:f>濃度回帰式!$O$53</c:f>
              <c:strCache>
                <c:ptCount val="1"/>
                <c:pt idx="0">
                  <c:v>回帰式_Cs-134</c:v>
                </c:pt>
              </c:strCache>
            </c:strRef>
          </c:tx>
          <c:spPr>
            <a:ln w="25400">
              <a:solidFill>
                <a:srgbClr val="C00000"/>
              </a:solidFill>
              <a:prstDash val="sysDash"/>
            </a:ln>
          </c:spPr>
          <c:marker>
            <c:symbol val="none"/>
          </c:marker>
          <c:cat>
            <c:numRef>
              <c:f>濃度回帰式!$E$61:$E$150</c:f>
              <c:numCache>
                <c:formatCode>[$-411]m\.d\.ge</c:formatCode>
                <c:ptCount val="90"/>
                <c:pt idx="0">
                  <c:v>40817</c:v>
                </c:pt>
                <c:pt idx="1">
                  <c:v>40848</c:v>
                </c:pt>
                <c:pt idx="2">
                  <c:v>40878</c:v>
                </c:pt>
                <c:pt idx="3">
                  <c:v>40909</c:v>
                </c:pt>
                <c:pt idx="4">
                  <c:v>40940</c:v>
                </c:pt>
                <c:pt idx="5">
                  <c:v>40969</c:v>
                </c:pt>
                <c:pt idx="6">
                  <c:v>41000</c:v>
                </c:pt>
                <c:pt idx="7">
                  <c:v>41030</c:v>
                </c:pt>
                <c:pt idx="8">
                  <c:v>41061</c:v>
                </c:pt>
                <c:pt idx="9">
                  <c:v>41091</c:v>
                </c:pt>
                <c:pt idx="10">
                  <c:v>41122</c:v>
                </c:pt>
                <c:pt idx="11">
                  <c:v>41153</c:v>
                </c:pt>
                <c:pt idx="12">
                  <c:v>41183</c:v>
                </c:pt>
                <c:pt idx="13">
                  <c:v>41214</c:v>
                </c:pt>
                <c:pt idx="14">
                  <c:v>41244</c:v>
                </c:pt>
                <c:pt idx="15">
                  <c:v>41275</c:v>
                </c:pt>
                <c:pt idx="16">
                  <c:v>41306</c:v>
                </c:pt>
                <c:pt idx="17">
                  <c:v>41334</c:v>
                </c:pt>
                <c:pt idx="18">
                  <c:v>41365</c:v>
                </c:pt>
                <c:pt idx="19">
                  <c:v>41395</c:v>
                </c:pt>
                <c:pt idx="20">
                  <c:v>41426</c:v>
                </c:pt>
                <c:pt idx="21">
                  <c:v>41456</c:v>
                </c:pt>
                <c:pt idx="22">
                  <c:v>41487</c:v>
                </c:pt>
                <c:pt idx="23">
                  <c:v>41518</c:v>
                </c:pt>
                <c:pt idx="24">
                  <c:v>41548</c:v>
                </c:pt>
                <c:pt idx="25">
                  <c:v>41579</c:v>
                </c:pt>
                <c:pt idx="26">
                  <c:v>41609</c:v>
                </c:pt>
                <c:pt idx="27">
                  <c:v>41640</c:v>
                </c:pt>
                <c:pt idx="28">
                  <c:v>41671</c:v>
                </c:pt>
                <c:pt idx="29">
                  <c:v>41699</c:v>
                </c:pt>
                <c:pt idx="30">
                  <c:v>41730</c:v>
                </c:pt>
                <c:pt idx="31">
                  <c:v>41760</c:v>
                </c:pt>
                <c:pt idx="32">
                  <c:v>41791</c:v>
                </c:pt>
                <c:pt idx="33">
                  <c:v>41821</c:v>
                </c:pt>
                <c:pt idx="34">
                  <c:v>41852</c:v>
                </c:pt>
                <c:pt idx="35">
                  <c:v>41883</c:v>
                </c:pt>
                <c:pt idx="36">
                  <c:v>41913</c:v>
                </c:pt>
                <c:pt idx="37">
                  <c:v>41944</c:v>
                </c:pt>
                <c:pt idx="38">
                  <c:v>41974</c:v>
                </c:pt>
                <c:pt idx="39">
                  <c:v>42005</c:v>
                </c:pt>
                <c:pt idx="40">
                  <c:v>42036</c:v>
                </c:pt>
                <c:pt idx="41">
                  <c:v>42064</c:v>
                </c:pt>
                <c:pt idx="42">
                  <c:v>42095</c:v>
                </c:pt>
                <c:pt idx="43">
                  <c:v>42125</c:v>
                </c:pt>
                <c:pt idx="44">
                  <c:v>42156</c:v>
                </c:pt>
                <c:pt idx="45">
                  <c:v>42186</c:v>
                </c:pt>
                <c:pt idx="46">
                  <c:v>42217</c:v>
                </c:pt>
                <c:pt idx="47">
                  <c:v>42248</c:v>
                </c:pt>
                <c:pt idx="48">
                  <c:v>42278</c:v>
                </c:pt>
                <c:pt idx="49">
                  <c:v>42309</c:v>
                </c:pt>
                <c:pt idx="50">
                  <c:v>42339</c:v>
                </c:pt>
                <c:pt idx="51">
                  <c:v>42370</c:v>
                </c:pt>
                <c:pt idx="52">
                  <c:v>42401</c:v>
                </c:pt>
                <c:pt idx="53">
                  <c:v>42430</c:v>
                </c:pt>
                <c:pt idx="54">
                  <c:v>42461</c:v>
                </c:pt>
                <c:pt idx="55">
                  <c:v>42491</c:v>
                </c:pt>
                <c:pt idx="56">
                  <c:v>42522</c:v>
                </c:pt>
                <c:pt idx="57">
                  <c:v>42552</c:v>
                </c:pt>
                <c:pt idx="58">
                  <c:v>42583</c:v>
                </c:pt>
                <c:pt idx="59">
                  <c:v>42614</c:v>
                </c:pt>
                <c:pt idx="60">
                  <c:v>42644</c:v>
                </c:pt>
                <c:pt idx="61">
                  <c:v>42675</c:v>
                </c:pt>
                <c:pt idx="62">
                  <c:v>42705</c:v>
                </c:pt>
                <c:pt idx="63">
                  <c:v>42736</c:v>
                </c:pt>
                <c:pt idx="64">
                  <c:v>42767</c:v>
                </c:pt>
                <c:pt idx="65">
                  <c:v>42795</c:v>
                </c:pt>
                <c:pt idx="66">
                  <c:v>42826</c:v>
                </c:pt>
                <c:pt idx="67">
                  <c:v>42856</c:v>
                </c:pt>
                <c:pt idx="68">
                  <c:v>42887</c:v>
                </c:pt>
                <c:pt idx="69">
                  <c:v>42917</c:v>
                </c:pt>
                <c:pt idx="70">
                  <c:v>42948</c:v>
                </c:pt>
                <c:pt idx="71">
                  <c:v>42979</c:v>
                </c:pt>
                <c:pt idx="72">
                  <c:v>43009</c:v>
                </c:pt>
                <c:pt idx="73">
                  <c:v>43040</c:v>
                </c:pt>
                <c:pt idx="74">
                  <c:v>43070</c:v>
                </c:pt>
                <c:pt idx="75">
                  <c:v>43101</c:v>
                </c:pt>
                <c:pt idx="76">
                  <c:v>43132</c:v>
                </c:pt>
                <c:pt idx="77">
                  <c:v>43160</c:v>
                </c:pt>
                <c:pt idx="78">
                  <c:v>43191</c:v>
                </c:pt>
                <c:pt idx="79">
                  <c:v>43221</c:v>
                </c:pt>
                <c:pt idx="80">
                  <c:v>43252</c:v>
                </c:pt>
                <c:pt idx="81">
                  <c:v>43282</c:v>
                </c:pt>
                <c:pt idx="82">
                  <c:v>43313</c:v>
                </c:pt>
                <c:pt idx="83">
                  <c:v>43344</c:v>
                </c:pt>
                <c:pt idx="84">
                  <c:v>43374</c:v>
                </c:pt>
                <c:pt idx="85">
                  <c:v>43405</c:v>
                </c:pt>
                <c:pt idx="86">
                  <c:v>43435</c:v>
                </c:pt>
                <c:pt idx="87">
                  <c:v>43466</c:v>
                </c:pt>
                <c:pt idx="88">
                  <c:v>43497</c:v>
                </c:pt>
                <c:pt idx="89">
                  <c:v>43525</c:v>
                </c:pt>
              </c:numCache>
            </c:numRef>
          </c:cat>
          <c:val>
            <c:numRef>
              <c:f>濃度回帰式!$O$60:$O$150</c:f>
              <c:numCache>
                <c:formatCode>0</c:formatCode>
                <c:ptCount val="91"/>
                <c:pt idx="1">
                  <c:v>780.32479140673752</c:v>
                </c:pt>
                <c:pt idx="2">
                  <c:v>604.99980469462264</c:v>
                </c:pt>
                <c:pt idx="3">
                  <c:v>416.02041273792702</c:v>
                </c:pt>
                <c:pt idx="4">
                  <c:v>349.16752653999816</c:v>
                </c:pt>
                <c:pt idx="5">
                  <c:v>296.28474897338879</c:v>
                </c:pt>
                <c:pt idx="6">
                  <c:v>257.18468336880449</c:v>
                </c:pt>
                <c:pt idx="7">
                  <c:v>409.10074926559156</c:v>
                </c:pt>
                <c:pt idx="8">
                  <c:v>573.86923058251261</c:v>
                </c:pt>
                <c:pt idx="9">
                  <c:v>575.32683836377066</c:v>
                </c:pt>
                <c:pt idx="10">
                  <c:v>509.57916792906292</c:v>
                </c:pt>
                <c:pt idx="11">
                  <c:v>411.21213975516696</c:v>
                </c:pt>
                <c:pt idx="12">
                  <c:v>356.53734281810824</c:v>
                </c:pt>
                <c:pt idx="13">
                  <c:v>307.13308957269703</c:v>
                </c:pt>
                <c:pt idx="14">
                  <c:v>239.02359257858782</c:v>
                </c:pt>
                <c:pt idx="15">
                  <c:v>165.02717411945301</c:v>
                </c:pt>
                <c:pt idx="16">
                  <c:v>139.11647465194233</c:v>
                </c:pt>
                <c:pt idx="17">
                  <c:v>118.61671988026326</c:v>
                </c:pt>
                <c:pt idx="18">
                  <c:v>103.67867524959496</c:v>
                </c:pt>
                <c:pt idx="19">
                  <c:v>165.83835031059999</c:v>
                </c:pt>
                <c:pt idx="20">
                  <c:v>233.9638030289768</c:v>
                </c:pt>
                <c:pt idx="21">
                  <c:v>235.99730221839258</c:v>
                </c:pt>
                <c:pt idx="22">
                  <c:v>210.37751968720471</c:v>
                </c:pt>
                <c:pt idx="23">
                  <c:v>170.95121332497234</c:v>
                </c:pt>
                <c:pt idx="24">
                  <c:v>149.33704588042201</c:v>
                </c:pt>
                <c:pt idx="25">
                  <c:v>129.64230851652673</c:v>
                </c:pt>
                <c:pt idx="26">
                  <c:v>101.75511358546811</c:v>
                </c:pt>
                <c:pt idx="27">
                  <c:v>70.862502391671043</c:v>
                </c:pt>
                <c:pt idx="28">
                  <c:v>60.317385686309684</c:v>
                </c:pt>
                <c:pt idx="29">
                  <c:v>51.953462130357451</c:v>
                </c:pt>
                <c:pt idx="30">
                  <c:v>45.857451210423051</c:v>
                </c:pt>
                <c:pt idx="31">
                  <c:v>74.18256226289806</c:v>
                </c:pt>
                <c:pt idx="32">
                  <c:v>105.84250840758911</c:v>
                </c:pt>
                <c:pt idx="33">
                  <c:v>108.11191571214584</c:v>
                </c:pt>
                <c:pt idx="34">
                  <c:v>97.596369725625379</c:v>
                </c:pt>
                <c:pt idx="35">
                  <c:v>80.406251667208807</c:v>
                </c:pt>
                <c:pt idx="36">
                  <c:v>71.242019646000585</c:v>
                </c:pt>
                <c:pt idx="37">
                  <c:v>62.743993337793334</c:v>
                </c:pt>
                <c:pt idx="38">
                  <c:v>50.01450377954864</c:v>
                </c:pt>
                <c:pt idx="39">
                  <c:v>35.37357944595378</c:v>
                </c:pt>
                <c:pt idx="40">
                  <c:v>30.616258916097483</c:v>
                </c:pt>
                <c:pt idx="41">
                  <c:v>26.825455260075476</c:v>
                </c:pt>
                <c:pt idx="42">
                  <c:v>24.055786950387642</c:v>
                </c:pt>
                <c:pt idx="43">
                  <c:v>39.618591477361534</c:v>
                </c:pt>
                <c:pt idx="44">
                  <c:v>57.547823700643598</c:v>
                </c:pt>
                <c:pt idx="45">
                  <c:v>59.899989607606287</c:v>
                </c:pt>
                <c:pt idx="46">
                  <c:v>55.077281760691285</c:v>
                </c:pt>
                <c:pt idx="47">
                  <c:v>46.268371646438979</c:v>
                </c:pt>
                <c:pt idx="48">
                  <c:v>41.807252188190851</c:v>
                </c:pt>
                <c:pt idx="49">
                  <c:v>37.527598074485049</c:v>
                </c:pt>
                <c:pt idx="50">
                  <c:v>30.509284061955903</c:v>
                </c:pt>
                <c:pt idx="51">
                  <c:v>21.998207261263556</c:v>
                </c:pt>
                <c:pt idx="52">
                  <c:v>19.418011019320573</c:v>
                </c:pt>
                <c:pt idx="53">
                  <c:v>17.349123800854784</c:v>
                </c:pt>
                <c:pt idx="54">
                  <c:v>15.82409834162752</c:v>
                </c:pt>
                <c:pt idx="55">
                  <c:v>26.574846050358332</c:v>
                </c:pt>
                <c:pt idx="56">
                  <c:v>39.322611550888162</c:v>
                </c:pt>
                <c:pt idx="57">
                  <c:v>41.693626424621257</c:v>
                </c:pt>
                <c:pt idx="58">
                  <c:v>39.03013062530345</c:v>
                </c:pt>
                <c:pt idx="59">
                  <c:v>33.379863155833171</c:v>
                </c:pt>
                <c:pt idx="60">
                  <c:v>30.694596216919841</c:v>
                </c:pt>
                <c:pt idx="61">
                  <c:v>28.007621471512525</c:v>
                </c:pt>
                <c:pt idx="62">
                  <c:v>23.149190998703425</c:v>
                </c:pt>
                <c:pt idx="63">
                  <c:v>16.949626140129766</c:v>
                </c:pt>
                <c:pt idx="64">
                  <c:v>15.191131116867744</c:v>
                </c:pt>
                <c:pt idx="65">
                  <c:v>13.77520764788129</c:v>
                </c:pt>
                <c:pt idx="66">
                  <c:v>12.734729969383816</c:v>
                </c:pt>
                <c:pt idx="67">
                  <c:v>21.676820780748031</c:v>
                </c:pt>
                <c:pt idx="68">
                  <c:v>32.478409982703944</c:v>
                </c:pt>
                <c:pt idx="69">
                  <c:v>34.870288648117537</c:v>
                </c:pt>
                <c:pt idx="70">
                  <c:v>33.009895127139742</c:v>
                </c:pt>
                <c:pt idx="71">
                  <c:v>28.54483938030938</c:v>
                </c:pt>
                <c:pt idx="72">
                  <c:v>26.522240627788236</c:v>
                </c:pt>
                <c:pt idx="73">
                  <c:v>24.434867817941718</c:v>
                </c:pt>
                <c:pt idx="74">
                  <c:v>20.386660941579649</c:v>
                </c:pt>
                <c:pt idx="75">
                  <c:v>15.054406522750332</c:v>
                </c:pt>
                <c:pt idx="76">
                  <c:v>13.604861923376793</c:v>
                </c:pt>
                <c:pt idx="77">
                  <c:v>12.433899354904547</c:v>
                </c:pt>
                <c:pt idx="78">
                  <c:v>11.571395449043157</c:v>
                </c:pt>
                <c:pt idx="79">
                  <c:v>19.832307859597382</c:v>
                </c:pt>
                <c:pt idx="80">
                  <c:v>29.903895903211147</c:v>
                </c:pt>
                <c:pt idx="81">
                  <c:v>32.296963812581211</c:v>
                </c:pt>
                <c:pt idx="82">
                  <c:v>30.742688277705927</c:v>
                </c:pt>
                <c:pt idx="83">
                  <c:v>26.722340940329332</c:v>
                </c:pt>
                <c:pt idx="84">
                  <c:v>24.951446653713639</c:v>
                </c:pt>
                <c:pt idx="85">
                  <c:v>23.089547046881762</c:v>
                </c:pt>
                <c:pt idx="86">
                  <c:v>19.348504804603714</c:v>
                </c:pt>
                <c:pt idx="87">
                  <c:v>14.336957405302336</c:v>
                </c:pt>
                <c:pt idx="88">
                  <c:v>13.003649883331486</c:v>
                </c:pt>
                <c:pt idx="89">
                  <c:v>11.923572518995838</c:v>
                </c:pt>
                <c:pt idx="90">
                  <c:v>11.130972508300136</c:v>
                </c:pt>
              </c:numCache>
            </c:numRef>
          </c:val>
          <c:smooth val="0"/>
        </c:ser>
        <c:ser>
          <c:idx val="3"/>
          <c:order val="2"/>
          <c:tx>
            <c:strRef>
              <c:f>濃度回帰式!$M$53</c:f>
              <c:strCache>
                <c:ptCount val="1"/>
                <c:pt idx="0">
                  <c:v>Cs-134:事故日1200から減衰</c:v>
                </c:pt>
              </c:strCache>
            </c:strRef>
          </c:tx>
          <c:marker>
            <c:symbol val="none"/>
          </c:marker>
          <c:cat>
            <c:numRef>
              <c:f>濃度回帰式!$E$61:$E$150</c:f>
              <c:numCache>
                <c:formatCode>[$-411]m\.d\.ge</c:formatCode>
                <c:ptCount val="90"/>
                <c:pt idx="0">
                  <c:v>40817</c:v>
                </c:pt>
                <c:pt idx="1">
                  <c:v>40848</c:v>
                </c:pt>
                <c:pt idx="2">
                  <c:v>40878</c:v>
                </c:pt>
                <c:pt idx="3">
                  <c:v>40909</c:v>
                </c:pt>
                <c:pt idx="4">
                  <c:v>40940</c:v>
                </c:pt>
                <c:pt idx="5">
                  <c:v>40969</c:v>
                </c:pt>
                <c:pt idx="6">
                  <c:v>41000</c:v>
                </c:pt>
                <c:pt idx="7">
                  <c:v>41030</c:v>
                </c:pt>
                <c:pt idx="8">
                  <c:v>41061</c:v>
                </c:pt>
                <c:pt idx="9">
                  <c:v>41091</c:v>
                </c:pt>
                <c:pt idx="10">
                  <c:v>41122</c:v>
                </c:pt>
                <c:pt idx="11">
                  <c:v>41153</c:v>
                </c:pt>
                <c:pt idx="12">
                  <c:v>41183</c:v>
                </c:pt>
                <c:pt idx="13">
                  <c:v>41214</c:v>
                </c:pt>
                <c:pt idx="14">
                  <c:v>41244</c:v>
                </c:pt>
                <c:pt idx="15">
                  <c:v>41275</c:v>
                </c:pt>
                <c:pt idx="16">
                  <c:v>41306</c:v>
                </c:pt>
                <c:pt idx="17">
                  <c:v>41334</c:v>
                </c:pt>
                <c:pt idx="18">
                  <c:v>41365</c:v>
                </c:pt>
                <c:pt idx="19">
                  <c:v>41395</c:v>
                </c:pt>
                <c:pt idx="20">
                  <c:v>41426</c:v>
                </c:pt>
                <c:pt idx="21">
                  <c:v>41456</c:v>
                </c:pt>
                <c:pt idx="22">
                  <c:v>41487</c:v>
                </c:pt>
                <c:pt idx="23">
                  <c:v>41518</c:v>
                </c:pt>
                <c:pt idx="24">
                  <c:v>41548</c:v>
                </c:pt>
                <c:pt idx="25">
                  <c:v>41579</c:v>
                </c:pt>
                <c:pt idx="26">
                  <c:v>41609</c:v>
                </c:pt>
                <c:pt idx="27">
                  <c:v>41640</c:v>
                </c:pt>
                <c:pt idx="28">
                  <c:v>41671</c:v>
                </c:pt>
                <c:pt idx="29">
                  <c:v>41699</c:v>
                </c:pt>
                <c:pt idx="30">
                  <c:v>41730</c:v>
                </c:pt>
                <c:pt idx="31">
                  <c:v>41760</c:v>
                </c:pt>
                <c:pt idx="32">
                  <c:v>41791</c:v>
                </c:pt>
                <c:pt idx="33">
                  <c:v>41821</c:v>
                </c:pt>
                <c:pt idx="34">
                  <c:v>41852</c:v>
                </c:pt>
                <c:pt idx="35">
                  <c:v>41883</c:v>
                </c:pt>
                <c:pt idx="36">
                  <c:v>41913</c:v>
                </c:pt>
                <c:pt idx="37">
                  <c:v>41944</c:v>
                </c:pt>
                <c:pt idx="38">
                  <c:v>41974</c:v>
                </c:pt>
                <c:pt idx="39">
                  <c:v>42005</c:v>
                </c:pt>
                <c:pt idx="40">
                  <c:v>42036</c:v>
                </c:pt>
                <c:pt idx="41">
                  <c:v>42064</c:v>
                </c:pt>
                <c:pt idx="42">
                  <c:v>42095</c:v>
                </c:pt>
                <c:pt idx="43">
                  <c:v>42125</c:v>
                </c:pt>
                <c:pt idx="44">
                  <c:v>42156</c:v>
                </c:pt>
                <c:pt idx="45">
                  <c:v>42186</c:v>
                </c:pt>
                <c:pt idx="46">
                  <c:v>42217</c:v>
                </c:pt>
                <c:pt idx="47">
                  <c:v>42248</c:v>
                </c:pt>
                <c:pt idx="48">
                  <c:v>42278</c:v>
                </c:pt>
                <c:pt idx="49">
                  <c:v>42309</c:v>
                </c:pt>
                <c:pt idx="50">
                  <c:v>42339</c:v>
                </c:pt>
                <c:pt idx="51">
                  <c:v>42370</c:v>
                </c:pt>
                <c:pt idx="52">
                  <c:v>42401</c:v>
                </c:pt>
                <c:pt idx="53">
                  <c:v>42430</c:v>
                </c:pt>
                <c:pt idx="54">
                  <c:v>42461</c:v>
                </c:pt>
                <c:pt idx="55">
                  <c:v>42491</c:v>
                </c:pt>
                <c:pt idx="56">
                  <c:v>42522</c:v>
                </c:pt>
                <c:pt idx="57">
                  <c:v>42552</c:v>
                </c:pt>
                <c:pt idx="58">
                  <c:v>42583</c:v>
                </c:pt>
                <c:pt idx="59">
                  <c:v>42614</c:v>
                </c:pt>
                <c:pt idx="60">
                  <c:v>42644</c:v>
                </c:pt>
                <c:pt idx="61">
                  <c:v>42675</c:v>
                </c:pt>
                <c:pt idx="62">
                  <c:v>42705</c:v>
                </c:pt>
                <c:pt idx="63">
                  <c:v>42736</c:v>
                </c:pt>
                <c:pt idx="64">
                  <c:v>42767</c:v>
                </c:pt>
                <c:pt idx="65">
                  <c:v>42795</c:v>
                </c:pt>
                <c:pt idx="66">
                  <c:v>42826</c:v>
                </c:pt>
                <c:pt idx="67">
                  <c:v>42856</c:v>
                </c:pt>
                <c:pt idx="68">
                  <c:v>42887</c:v>
                </c:pt>
                <c:pt idx="69">
                  <c:v>42917</c:v>
                </c:pt>
                <c:pt idx="70">
                  <c:v>42948</c:v>
                </c:pt>
                <c:pt idx="71">
                  <c:v>42979</c:v>
                </c:pt>
                <c:pt idx="72">
                  <c:v>43009</c:v>
                </c:pt>
                <c:pt idx="73">
                  <c:v>43040</c:v>
                </c:pt>
                <c:pt idx="74">
                  <c:v>43070</c:v>
                </c:pt>
                <c:pt idx="75">
                  <c:v>43101</c:v>
                </c:pt>
                <c:pt idx="76">
                  <c:v>43132</c:v>
                </c:pt>
                <c:pt idx="77">
                  <c:v>43160</c:v>
                </c:pt>
                <c:pt idx="78">
                  <c:v>43191</c:v>
                </c:pt>
                <c:pt idx="79">
                  <c:v>43221</c:v>
                </c:pt>
                <c:pt idx="80">
                  <c:v>43252</c:v>
                </c:pt>
                <c:pt idx="81">
                  <c:v>43282</c:v>
                </c:pt>
                <c:pt idx="82">
                  <c:v>43313</c:v>
                </c:pt>
                <c:pt idx="83">
                  <c:v>43344</c:v>
                </c:pt>
                <c:pt idx="84">
                  <c:v>43374</c:v>
                </c:pt>
                <c:pt idx="85">
                  <c:v>43405</c:v>
                </c:pt>
                <c:pt idx="86">
                  <c:v>43435</c:v>
                </c:pt>
                <c:pt idx="87">
                  <c:v>43466</c:v>
                </c:pt>
                <c:pt idx="88">
                  <c:v>43497</c:v>
                </c:pt>
                <c:pt idx="89">
                  <c:v>43525</c:v>
                </c:pt>
              </c:numCache>
            </c:numRef>
          </c:cat>
          <c:val>
            <c:numRef>
              <c:f>濃度回帰式!$M$61:$M$150</c:f>
              <c:numCache>
                <c:formatCode>0</c:formatCode>
                <c:ptCount val="90"/>
                <c:pt idx="0">
                  <c:v>697.48678630351162</c:v>
                </c:pt>
                <c:pt idx="1">
                  <c:v>642.02323772943339</c:v>
                </c:pt>
                <c:pt idx="2">
                  <c:v>592.55180384470373</c:v>
                </c:pt>
                <c:pt idx="3">
                  <c:v>545.43259470617079</c:v>
                </c:pt>
                <c:pt idx="4">
                  <c:v>502.06026449946307</c:v>
                </c:pt>
                <c:pt idx="5">
                  <c:v>464.61394617714882</c:v>
                </c:pt>
                <c:pt idx="6">
                  <c:v>427.66824530077849</c:v>
                </c:pt>
                <c:pt idx="7">
                  <c:v>394.71404663840514</c:v>
                </c:pt>
                <c:pt idx="8">
                  <c:v>363.32672557584715</c:v>
                </c:pt>
                <c:pt idx="9">
                  <c:v>335.3303961182898</c:v>
                </c:pt>
                <c:pt idx="10">
                  <c:v>308.66521180413349</c:v>
                </c:pt>
                <c:pt idx="11">
                  <c:v>284.12041998269092</c:v>
                </c:pt>
                <c:pt idx="12">
                  <c:v>262.22737352196629</c:v>
                </c:pt>
                <c:pt idx="13">
                  <c:v>241.37527860864461</c:v>
                </c:pt>
                <c:pt idx="14">
                  <c:v>222.77598120731267</c:v>
                </c:pt>
                <c:pt idx="15">
                  <c:v>205.06102703547398</c:v>
                </c:pt>
                <c:pt idx="16">
                  <c:v>188.75475076333359</c:v>
                </c:pt>
                <c:pt idx="17">
                  <c:v>175.14393241983743</c:v>
                </c:pt>
                <c:pt idx="18">
                  <c:v>161.21663774705263</c:v>
                </c:pt>
                <c:pt idx="19">
                  <c:v>148.79400603106026</c:v>
                </c:pt>
                <c:pt idx="20">
                  <c:v>136.96203481226172</c:v>
                </c:pt>
                <c:pt idx="21">
                  <c:v>126.40835411700265</c:v>
                </c:pt>
                <c:pt idx="22">
                  <c:v>116.35647065997786</c:v>
                </c:pt>
                <c:pt idx="23">
                  <c:v>107.10390431881464</c:v>
                </c:pt>
                <c:pt idx="24">
                  <c:v>98.850957369349771</c:v>
                </c:pt>
                <c:pt idx="25">
                  <c:v>90.990414369380616</c:v>
                </c:pt>
                <c:pt idx="26">
                  <c:v>83.979100753165369</c:v>
                </c:pt>
                <c:pt idx="27">
                  <c:v>77.3011549837329</c:v>
                </c:pt>
                <c:pt idx="28">
                  <c:v>71.154233710865981</c:v>
                </c:pt>
                <c:pt idx="29">
                  <c:v>66.023410007130124</c:v>
                </c:pt>
                <c:pt idx="30">
                  <c:v>60.773285302454703</c:v>
                </c:pt>
                <c:pt idx="31">
                  <c:v>56.090368253484485</c:v>
                </c:pt>
                <c:pt idx="32">
                  <c:v>51.630110474763896</c:v>
                </c:pt>
                <c:pt idx="33">
                  <c:v>47.651725508751198</c:v>
                </c:pt>
                <c:pt idx="34">
                  <c:v>43.862501333767042</c:v>
                </c:pt>
                <c:pt idx="35">
                  <c:v>40.374593001913233</c:v>
                </c:pt>
                <c:pt idx="36">
                  <c:v>37.263507777987456</c:v>
                </c:pt>
                <c:pt idx="37">
                  <c:v>34.30034573066289</c:v>
                </c:pt>
                <c:pt idx="38">
                  <c:v>31.657314783622667</c:v>
                </c:pt>
                <c:pt idx="39">
                  <c:v>29.139952375179423</c:v>
                </c:pt>
                <c:pt idx="40">
                  <c:v>26.822768457513348</c:v>
                </c:pt>
                <c:pt idx="41">
                  <c:v>24.888619370041514</c:v>
                </c:pt>
                <c:pt idx="42">
                  <c:v>22.909497791713367</c:v>
                </c:pt>
                <c:pt idx="43">
                  <c:v>21.144194546081089</c:v>
                </c:pt>
                <c:pt idx="44" formatCode="0.0">
                  <c:v>19.46282640507086</c:v>
                </c:pt>
                <c:pt idx="45" formatCode="0.0">
                  <c:v>17.963108212449608</c:v>
                </c:pt>
                <c:pt idx="46" formatCode="0.0">
                  <c:v>16.534697317151174</c:v>
                </c:pt>
                <c:pt idx="47" formatCode="0.0">
                  <c:v>15.219872426105235</c:v>
                </c:pt>
                <c:pt idx="48" formatCode="0.0">
                  <c:v>14.047097255030502</c:v>
                </c:pt>
                <c:pt idx="49" formatCode="0.0">
                  <c:v>12.930084178613377</c:v>
                </c:pt>
                <c:pt idx="50" formatCode="0.0">
                  <c:v>11.933749829675319</c:v>
                </c:pt>
                <c:pt idx="51" formatCode="0.0">
                  <c:v>10.984788320516241</c:v>
                </c:pt>
                <c:pt idx="52" formatCode="0.0">
                  <c:v>10.11128741332371</c:v>
                </c:pt>
                <c:pt idx="53" formatCode="0.00">
                  <c:v>9.3571339502823587</c:v>
                </c:pt>
                <c:pt idx="54" formatCode="0.00">
                  <c:v>8.6130627168815153</c:v>
                </c:pt>
                <c:pt idx="55" formatCode="0.00">
                  <c:v>7.9493786978261127</c:v>
                </c:pt>
                <c:pt idx="56" formatCode="0.00">
                  <c:v>7.3172509497475078</c:v>
                </c:pt>
                <c:pt idx="57" formatCode="0.00">
                  <c:v>6.7534163791194484</c:v>
                </c:pt>
                <c:pt idx="58" formatCode="0.00">
                  <c:v>6.2163905246665285</c:v>
                </c:pt>
                <c:pt idx="59" formatCode="0.00">
                  <c:v>5.7220685036752235</c:v>
                </c:pt>
                <c:pt idx="60" formatCode="0.00">
                  <c:v>5.2811515445561223</c:v>
                </c:pt>
                <c:pt idx="61" formatCode="0.00">
                  <c:v>4.8611989218391995</c:v>
                </c:pt>
                <c:pt idx="62" formatCode="0.00">
                  <c:v>4.4866167152623699</c:v>
                </c:pt>
                <c:pt idx="63" formatCode="0.00">
                  <c:v>4.1298448179207341</c:v>
                </c:pt>
                <c:pt idx="64" formatCode="0.00">
                  <c:v>3.8014431146052017</c:v>
                </c:pt>
                <c:pt idx="65" formatCode="0.00">
                  <c:v>3.5273268263169122</c:v>
                </c:pt>
                <c:pt idx="66" formatCode="0.00">
                  <c:v>3.2468368348076768</c:v>
                </c:pt>
                <c:pt idx="67" formatCode="0.00">
                  <c:v>2.9966501369308864</c:v>
                </c:pt>
                <c:pt idx="68" formatCode="0.00">
                  <c:v>2.7583590987450242</c:v>
                </c:pt>
                <c:pt idx="69" formatCode="0.00">
                  <c:v>2.5458123064100464</c:v>
                </c:pt>
                <c:pt idx="70" formatCode="0.00">
                  <c:v>2.3433715042474987</c:v>
                </c:pt>
                <c:pt idx="71" formatCode="0.00">
                  <c:v>2.1570286203317237</c:v>
                </c:pt>
                <c:pt idx="72" formatCode="0.00">
                  <c:v>1.9908176601870362</c:v>
                </c:pt>
                <c:pt idx="73" formatCode="0.00">
                  <c:v>1.8325095543330157</c:v>
                </c:pt>
                <c:pt idx="74" formatCode="0.00">
                  <c:v>1.6913045792904673</c:v>
                </c:pt>
                <c:pt idx="75" formatCode="0.00">
                  <c:v>1.556813495689898</c:v>
                </c:pt>
                <c:pt idx="76" formatCode="0.00">
                  <c:v>1.433017027234073</c:v>
                </c:pt>
                <c:pt idx="77" formatCode="0.00">
                  <c:v>1.3296843462713819</c:v>
                </c:pt>
                <c:pt idx="78" formatCode="0.00">
                  <c:v>1.2239489921746196</c:v>
                </c:pt>
                <c:pt idx="79" formatCode="0.00">
                  <c:v>1.1296369671787794</c:v>
                </c:pt>
                <c:pt idx="80" formatCode="0.00">
                  <c:v>1.0398092083874737</c:v>
                </c:pt>
                <c:pt idx="81" formatCode="0.00">
                  <c:v>0.95968617002612333</c:v>
                </c:pt>
                <c:pt idx="82" formatCode="0.00">
                  <c:v>0.88337275226346323</c:v>
                </c:pt>
                <c:pt idx="83" formatCode="0.00">
                  <c:v>0.81312771176048626</c:v>
                </c:pt>
                <c:pt idx="84" formatCode="0.00">
                  <c:v>0.75047173380170507</c:v>
                </c:pt>
                <c:pt idx="85" formatCode="0.00">
                  <c:v>0.69079486783299171</c:v>
                </c:pt>
                <c:pt idx="86" formatCode="0.00">
                  <c:v>0.63756531067121125</c:v>
                </c:pt>
                <c:pt idx="87" formatCode="0.00">
                  <c:v>0.58686666623528294</c:v>
                </c:pt>
                <c:pt idx="88" formatCode="0.00">
                  <c:v>0.5401995343434336</c:v>
                </c:pt>
                <c:pt idx="89" formatCode="0.00">
                  <c:v>0.50124656652961386</c:v>
                </c:pt>
              </c:numCache>
            </c:numRef>
          </c:val>
          <c:smooth val="0"/>
        </c:ser>
        <c:dLbls>
          <c:showLegendKey val="0"/>
          <c:showVal val="0"/>
          <c:showCatName val="0"/>
          <c:showSerName val="0"/>
          <c:showPercent val="0"/>
          <c:showBubbleSize val="0"/>
        </c:dLbls>
        <c:marker val="1"/>
        <c:smooth val="0"/>
        <c:axId val="136714496"/>
        <c:axId val="136724480"/>
      </c:lineChart>
      <c:dateAx>
        <c:axId val="136714496"/>
        <c:scaling>
          <c:orientation val="minMax"/>
        </c:scaling>
        <c:delete val="0"/>
        <c:axPos val="b"/>
        <c:majorGridlines>
          <c:spPr>
            <a:ln w="3175">
              <a:solidFill>
                <a:sysClr val="window" lastClr="FFFFFF">
                  <a:lumMod val="85000"/>
                </a:sysClr>
              </a:solidFill>
              <a:prstDash val="solid"/>
            </a:ln>
          </c:spPr>
        </c:majorGridlines>
        <c:numFmt formatCode="ge\.m" sourceLinked="0"/>
        <c:majorTickMark val="in"/>
        <c:minorTickMark val="none"/>
        <c:tickLblPos val="nextTo"/>
        <c:spPr>
          <a:ln w="3175">
            <a:solidFill>
              <a:srgbClr val="000000"/>
            </a:solidFill>
            <a:prstDash val="solid"/>
          </a:ln>
        </c:spPr>
        <c:txPr>
          <a:bodyPr rot="-5400000" vert="horz"/>
          <a:lstStyle/>
          <a:p>
            <a:pPr>
              <a:defRPr/>
            </a:pPr>
            <a:endParaRPr lang="ja-JP"/>
          </a:p>
        </c:txPr>
        <c:crossAx val="136724480"/>
        <c:crosses val="autoZero"/>
        <c:auto val="0"/>
        <c:lblOffset val="100"/>
        <c:baseTimeUnit val="days"/>
        <c:majorUnit val="6"/>
        <c:majorTimeUnit val="months"/>
      </c:dateAx>
      <c:valAx>
        <c:axId val="136724480"/>
        <c:scaling>
          <c:logBase val="10"/>
          <c:orientation val="minMax"/>
        </c:scaling>
        <c:delete val="0"/>
        <c:axPos val="l"/>
        <c:majorGridlines>
          <c:spPr>
            <a:ln w="3175">
              <a:solidFill>
                <a:srgbClr val="000000"/>
              </a:solidFill>
              <a:prstDash val="solid"/>
            </a:ln>
          </c:spPr>
        </c:majorGridlines>
        <c:minorGridlines>
          <c:spPr>
            <a:ln w="3175">
              <a:solidFill>
                <a:sysClr val="window" lastClr="FFFFFF">
                  <a:lumMod val="85000"/>
                </a:sysClr>
              </a:solidFill>
              <a:prstDash val="solid"/>
            </a:ln>
          </c:spPr>
        </c:minorGridlines>
        <c:numFmt formatCode="General" sourceLinked="0"/>
        <c:majorTickMark val="in"/>
        <c:minorTickMark val="none"/>
        <c:tickLblPos val="nextTo"/>
        <c:spPr>
          <a:ln w="3175">
            <a:solidFill>
              <a:srgbClr val="000000"/>
            </a:solidFill>
            <a:prstDash val="solid"/>
          </a:ln>
        </c:spPr>
        <c:txPr>
          <a:bodyPr rot="0" vert="horz"/>
          <a:lstStyle/>
          <a:p>
            <a:pPr>
              <a:defRPr/>
            </a:pPr>
            <a:endParaRPr lang="ja-JP"/>
          </a:p>
        </c:txPr>
        <c:crossAx val="136714496"/>
        <c:crosses val="autoZero"/>
        <c:crossBetween val="between"/>
        <c:majorUnit val="500"/>
      </c:valAx>
      <c:spPr>
        <a:noFill/>
        <a:ln w="12700">
          <a:solidFill>
            <a:srgbClr val="808080"/>
          </a:solidFill>
          <a:prstDash val="solid"/>
        </a:ln>
      </c:spPr>
    </c:plotArea>
    <c:legend>
      <c:legendPos val="t"/>
      <c:layout>
        <c:manualLayout>
          <c:xMode val="edge"/>
          <c:yMode val="edge"/>
          <c:x val="0.37211942430082778"/>
          <c:y val="3.7085311383338267E-2"/>
          <c:w val="0.60751260612951385"/>
          <c:h val="0.16082736516478471"/>
        </c:manualLayout>
      </c:layout>
      <c:overlay val="0"/>
      <c:spPr>
        <a:solidFill>
          <a:sysClr val="window" lastClr="FFFFFF"/>
        </a:solidFill>
        <a:ln>
          <a:solidFill>
            <a:sysClr val="windowText" lastClr="000000">
              <a:lumMod val="50000"/>
              <a:lumOff val="50000"/>
            </a:sysClr>
          </a:solidFill>
        </a:ln>
      </c:spPr>
      <c:txPr>
        <a:bodyPr/>
        <a:lstStyle/>
        <a:p>
          <a:pPr>
            <a:defRPr sz="900"/>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800" b="0" i="0" u="none" strike="noStrike" baseline="0">
          <a:solidFill>
            <a:srgbClr val="000000"/>
          </a:solidFill>
          <a:latin typeface="Meiryo UI" panose="020B0604030504040204" pitchFamily="50" charset="-128"/>
          <a:ea typeface="Meiryo UI" panose="020B0604030504040204" pitchFamily="50" charset="-128"/>
          <a:cs typeface="ＭＳ Ｐゴシック"/>
        </a:defRPr>
      </a:pPr>
      <a:endParaRPr lang="ja-JP"/>
    </a:p>
  </c:txPr>
  <c:printSettings>
    <c:headerFooter alignWithMargins="0"/>
    <c:pageMargins b="1" l="0.75" r="0.75" t="1" header="0.51200000000000001" footer="0.51200000000000001"/>
    <c:pageSetup orientation="portrait"/>
  </c:printSettings>
</c:chartSpace>
</file>

<file path=xl/charts/chart1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0.10171755573742668"/>
          <c:y val="3.6627296587926503E-2"/>
          <c:w val="0.85458439390452412"/>
          <c:h val="0.80966870323782136"/>
        </c:manualLayout>
      </c:layout>
      <c:lineChart>
        <c:grouping val="standard"/>
        <c:varyColors val="0"/>
        <c:ser>
          <c:idx val="1"/>
          <c:order val="0"/>
          <c:tx>
            <c:strRef>
              <c:f>濃度回帰式!$G$53</c:f>
              <c:strCache>
                <c:ptCount val="1"/>
                <c:pt idx="0">
                  <c:v>Cs-137</c:v>
                </c:pt>
              </c:strCache>
            </c:strRef>
          </c:tx>
          <c:spPr>
            <a:ln w="9525">
              <a:solidFill>
                <a:srgbClr val="009900"/>
              </a:solidFill>
            </a:ln>
          </c:spPr>
          <c:marker>
            <c:symbol val="triangle"/>
            <c:size val="6"/>
            <c:spPr>
              <a:solidFill>
                <a:srgbClr val="92D050"/>
              </a:solidFill>
              <a:ln>
                <a:solidFill>
                  <a:srgbClr val="009900"/>
                </a:solidFill>
              </a:ln>
            </c:spPr>
          </c:marker>
          <c:cat>
            <c:numRef>
              <c:f>濃度回帰式!$E$61:$E$150</c:f>
              <c:numCache>
                <c:formatCode>[$-411]m\.d\.ge</c:formatCode>
                <c:ptCount val="90"/>
                <c:pt idx="0">
                  <c:v>40817</c:v>
                </c:pt>
                <c:pt idx="1">
                  <c:v>40848</c:v>
                </c:pt>
                <c:pt idx="2">
                  <c:v>40878</c:v>
                </c:pt>
                <c:pt idx="3">
                  <c:v>40909</c:v>
                </c:pt>
                <c:pt idx="4">
                  <c:v>40940</c:v>
                </c:pt>
                <c:pt idx="5">
                  <c:v>40969</c:v>
                </c:pt>
                <c:pt idx="6">
                  <c:v>41000</c:v>
                </c:pt>
                <c:pt idx="7">
                  <c:v>41030</c:v>
                </c:pt>
                <c:pt idx="8">
                  <c:v>41061</c:v>
                </c:pt>
                <c:pt idx="9">
                  <c:v>41091</c:v>
                </c:pt>
                <c:pt idx="10">
                  <c:v>41122</c:v>
                </c:pt>
                <c:pt idx="11">
                  <c:v>41153</c:v>
                </c:pt>
                <c:pt idx="12">
                  <c:v>41183</c:v>
                </c:pt>
                <c:pt idx="13">
                  <c:v>41214</c:v>
                </c:pt>
                <c:pt idx="14">
                  <c:v>41244</c:v>
                </c:pt>
                <c:pt idx="15">
                  <c:v>41275</c:v>
                </c:pt>
                <c:pt idx="16">
                  <c:v>41306</c:v>
                </c:pt>
                <c:pt idx="17">
                  <c:v>41334</c:v>
                </c:pt>
                <c:pt idx="18">
                  <c:v>41365</c:v>
                </c:pt>
                <c:pt idx="19">
                  <c:v>41395</c:v>
                </c:pt>
                <c:pt idx="20">
                  <c:v>41426</c:v>
                </c:pt>
                <c:pt idx="21">
                  <c:v>41456</c:v>
                </c:pt>
                <c:pt idx="22">
                  <c:v>41487</c:v>
                </c:pt>
                <c:pt idx="23">
                  <c:v>41518</c:v>
                </c:pt>
                <c:pt idx="24">
                  <c:v>41548</c:v>
                </c:pt>
                <c:pt idx="25">
                  <c:v>41579</c:v>
                </c:pt>
                <c:pt idx="26">
                  <c:v>41609</c:v>
                </c:pt>
                <c:pt idx="27">
                  <c:v>41640</c:v>
                </c:pt>
                <c:pt idx="28">
                  <c:v>41671</c:v>
                </c:pt>
                <c:pt idx="29">
                  <c:v>41699</c:v>
                </c:pt>
                <c:pt idx="30">
                  <c:v>41730</c:v>
                </c:pt>
                <c:pt idx="31">
                  <c:v>41760</c:v>
                </c:pt>
                <c:pt idx="32">
                  <c:v>41791</c:v>
                </c:pt>
                <c:pt idx="33">
                  <c:v>41821</c:v>
                </c:pt>
                <c:pt idx="34">
                  <c:v>41852</c:v>
                </c:pt>
                <c:pt idx="35">
                  <c:v>41883</c:v>
                </c:pt>
                <c:pt idx="36">
                  <c:v>41913</c:v>
                </c:pt>
                <c:pt idx="37">
                  <c:v>41944</c:v>
                </c:pt>
                <c:pt idx="38">
                  <c:v>41974</c:v>
                </c:pt>
                <c:pt idx="39">
                  <c:v>42005</c:v>
                </c:pt>
                <c:pt idx="40">
                  <c:v>42036</c:v>
                </c:pt>
                <c:pt idx="41">
                  <c:v>42064</c:v>
                </c:pt>
                <c:pt idx="42">
                  <c:v>42095</c:v>
                </c:pt>
                <c:pt idx="43">
                  <c:v>42125</c:v>
                </c:pt>
                <c:pt idx="44">
                  <c:v>42156</c:v>
                </c:pt>
                <c:pt idx="45">
                  <c:v>42186</c:v>
                </c:pt>
                <c:pt idx="46">
                  <c:v>42217</c:v>
                </c:pt>
                <c:pt idx="47">
                  <c:v>42248</c:v>
                </c:pt>
                <c:pt idx="48">
                  <c:v>42278</c:v>
                </c:pt>
                <c:pt idx="49">
                  <c:v>42309</c:v>
                </c:pt>
                <c:pt idx="50">
                  <c:v>42339</c:v>
                </c:pt>
                <c:pt idx="51">
                  <c:v>42370</c:v>
                </c:pt>
                <c:pt idx="52">
                  <c:v>42401</c:v>
                </c:pt>
                <c:pt idx="53">
                  <c:v>42430</c:v>
                </c:pt>
                <c:pt idx="54">
                  <c:v>42461</c:v>
                </c:pt>
                <c:pt idx="55">
                  <c:v>42491</c:v>
                </c:pt>
                <c:pt idx="56">
                  <c:v>42522</c:v>
                </c:pt>
                <c:pt idx="57">
                  <c:v>42552</c:v>
                </c:pt>
                <c:pt idx="58">
                  <c:v>42583</c:v>
                </c:pt>
                <c:pt idx="59">
                  <c:v>42614</c:v>
                </c:pt>
                <c:pt idx="60">
                  <c:v>42644</c:v>
                </c:pt>
                <c:pt idx="61">
                  <c:v>42675</c:v>
                </c:pt>
                <c:pt idx="62">
                  <c:v>42705</c:v>
                </c:pt>
                <c:pt idx="63">
                  <c:v>42736</c:v>
                </c:pt>
                <c:pt idx="64">
                  <c:v>42767</c:v>
                </c:pt>
                <c:pt idx="65">
                  <c:v>42795</c:v>
                </c:pt>
                <c:pt idx="66">
                  <c:v>42826</c:v>
                </c:pt>
                <c:pt idx="67">
                  <c:v>42856</c:v>
                </c:pt>
                <c:pt idx="68">
                  <c:v>42887</c:v>
                </c:pt>
                <c:pt idx="69">
                  <c:v>42917</c:v>
                </c:pt>
                <c:pt idx="70">
                  <c:v>42948</c:v>
                </c:pt>
                <c:pt idx="71">
                  <c:v>42979</c:v>
                </c:pt>
                <c:pt idx="72">
                  <c:v>43009</c:v>
                </c:pt>
                <c:pt idx="73">
                  <c:v>43040</c:v>
                </c:pt>
                <c:pt idx="74">
                  <c:v>43070</c:v>
                </c:pt>
                <c:pt idx="75">
                  <c:v>43101</c:v>
                </c:pt>
                <c:pt idx="76">
                  <c:v>43132</c:v>
                </c:pt>
                <c:pt idx="77">
                  <c:v>43160</c:v>
                </c:pt>
                <c:pt idx="78">
                  <c:v>43191</c:v>
                </c:pt>
                <c:pt idx="79">
                  <c:v>43221</c:v>
                </c:pt>
                <c:pt idx="80">
                  <c:v>43252</c:v>
                </c:pt>
                <c:pt idx="81">
                  <c:v>43282</c:v>
                </c:pt>
                <c:pt idx="82">
                  <c:v>43313</c:v>
                </c:pt>
                <c:pt idx="83">
                  <c:v>43344</c:v>
                </c:pt>
                <c:pt idx="84">
                  <c:v>43374</c:v>
                </c:pt>
                <c:pt idx="85">
                  <c:v>43405</c:v>
                </c:pt>
                <c:pt idx="86">
                  <c:v>43435</c:v>
                </c:pt>
                <c:pt idx="87">
                  <c:v>43466</c:v>
                </c:pt>
                <c:pt idx="88">
                  <c:v>43497</c:v>
                </c:pt>
                <c:pt idx="89">
                  <c:v>43525</c:v>
                </c:pt>
              </c:numCache>
            </c:numRef>
          </c:cat>
          <c:val>
            <c:numRef>
              <c:f>濃度回帰式!$G$60:$G$150</c:f>
              <c:numCache>
                <c:formatCode>General</c:formatCode>
                <c:ptCount val="91"/>
                <c:pt idx="7">
                  <c:v>510</c:v>
                </c:pt>
                <c:pt idx="8">
                  <c:v>850</c:v>
                </c:pt>
                <c:pt idx="9">
                  <c:v>890</c:v>
                </c:pt>
                <c:pt idx="10">
                  <c:v>760</c:v>
                </c:pt>
                <c:pt idx="11">
                  <c:v>660</c:v>
                </c:pt>
                <c:pt idx="12">
                  <c:v>510</c:v>
                </c:pt>
                <c:pt idx="13">
                  <c:v>450</c:v>
                </c:pt>
                <c:pt idx="14">
                  <c:v>450</c:v>
                </c:pt>
                <c:pt idx="15">
                  <c:v>330</c:v>
                </c:pt>
                <c:pt idx="16">
                  <c:v>300</c:v>
                </c:pt>
                <c:pt idx="17">
                  <c:v>180</c:v>
                </c:pt>
                <c:pt idx="18">
                  <c:v>320</c:v>
                </c:pt>
                <c:pt idx="19">
                  <c:v>460</c:v>
                </c:pt>
                <c:pt idx="20">
                  <c:v>540</c:v>
                </c:pt>
                <c:pt idx="21">
                  <c:v>560</c:v>
                </c:pt>
                <c:pt idx="22">
                  <c:v>430</c:v>
                </c:pt>
                <c:pt idx="23">
                  <c:v>390</c:v>
                </c:pt>
                <c:pt idx="24">
                  <c:v>360</c:v>
                </c:pt>
                <c:pt idx="25">
                  <c:v>290</c:v>
                </c:pt>
                <c:pt idx="26">
                  <c:v>300</c:v>
                </c:pt>
                <c:pt idx="27">
                  <c:v>280</c:v>
                </c:pt>
                <c:pt idx="28">
                  <c:v>190</c:v>
                </c:pt>
                <c:pt idx="29">
                  <c:v>120</c:v>
                </c:pt>
                <c:pt idx="30">
                  <c:v>130</c:v>
                </c:pt>
                <c:pt idx="31">
                  <c:v>210</c:v>
                </c:pt>
                <c:pt idx="32">
                  <c:v>320</c:v>
                </c:pt>
                <c:pt idx="33">
                  <c:v>330</c:v>
                </c:pt>
                <c:pt idx="34">
                  <c:v>290</c:v>
                </c:pt>
                <c:pt idx="35">
                  <c:v>220</c:v>
                </c:pt>
                <c:pt idx="36">
                  <c:v>230</c:v>
                </c:pt>
                <c:pt idx="37">
                  <c:v>200</c:v>
                </c:pt>
                <c:pt idx="38">
                  <c:v>190</c:v>
                </c:pt>
                <c:pt idx="39">
                  <c:v>180</c:v>
                </c:pt>
                <c:pt idx="40">
                  <c:v>110</c:v>
                </c:pt>
                <c:pt idx="41">
                  <c:v>71</c:v>
                </c:pt>
                <c:pt idx="42">
                  <c:v>100</c:v>
                </c:pt>
                <c:pt idx="43">
                  <c:v>170</c:v>
                </c:pt>
                <c:pt idx="44">
                  <c:v>230</c:v>
                </c:pt>
                <c:pt idx="45">
                  <c:v>240</c:v>
                </c:pt>
                <c:pt idx="46">
                  <c:v>230</c:v>
                </c:pt>
                <c:pt idx="47">
                  <c:v>170</c:v>
                </c:pt>
                <c:pt idx="48">
                  <c:v>160</c:v>
                </c:pt>
                <c:pt idx="49">
                  <c:v>160</c:v>
                </c:pt>
                <c:pt idx="50">
                  <c:v>170</c:v>
                </c:pt>
                <c:pt idx="51">
                  <c:v>140</c:v>
                </c:pt>
                <c:pt idx="52">
                  <c:v>110</c:v>
                </c:pt>
                <c:pt idx="53">
                  <c:v>120</c:v>
                </c:pt>
                <c:pt idx="54">
                  <c:v>75</c:v>
                </c:pt>
                <c:pt idx="55">
                  <c:v>120</c:v>
                </c:pt>
                <c:pt idx="56">
                  <c:v>180</c:v>
                </c:pt>
                <c:pt idx="57">
                  <c:v>210</c:v>
                </c:pt>
                <c:pt idx="58">
                  <c:v>180</c:v>
                </c:pt>
                <c:pt idx="59">
                  <c:v>150</c:v>
                </c:pt>
                <c:pt idx="60">
                  <c:v>110</c:v>
                </c:pt>
                <c:pt idx="61">
                  <c:v>120</c:v>
                </c:pt>
                <c:pt idx="62">
                  <c:v>110</c:v>
                </c:pt>
                <c:pt idx="63">
                  <c:v>120</c:v>
                </c:pt>
                <c:pt idx="64">
                  <c:v>93</c:v>
                </c:pt>
                <c:pt idx="65">
                  <c:v>70</c:v>
                </c:pt>
                <c:pt idx="66">
                  <c:v>72</c:v>
                </c:pt>
                <c:pt idx="67">
                  <c:v>120</c:v>
                </c:pt>
                <c:pt idx="68">
                  <c:v>170</c:v>
                </c:pt>
                <c:pt idx="69">
                  <c:v>150</c:v>
                </c:pt>
                <c:pt idx="70">
                  <c:v>140</c:v>
                </c:pt>
                <c:pt idx="71">
                  <c:v>120</c:v>
                </c:pt>
                <c:pt idx="72">
                  <c:v>130</c:v>
                </c:pt>
                <c:pt idx="73">
                  <c:v>120</c:v>
                </c:pt>
                <c:pt idx="74">
                  <c:v>120</c:v>
                </c:pt>
                <c:pt idx="75">
                  <c:v>120</c:v>
                </c:pt>
                <c:pt idx="76">
                  <c:v>81</c:v>
                </c:pt>
                <c:pt idx="77">
                  <c:v>48</c:v>
                </c:pt>
                <c:pt idx="78">
                  <c:v>51</c:v>
                </c:pt>
                <c:pt idx="79">
                  <c:v>100</c:v>
                </c:pt>
                <c:pt idx="80">
                  <c:v>130</c:v>
                </c:pt>
                <c:pt idx="81">
                  <c:v>170</c:v>
                </c:pt>
                <c:pt idx="82">
                  <c:v>130</c:v>
                </c:pt>
                <c:pt idx="83">
                  <c:v>120</c:v>
                </c:pt>
                <c:pt idx="84">
                  <c:v>110</c:v>
                </c:pt>
                <c:pt idx="85">
                  <c:v>100</c:v>
                </c:pt>
                <c:pt idx="86">
                  <c:v>80</c:v>
                </c:pt>
                <c:pt idx="87">
                  <c:v>180</c:v>
                </c:pt>
                <c:pt idx="88">
                  <c:v>200</c:v>
                </c:pt>
                <c:pt idx="89">
                  <c:v>200</c:v>
                </c:pt>
                <c:pt idx="90">
                  <c:v>190</c:v>
                </c:pt>
              </c:numCache>
            </c:numRef>
          </c:val>
          <c:smooth val="0"/>
        </c:ser>
        <c:ser>
          <c:idx val="0"/>
          <c:order val="1"/>
          <c:tx>
            <c:strRef>
              <c:f>濃度回帰式!$R$53</c:f>
              <c:strCache>
                <c:ptCount val="1"/>
                <c:pt idx="0">
                  <c:v>回帰式_Cs-137</c:v>
                </c:pt>
              </c:strCache>
            </c:strRef>
          </c:tx>
          <c:spPr>
            <a:ln w="25400">
              <a:solidFill>
                <a:srgbClr val="C00000"/>
              </a:solidFill>
              <a:prstDash val="sysDash"/>
            </a:ln>
          </c:spPr>
          <c:marker>
            <c:symbol val="none"/>
          </c:marker>
          <c:cat>
            <c:numRef>
              <c:f>濃度回帰式!$E$61:$E$150</c:f>
              <c:numCache>
                <c:formatCode>[$-411]m\.d\.ge</c:formatCode>
                <c:ptCount val="90"/>
                <c:pt idx="0">
                  <c:v>40817</c:v>
                </c:pt>
                <c:pt idx="1">
                  <c:v>40848</c:v>
                </c:pt>
                <c:pt idx="2">
                  <c:v>40878</c:v>
                </c:pt>
                <c:pt idx="3">
                  <c:v>40909</c:v>
                </c:pt>
                <c:pt idx="4">
                  <c:v>40940</c:v>
                </c:pt>
                <c:pt idx="5">
                  <c:v>40969</c:v>
                </c:pt>
                <c:pt idx="6">
                  <c:v>41000</c:v>
                </c:pt>
                <c:pt idx="7">
                  <c:v>41030</c:v>
                </c:pt>
                <c:pt idx="8">
                  <c:v>41061</c:v>
                </c:pt>
                <c:pt idx="9">
                  <c:v>41091</c:v>
                </c:pt>
                <c:pt idx="10">
                  <c:v>41122</c:v>
                </c:pt>
                <c:pt idx="11">
                  <c:v>41153</c:v>
                </c:pt>
                <c:pt idx="12">
                  <c:v>41183</c:v>
                </c:pt>
                <c:pt idx="13">
                  <c:v>41214</c:v>
                </c:pt>
                <c:pt idx="14">
                  <c:v>41244</c:v>
                </c:pt>
                <c:pt idx="15">
                  <c:v>41275</c:v>
                </c:pt>
                <c:pt idx="16">
                  <c:v>41306</c:v>
                </c:pt>
                <c:pt idx="17">
                  <c:v>41334</c:v>
                </c:pt>
                <c:pt idx="18">
                  <c:v>41365</c:v>
                </c:pt>
                <c:pt idx="19">
                  <c:v>41395</c:v>
                </c:pt>
                <c:pt idx="20">
                  <c:v>41426</c:v>
                </c:pt>
                <c:pt idx="21">
                  <c:v>41456</c:v>
                </c:pt>
                <c:pt idx="22">
                  <c:v>41487</c:v>
                </c:pt>
                <c:pt idx="23">
                  <c:v>41518</c:v>
                </c:pt>
                <c:pt idx="24">
                  <c:v>41548</c:v>
                </c:pt>
                <c:pt idx="25">
                  <c:v>41579</c:v>
                </c:pt>
                <c:pt idx="26">
                  <c:v>41609</c:v>
                </c:pt>
                <c:pt idx="27">
                  <c:v>41640</c:v>
                </c:pt>
                <c:pt idx="28">
                  <c:v>41671</c:v>
                </c:pt>
                <c:pt idx="29">
                  <c:v>41699</c:v>
                </c:pt>
                <c:pt idx="30">
                  <c:v>41730</c:v>
                </c:pt>
                <c:pt idx="31">
                  <c:v>41760</c:v>
                </c:pt>
                <c:pt idx="32">
                  <c:v>41791</c:v>
                </c:pt>
                <c:pt idx="33">
                  <c:v>41821</c:v>
                </c:pt>
                <c:pt idx="34">
                  <c:v>41852</c:v>
                </c:pt>
                <c:pt idx="35">
                  <c:v>41883</c:v>
                </c:pt>
                <c:pt idx="36">
                  <c:v>41913</c:v>
                </c:pt>
                <c:pt idx="37">
                  <c:v>41944</c:v>
                </c:pt>
                <c:pt idx="38">
                  <c:v>41974</c:v>
                </c:pt>
                <c:pt idx="39">
                  <c:v>42005</c:v>
                </c:pt>
                <c:pt idx="40">
                  <c:v>42036</c:v>
                </c:pt>
                <c:pt idx="41">
                  <c:v>42064</c:v>
                </c:pt>
                <c:pt idx="42">
                  <c:v>42095</c:v>
                </c:pt>
                <c:pt idx="43">
                  <c:v>42125</c:v>
                </c:pt>
                <c:pt idx="44">
                  <c:v>42156</c:v>
                </c:pt>
                <c:pt idx="45">
                  <c:v>42186</c:v>
                </c:pt>
                <c:pt idx="46">
                  <c:v>42217</c:v>
                </c:pt>
                <c:pt idx="47">
                  <c:v>42248</c:v>
                </c:pt>
                <c:pt idx="48">
                  <c:v>42278</c:v>
                </c:pt>
                <c:pt idx="49">
                  <c:v>42309</c:v>
                </c:pt>
                <c:pt idx="50">
                  <c:v>42339</c:v>
                </c:pt>
                <c:pt idx="51">
                  <c:v>42370</c:v>
                </c:pt>
                <c:pt idx="52">
                  <c:v>42401</c:v>
                </c:pt>
                <c:pt idx="53">
                  <c:v>42430</c:v>
                </c:pt>
                <c:pt idx="54">
                  <c:v>42461</c:v>
                </c:pt>
                <c:pt idx="55">
                  <c:v>42491</c:v>
                </c:pt>
                <c:pt idx="56">
                  <c:v>42522</c:v>
                </c:pt>
                <c:pt idx="57">
                  <c:v>42552</c:v>
                </c:pt>
                <c:pt idx="58">
                  <c:v>42583</c:v>
                </c:pt>
                <c:pt idx="59">
                  <c:v>42614</c:v>
                </c:pt>
                <c:pt idx="60">
                  <c:v>42644</c:v>
                </c:pt>
                <c:pt idx="61">
                  <c:v>42675</c:v>
                </c:pt>
                <c:pt idx="62">
                  <c:v>42705</c:v>
                </c:pt>
                <c:pt idx="63">
                  <c:v>42736</c:v>
                </c:pt>
                <c:pt idx="64">
                  <c:v>42767</c:v>
                </c:pt>
                <c:pt idx="65">
                  <c:v>42795</c:v>
                </c:pt>
                <c:pt idx="66">
                  <c:v>42826</c:v>
                </c:pt>
                <c:pt idx="67">
                  <c:v>42856</c:v>
                </c:pt>
                <c:pt idx="68">
                  <c:v>42887</c:v>
                </c:pt>
                <c:pt idx="69">
                  <c:v>42917</c:v>
                </c:pt>
                <c:pt idx="70">
                  <c:v>42948</c:v>
                </c:pt>
                <c:pt idx="71">
                  <c:v>42979</c:v>
                </c:pt>
                <c:pt idx="72">
                  <c:v>43009</c:v>
                </c:pt>
                <c:pt idx="73">
                  <c:v>43040</c:v>
                </c:pt>
                <c:pt idx="74">
                  <c:v>43070</c:v>
                </c:pt>
                <c:pt idx="75">
                  <c:v>43101</c:v>
                </c:pt>
                <c:pt idx="76">
                  <c:v>43132</c:v>
                </c:pt>
                <c:pt idx="77">
                  <c:v>43160</c:v>
                </c:pt>
                <c:pt idx="78">
                  <c:v>43191</c:v>
                </c:pt>
                <c:pt idx="79">
                  <c:v>43221</c:v>
                </c:pt>
                <c:pt idx="80">
                  <c:v>43252</c:v>
                </c:pt>
                <c:pt idx="81">
                  <c:v>43282</c:v>
                </c:pt>
                <c:pt idx="82">
                  <c:v>43313</c:v>
                </c:pt>
                <c:pt idx="83">
                  <c:v>43344</c:v>
                </c:pt>
                <c:pt idx="84">
                  <c:v>43374</c:v>
                </c:pt>
                <c:pt idx="85">
                  <c:v>43405</c:v>
                </c:pt>
                <c:pt idx="86">
                  <c:v>43435</c:v>
                </c:pt>
                <c:pt idx="87">
                  <c:v>43466</c:v>
                </c:pt>
                <c:pt idx="88">
                  <c:v>43497</c:v>
                </c:pt>
                <c:pt idx="89">
                  <c:v>43525</c:v>
                </c:pt>
              </c:numCache>
            </c:numRef>
          </c:cat>
          <c:val>
            <c:numRef>
              <c:f>濃度回帰式!$R$61:$R$150</c:f>
              <c:numCache>
                <c:formatCode>0</c:formatCode>
                <c:ptCount val="90"/>
                <c:pt idx="0">
                  <c:v>997.57574023096845</c:v>
                </c:pt>
                <c:pt idx="1">
                  <c:v>795.59668107040034</c:v>
                </c:pt>
                <c:pt idx="2">
                  <c:v>562.32333779533371</c:v>
                </c:pt>
                <c:pt idx="3">
                  <c:v>485.62496397415384</c:v>
                </c:pt>
                <c:pt idx="4">
                  <c:v>424.0693716852881</c:v>
                </c:pt>
                <c:pt idx="5">
                  <c:v>378.17008098214609</c:v>
                </c:pt>
                <c:pt idx="6">
                  <c:v>619.11163311909479</c:v>
                </c:pt>
                <c:pt idx="7">
                  <c:v>893.14449191352446</c:v>
                </c:pt>
                <c:pt idx="8">
                  <c:v>921.94337224211188</c:v>
                </c:pt>
                <c:pt idx="9">
                  <c:v>840.16902975276457</c:v>
                </c:pt>
                <c:pt idx="10">
                  <c:v>698.30436134875242</c:v>
                </c:pt>
                <c:pt idx="11">
                  <c:v>623.69646112611258</c:v>
                </c:pt>
                <c:pt idx="12">
                  <c:v>552.95647959774908</c:v>
                </c:pt>
                <c:pt idx="13">
                  <c:v>443.34245582281784</c:v>
                </c:pt>
                <c:pt idx="14">
                  <c:v>315.08998786242449</c:v>
                </c:pt>
                <c:pt idx="15">
                  <c:v>273.69205588226487</c:v>
                </c:pt>
                <c:pt idx="16">
                  <c:v>240.48040595634467</c:v>
                </c:pt>
                <c:pt idx="17">
                  <c:v>215.9464076889418</c:v>
                </c:pt>
                <c:pt idx="18">
                  <c:v>355.89706653956932</c:v>
                </c:pt>
                <c:pt idx="19">
                  <c:v>516.84227119223203</c:v>
                </c:pt>
                <c:pt idx="20">
                  <c:v>537.1742141586318</c:v>
                </c:pt>
                <c:pt idx="21">
                  <c:v>492.94600607645924</c:v>
                </c:pt>
                <c:pt idx="22">
                  <c:v>412.69059731125117</c:v>
                </c:pt>
                <c:pt idx="23">
                  <c:v>371.32376796552376</c:v>
                </c:pt>
                <c:pt idx="24">
                  <c:v>331.7052894234115</c:v>
                </c:pt>
                <c:pt idx="25">
                  <c:v>268.06228702177407</c:v>
                </c:pt>
                <c:pt idx="26">
                  <c:v>191.99518123089607</c:v>
                </c:pt>
                <c:pt idx="27">
                  <c:v>168.20015468298203</c:v>
                </c:pt>
                <c:pt idx="28">
                  <c:v>149.05561249246404</c:v>
                </c:pt>
                <c:pt idx="29">
                  <c:v>134.93903507617941</c:v>
                </c:pt>
                <c:pt idx="30">
                  <c:v>224.38568056284529</c:v>
                </c:pt>
                <c:pt idx="31">
                  <c:v>328.67139039305005</c:v>
                </c:pt>
                <c:pt idx="32">
                  <c:v>344.77370251768696</c:v>
                </c:pt>
                <c:pt idx="33">
                  <c:v>319.22487223296105</c:v>
                </c:pt>
                <c:pt idx="34">
                  <c:v>269.8498753976699</c:v>
                </c:pt>
                <c:pt idx="35">
                  <c:v>245.12734787655489</c:v>
                </c:pt>
                <c:pt idx="36">
                  <c:v>221.03578628056266</c:v>
                </c:pt>
                <c:pt idx="37">
                  <c:v>180.4053801930381</c:v>
                </c:pt>
                <c:pt idx="38">
                  <c:v>130.45785984156714</c:v>
                </c:pt>
                <c:pt idx="39">
                  <c:v>115.44115043282261</c:v>
                </c:pt>
                <c:pt idx="40">
                  <c:v>103.32991123415472</c:v>
                </c:pt>
                <c:pt idx="41">
                  <c:v>94.389697224070218</c:v>
                </c:pt>
                <c:pt idx="42">
                  <c:v>158.53918906284284</c:v>
                </c:pt>
                <c:pt idx="43">
                  <c:v>234.52019095962723</c:v>
                </c:pt>
                <c:pt idx="44">
                  <c:v>248.49911277488587</c:v>
                </c:pt>
                <c:pt idx="45">
                  <c:v>232.3122307271469</c:v>
                </c:pt>
                <c:pt idx="46">
                  <c:v>198.36209778918848</c:v>
                </c:pt>
                <c:pt idx="47">
                  <c:v>182.00381952052985</c:v>
                </c:pt>
                <c:pt idx="48">
                  <c:v>165.67070815564415</c:v>
                </c:pt>
                <c:pt idx="49">
                  <c:v>136.53162753033865</c:v>
                </c:pt>
                <c:pt idx="50">
                  <c:v>99.669438020800342</c:v>
                </c:pt>
                <c:pt idx="51">
                  <c:v>89.030199189001422</c:v>
                </c:pt>
                <c:pt idx="52">
                  <c:v>80.424203285927177</c:v>
                </c:pt>
                <c:pt idx="53">
                  <c:v>74.071024287227857</c:v>
                </c:pt>
                <c:pt idx="54">
                  <c:v>125.55892816921619</c:v>
                </c:pt>
                <c:pt idx="55">
                  <c:v>187.33818923251644</c:v>
                </c:pt>
                <c:pt idx="56">
                  <c:v>200.23026219523791</c:v>
                </c:pt>
                <c:pt idx="57">
                  <c:v>188.77485075829043</c:v>
                </c:pt>
                <c:pt idx="58">
                  <c:v>162.52860193505822</c:v>
                </c:pt>
                <c:pt idx="59">
                  <c:v>150.38066495457664</c:v>
                </c:pt>
                <c:pt idx="60">
                  <c:v>137.93921947435391</c:v>
                </c:pt>
                <c:pt idx="61">
                  <c:v>114.57784828591433</c:v>
                </c:pt>
                <c:pt idx="62">
                  <c:v>84.238705438379597</c:v>
                </c:pt>
                <c:pt idx="63">
                  <c:v>75.801483917461184</c:v>
                </c:pt>
                <c:pt idx="64">
                  <c:v>68.976714710764995</c:v>
                </c:pt>
                <c:pt idx="65">
                  <c:v>63.941519707196882</c:v>
                </c:pt>
                <c:pt idx="66">
                  <c:v>109.10597749205307</c:v>
                </c:pt>
                <c:pt idx="67">
                  <c:v>163.80954829020123</c:v>
                </c:pt>
                <c:pt idx="68">
                  <c:v>176.22784908908042</c:v>
                </c:pt>
                <c:pt idx="69">
                  <c:v>167.0949736629147</c:v>
                </c:pt>
                <c:pt idx="70">
                  <c:v>144.69053005288382</c:v>
                </c:pt>
                <c:pt idx="71">
                  <c:v>134.5810598573712</c:v>
                </c:pt>
                <c:pt idx="72">
                  <c:v>124.1027901428062</c:v>
                </c:pt>
                <c:pt idx="73">
                  <c:v>103.6093310809801</c:v>
                </c:pt>
                <c:pt idx="74">
                  <c:v>76.543721190423028</c:v>
                </c:pt>
                <c:pt idx="75">
                  <c:v>69.210734499811736</c:v>
                </c:pt>
                <c:pt idx="76">
                  <c:v>63.270678548787757</c:v>
                </c:pt>
                <c:pt idx="77">
                  <c:v>58.882327891800372</c:v>
                </c:pt>
                <c:pt idx="78">
                  <c:v>100.88966652746389</c:v>
                </c:pt>
                <c:pt idx="79">
                  <c:v>152.07690548816228</c:v>
                </c:pt>
                <c:pt idx="80">
                  <c:v>164.16326699435419</c:v>
                </c:pt>
                <c:pt idx="81">
                  <c:v>156.23888298457661</c:v>
                </c:pt>
                <c:pt idx="82">
                  <c:v>135.75285271576826</c:v>
                </c:pt>
                <c:pt idx="83">
                  <c:v>126.70455463803174</c:v>
                </c:pt>
                <c:pt idx="84">
                  <c:v>117.19802911331773</c:v>
                </c:pt>
                <c:pt idx="85">
                  <c:v>98.154094442414916</c:v>
                </c:pt>
                <c:pt idx="86">
                  <c:v>72.663092020679144</c:v>
                </c:pt>
                <c:pt idx="87">
                  <c:v>65.854477606270748</c:v>
                </c:pt>
                <c:pt idx="88">
                  <c:v>60.345219542212263</c:v>
                </c:pt>
                <c:pt idx="89">
                  <c:v>56.290567829731557</c:v>
                </c:pt>
              </c:numCache>
            </c:numRef>
          </c:val>
          <c:smooth val="0"/>
        </c:ser>
        <c:ser>
          <c:idx val="3"/>
          <c:order val="2"/>
          <c:tx>
            <c:strRef>
              <c:f>濃度回帰式!$P$53</c:f>
              <c:strCache>
                <c:ptCount val="1"/>
                <c:pt idx="0">
                  <c:v>Cs-137:事故日1200から減衰</c:v>
                </c:pt>
              </c:strCache>
            </c:strRef>
          </c:tx>
          <c:marker>
            <c:symbol val="none"/>
          </c:marker>
          <c:cat>
            <c:numRef>
              <c:f>濃度回帰式!$E$61:$E$150</c:f>
              <c:numCache>
                <c:formatCode>[$-411]m\.d\.ge</c:formatCode>
                <c:ptCount val="90"/>
                <c:pt idx="0">
                  <c:v>40817</c:v>
                </c:pt>
                <c:pt idx="1">
                  <c:v>40848</c:v>
                </c:pt>
                <c:pt idx="2">
                  <c:v>40878</c:v>
                </c:pt>
                <c:pt idx="3">
                  <c:v>40909</c:v>
                </c:pt>
                <c:pt idx="4">
                  <c:v>40940</c:v>
                </c:pt>
                <c:pt idx="5">
                  <c:v>40969</c:v>
                </c:pt>
                <c:pt idx="6">
                  <c:v>41000</c:v>
                </c:pt>
                <c:pt idx="7">
                  <c:v>41030</c:v>
                </c:pt>
                <c:pt idx="8">
                  <c:v>41061</c:v>
                </c:pt>
                <c:pt idx="9">
                  <c:v>41091</c:v>
                </c:pt>
                <c:pt idx="10">
                  <c:v>41122</c:v>
                </c:pt>
                <c:pt idx="11">
                  <c:v>41153</c:v>
                </c:pt>
                <c:pt idx="12">
                  <c:v>41183</c:v>
                </c:pt>
                <c:pt idx="13">
                  <c:v>41214</c:v>
                </c:pt>
                <c:pt idx="14">
                  <c:v>41244</c:v>
                </c:pt>
                <c:pt idx="15">
                  <c:v>41275</c:v>
                </c:pt>
                <c:pt idx="16">
                  <c:v>41306</c:v>
                </c:pt>
                <c:pt idx="17">
                  <c:v>41334</c:v>
                </c:pt>
                <c:pt idx="18">
                  <c:v>41365</c:v>
                </c:pt>
                <c:pt idx="19">
                  <c:v>41395</c:v>
                </c:pt>
                <c:pt idx="20">
                  <c:v>41426</c:v>
                </c:pt>
                <c:pt idx="21">
                  <c:v>41456</c:v>
                </c:pt>
                <c:pt idx="22">
                  <c:v>41487</c:v>
                </c:pt>
                <c:pt idx="23">
                  <c:v>41518</c:v>
                </c:pt>
                <c:pt idx="24">
                  <c:v>41548</c:v>
                </c:pt>
                <c:pt idx="25">
                  <c:v>41579</c:v>
                </c:pt>
                <c:pt idx="26">
                  <c:v>41609</c:v>
                </c:pt>
                <c:pt idx="27">
                  <c:v>41640</c:v>
                </c:pt>
                <c:pt idx="28">
                  <c:v>41671</c:v>
                </c:pt>
                <c:pt idx="29">
                  <c:v>41699</c:v>
                </c:pt>
                <c:pt idx="30">
                  <c:v>41730</c:v>
                </c:pt>
                <c:pt idx="31">
                  <c:v>41760</c:v>
                </c:pt>
                <c:pt idx="32">
                  <c:v>41791</c:v>
                </c:pt>
                <c:pt idx="33">
                  <c:v>41821</c:v>
                </c:pt>
                <c:pt idx="34">
                  <c:v>41852</c:v>
                </c:pt>
                <c:pt idx="35">
                  <c:v>41883</c:v>
                </c:pt>
                <c:pt idx="36">
                  <c:v>41913</c:v>
                </c:pt>
                <c:pt idx="37">
                  <c:v>41944</c:v>
                </c:pt>
                <c:pt idx="38">
                  <c:v>41974</c:v>
                </c:pt>
                <c:pt idx="39">
                  <c:v>42005</c:v>
                </c:pt>
                <c:pt idx="40">
                  <c:v>42036</c:v>
                </c:pt>
                <c:pt idx="41">
                  <c:v>42064</c:v>
                </c:pt>
                <c:pt idx="42">
                  <c:v>42095</c:v>
                </c:pt>
                <c:pt idx="43">
                  <c:v>42125</c:v>
                </c:pt>
                <c:pt idx="44">
                  <c:v>42156</c:v>
                </c:pt>
                <c:pt idx="45">
                  <c:v>42186</c:v>
                </c:pt>
                <c:pt idx="46">
                  <c:v>42217</c:v>
                </c:pt>
                <c:pt idx="47">
                  <c:v>42248</c:v>
                </c:pt>
                <c:pt idx="48">
                  <c:v>42278</c:v>
                </c:pt>
                <c:pt idx="49">
                  <c:v>42309</c:v>
                </c:pt>
                <c:pt idx="50">
                  <c:v>42339</c:v>
                </c:pt>
                <c:pt idx="51">
                  <c:v>42370</c:v>
                </c:pt>
                <c:pt idx="52">
                  <c:v>42401</c:v>
                </c:pt>
                <c:pt idx="53">
                  <c:v>42430</c:v>
                </c:pt>
                <c:pt idx="54">
                  <c:v>42461</c:v>
                </c:pt>
                <c:pt idx="55">
                  <c:v>42491</c:v>
                </c:pt>
                <c:pt idx="56">
                  <c:v>42522</c:v>
                </c:pt>
                <c:pt idx="57">
                  <c:v>42552</c:v>
                </c:pt>
                <c:pt idx="58">
                  <c:v>42583</c:v>
                </c:pt>
                <c:pt idx="59">
                  <c:v>42614</c:v>
                </c:pt>
                <c:pt idx="60">
                  <c:v>42644</c:v>
                </c:pt>
                <c:pt idx="61">
                  <c:v>42675</c:v>
                </c:pt>
                <c:pt idx="62">
                  <c:v>42705</c:v>
                </c:pt>
                <c:pt idx="63">
                  <c:v>42736</c:v>
                </c:pt>
                <c:pt idx="64">
                  <c:v>42767</c:v>
                </c:pt>
                <c:pt idx="65">
                  <c:v>42795</c:v>
                </c:pt>
                <c:pt idx="66">
                  <c:v>42826</c:v>
                </c:pt>
                <c:pt idx="67">
                  <c:v>42856</c:v>
                </c:pt>
                <c:pt idx="68">
                  <c:v>42887</c:v>
                </c:pt>
                <c:pt idx="69">
                  <c:v>42917</c:v>
                </c:pt>
                <c:pt idx="70">
                  <c:v>42948</c:v>
                </c:pt>
                <c:pt idx="71">
                  <c:v>42979</c:v>
                </c:pt>
                <c:pt idx="72">
                  <c:v>43009</c:v>
                </c:pt>
                <c:pt idx="73">
                  <c:v>43040</c:v>
                </c:pt>
                <c:pt idx="74">
                  <c:v>43070</c:v>
                </c:pt>
                <c:pt idx="75">
                  <c:v>43101</c:v>
                </c:pt>
                <c:pt idx="76">
                  <c:v>43132</c:v>
                </c:pt>
                <c:pt idx="77">
                  <c:v>43160</c:v>
                </c:pt>
                <c:pt idx="78">
                  <c:v>43191</c:v>
                </c:pt>
                <c:pt idx="79">
                  <c:v>43221</c:v>
                </c:pt>
                <c:pt idx="80">
                  <c:v>43252</c:v>
                </c:pt>
                <c:pt idx="81">
                  <c:v>43282</c:v>
                </c:pt>
                <c:pt idx="82">
                  <c:v>43313</c:v>
                </c:pt>
                <c:pt idx="83">
                  <c:v>43344</c:v>
                </c:pt>
                <c:pt idx="84">
                  <c:v>43374</c:v>
                </c:pt>
                <c:pt idx="85">
                  <c:v>43405</c:v>
                </c:pt>
                <c:pt idx="86">
                  <c:v>43435</c:v>
                </c:pt>
                <c:pt idx="87">
                  <c:v>43466</c:v>
                </c:pt>
                <c:pt idx="88">
                  <c:v>43497</c:v>
                </c:pt>
                <c:pt idx="89">
                  <c:v>43525</c:v>
                </c:pt>
              </c:numCache>
            </c:numRef>
          </c:cat>
          <c:val>
            <c:numRef>
              <c:f>濃度回帰式!$P$60:$P$150</c:f>
              <c:numCache>
                <c:formatCode>0</c:formatCode>
                <c:ptCount val="91"/>
                <c:pt idx="0">
                  <c:v>1200</c:v>
                </c:pt>
                <c:pt idx="1">
                  <c:v>816.34382180349121</c:v>
                </c:pt>
                <c:pt idx="2">
                  <c:v>769.70373154246909</c:v>
                </c:pt>
                <c:pt idx="3">
                  <c:v>727.10687623394915</c:v>
                </c:pt>
                <c:pt idx="4">
                  <c:v>685.56515149590791</c:v>
                </c:pt>
                <c:pt idx="5">
                  <c:v>646.39682597965589</c:v>
                </c:pt>
                <c:pt idx="6">
                  <c:v>611.78391309780591</c:v>
                </c:pt>
                <c:pt idx="7">
                  <c:v>576.83092372613953</c:v>
                </c:pt>
                <c:pt idx="8">
                  <c:v>544.908013145724</c:v>
                </c:pt>
                <c:pt idx="9">
                  <c:v>513.77583790499762</c:v>
                </c:pt>
                <c:pt idx="10">
                  <c:v>485.34251462566851</c:v>
                </c:pt>
                <c:pt idx="11">
                  <c:v>457.61348907900185</c:v>
                </c:pt>
                <c:pt idx="12">
                  <c:v>431.46870318700604</c:v>
                </c:pt>
                <c:pt idx="13">
                  <c:v>407.59041188266207</c:v>
                </c:pt>
                <c:pt idx="14">
                  <c:v>384.30358947768934</c:v>
                </c:pt>
                <c:pt idx="15">
                  <c:v>363.03550446695323</c:v>
                </c:pt>
                <c:pt idx="16">
                  <c:v>342.29423314957177</c:v>
                </c:pt>
                <c:pt idx="17">
                  <c:v>322.73797082047895</c:v>
                </c:pt>
                <c:pt idx="18">
                  <c:v>306.0363966679954</c:v>
                </c:pt>
                <c:pt idx="19">
                  <c:v>288.55164969922481</c:v>
                </c:pt>
                <c:pt idx="20">
                  <c:v>272.58265751746552</c:v>
                </c:pt>
                <c:pt idx="21">
                  <c:v>257.00921969549813</c:v>
                </c:pt>
                <c:pt idx="22">
                  <c:v>242.78584504407786</c:v>
                </c:pt>
                <c:pt idx="23">
                  <c:v>228.91478554130859</c:v>
                </c:pt>
                <c:pt idx="24">
                  <c:v>215.83621989951558</c:v>
                </c:pt>
                <c:pt idx="25">
                  <c:v>203.89143666327854</c:v>
                </c:pt>
                <c:pt idx="26">
                  <c:v>192.24252752053997</c:v>
                </c:pt>
                <c:pt idx="27">
                  <c:v>181.60346369201193</c:v>
                </c:pt>
                <c:pt idx="28">
                  <c:v>171.22793108909769</c:v>
                </c:pt>
                <c:pt idx="29">
                  <c:v>161.44518275695441</c:v>
                </c:pt>
                <c:pt idx="30">
                  <c:v>153.09045249536908</c:v>
                </c:pt>
                <c:pt idx="31">
                  <c:v>144.34395092117873</c:v>
                </c:pt>
                <c:pt idx="32">
                  <c:v>136.35568460508864</c:v>
                </c:pt>
                <c:pt idx="33">
                  <c:v>128.56528885794515</c:v>
                </c:pt>
                <c:pt idx="34">
                  <c:v>121.45024344143765</c:v>
                </c:pt>
                <c:pt idx="35">
                  <c:v>114.51143877967435</c:v>
                </c:pt>
                <c:pt idx="36">
                  <c:v>107.96906815352763</c:v>
                </c:pt>
                <c:pt idx="37">
                  <c:v>101.99385641236198</c:v>
                </c:pt>
                <c:pt idx="38">
                  <c:v>96.166651572821493</c:v>
                </c:pt>
                <c:pt idx="39">
                  <c:v>90.844607811459895</c:v>
                </c:pt>
                <c:pt idx="40">
                  <c:v>85.654391881739102</c:v>
                </c:pt>
                <c:pt idx="41">
                  <c:v>80.760708041771352</c:v>
                </c:pt>
                <c:pt idx="42">
                  <c:v>76.581370387334019</c:v>
                </c:pt>
                <c:pt idx="43">
                  <c:v>72.206054580708368</c:v>
                </c:pt>
                <c:pt idx="44">
                  <c:v>68.210035419920615</c:v>
                </c:pt>
                <c:pt idx="45">
                  <c:v>64.312998260180336</c:v>
                </c:pt>
                <c:pt idx="46">
                  <c:v>60.753795713694004</c:v>
                </c:pt>
                <c:pt idx="47">
                  <c:v>57.282755154427697</c:v>
                </c:pt>
                <c:pt idx="48">
                  <c:v>54.010025209708829</c:v>
                </c:pt>
                <c:pt idx="49">
                  <c:v>51.021008611780928</c:v>
                </c:pt>
                <c:pt idx="50">
                  <c:v>48.106030408596013</c:v>
                </c:pt>
                <c:pt idx="51">
                  <c:v>45.44375201132781</c:v>
                </c:pt>
                <c:pt idx="52">
                  <c:v>42.847418653986558</c:v>
                </c:pt>
                <c:pt idx="53">
                  <c:v>40.39942135174843</c:v>
                </c:pt>
                <c:pt idx="54">
                  <c:v>38.236134659234203</c:v>
                </c:pt>
                <c:pt idx="55">
                  <c:v>36.051593386171731</c:v>
                </c:pt>
                <c:pt idx="56">
                  <c:v>34.056430254982452</c:v>
                </c:pt>
                <c:pt idx="57">
                  <c:v>32.110687617338115</c:v>
                </c:pt>
                <c:pt idx="58">
                  <c:v>30.333621639560175</c:v>
                </c:pt>
                <c:pt idx="59">
                  <c:v>28.600573855738844</c:v>
                </c:pt>
                <c:pt idx="60">
                  <c:v>26.966540118334276</c:v>
                </c:pt>
                <c:pt idx="61">
                  <c:v>25.474160959290661</c:v>
                </c:pt>
                <c:pt idx="62">
                  <c:v>24.018748258499592</c:v>
                </c:pt>
                <c:pt idx="63">
                  <c:v>22.689505457235327</c:v>
                </c:pt>
                <c:pt idx="64">
                  <c:v>21.393188201883877</c:v>
                </c:pt>
                <c:pt idx="65" formatCode="0.0">
                  <c:v>20.170933311165683</c:v>
                </c:pt>
                <c:pt idx="66" formatCode="0.0">
                  <c:v>19.127094752086979</c:v>
                </c:pt>
                <c:pt idx="67" formatCode="0.0">
                  <c:v>18.034308352726946</c:v>
                </c:pt>
                <c:pt idx="68" formatCode="0.0">
                  <c:v>17.036255735844243</c:v>
                </c:pt>
                <c:pt idx="69" formatCode="0.0">
                  <c:v>16.062925033745909</c:v>
                </c:pt>
                <c:pt idx="70" formatCode="0.0">
                  <c:v>15.173972485571428</c:v>
                </c:pt>
                <c:pt idx="71" formatCode="0.0">
                  <c:v>14.307039426922424</c:v>
                </c:pt>
                <c:pt idx="72" formatCode="0.0">
                  <c:v>13.489636768364312</c:v>
                </c:pt>
                <c:pt idx="73" formatCode="0.0">
                  <c:v>12.743094843155014</c:v>
                </c:pt>
                <c:pt idx="74" formatCode="0.0">
                  <c:v>12.015044874728128</c:v>
                </c:pt>
                <c:pt idx="75" formatCode="0.0">
                  <c:v>11.350109644352496</c:v>
                </c:pt>
                <c:pt idx="76" formatCode="0.0">
                  <c:v>10.701644960543659</c:v>
                </c:pt>
                <c:pt idx="77" formatCode="0.0">
                  <c:v>10.09022894492602</c:v>
                </c:pt>
                <c:pt idx="78" formatCode="0.00">
                  <c:v>9.5680632186224521</c:v>
                </c:pt>
                <c:pt idx="79" formatCode="0.00">
                  <c:v>9.0214120157581537</c:v>
                </c:pt>
                <c:pt idx="80" formatCode="0.00">
                  <c:v>8.5221500704591477</c:v>
                </c:pt>
                <c:pt idx="81" formatCode="0.00">
                  <c:v>8.0352549193130525</c:v>
                </c:pt>
                <c:pt idx="82" formatCode="0.00">
                  <c:v>7.5905687665265305</c:v>
                </c:pt>
                <c:pt idx="83" formatCode="0.00">
                  <c:v>7.156897557229974</c:v>
                </c:pt>
                <c:pt idx="84" formatCode="0.00">
                  <c:v>6.7480032419393199</c:v>
                </c:pt>
                <c:pt idx="85" formatCode="0.00">
                  <c:v>6.3745560233032865</c:v>
                </c:pt>
                <c:pt idx="86" formatCode="0.00">
                  <c:v>6.0103591489471091</c:v>
                </c:pt>
                <c:pt idx="87" formatCode="0.00">
                  <c:v>5.6777345447934104</c:v>
                </c:pt>
                <c:pt idx="88" formatCode="0.00">
                  <c:v>5.3533491025636142</c:v>
                </c:pt>
                <c:pt idx="89" formatCode="0.00">
                  <c:v>5.0474967414950562</c:v>
                </c:pt>
                <c:pt idx="90" formatCode="0.00">
                  <c:v>4.7862905967759062</c:v>
                </c:pt>
              </c:numCache>
            </c:numRef>
          </c:val>
          <c:smooth val="0"/>
        </c:ser>
        <c:dLbls>
          <c:showLegendKey val="0"/>
          <c:showVal val="0"/>
          <c:showCatName val="0"/>
          <c:showSerName val="0"/>
          <c:showPercent val="0"/>
          <c:showBubbleSize val="0"/>
        </c:dLbls>
        <c:marker val="1"/>
        <c:smooth val="0"/>
        <c:axId val="136785920"/>
        <c:axId val="136787456"/>
      </c:lineChart>
      <c:dateAx>
        <c:axId val="136785920"/>
        <c:scaling>
          <c:orientation val="minMax"/>
        </c:scaling>
        <c:delete val="0"/>
        <c:axPos val="b"/>
        <c:majorGridlines>
          <c:spPr>
            <a:ln w="3175">
              <a:solidFill>
                <a:sysClr val="window" lastClr="FFFFFF">
                  <a:lumMod val="85000"/>
                </a:sysClr>
              </a:solidFill>
              <a:prstDash val="solid"/>
            </a:ln>
          </c:spPr>
        </c:majorGridlines>
        <c:numFmt formatCode="ge\.m" sourceLinked="0"/>
        <c:majorTickMark val="in"/>
        <c:minorTickMark val="none"/>
        <c:tickLblPos val="nextTo"/>
        <c:spPr>
          <a:ln w="3175">
            <a:solidFill>
              <a:srgbClr val="000000"/>
            </a:solidFill>
            <a:prstDash val="solid"/>
          </a:ln>
        </c:spPr>
        <c:txPr>
          <a:bodyPr rot="-5400000" vert="horz"/>
          <a:lstStyle/>
          <a:p>
            <a:pPr>
              <a:defRPr/>
            </a:pPr>
            <a:endParaRPr lang="ja-JP"/>
          </a:p>
        </c:txPr>
        <c:crossAx val="136787456"/>
        <c:crosses val="autoZero"/>
        <c:auto val="0"/>
        <c:lblOffset val="100"/>
        <c:baseTimeUnit val="days"/>
        <c:majorUnit val="6"/>
        <c:majorTimeUnit val="months"/>
      </c:dateAx>
      <c:valAx>
        <c:axId val="136787456"/>
        <c:scaling>
          <c:logBase val="10"/>
          <c:orientation val="minMax"/>
        </c:scaling>
        <c:delete val="0"/>
        <c:axPos val="l"/>
        <c:majorGridlines>
          <c:spPr>
            <a:ln w="3175">
              <a:solidFill>
                <a:srgbClr val="000000"/>
              </a:solidFill>
              <a:prstDash val="solid"/>
            </a:ln>
          </c:spPr>
        </c:majorGridlines>
        <c:minorGridlines>
          <c:spPr>
            <a:ln w="3175">
              <a:solidFill>
                <a:sysClr val="window" lastClr="FFFFFF">
                  <a:lumMod val="85000"/>
                </a:sysClr>
              </a:solidFill>
              <a:prstDash val="solid"/>
            </a:ln>
          </c:spPr>
        </c:minorGridlines>
        <c:numFmt formatCode="General" sourceLinked="0"/>
        <c:majorTickMark val="in"/>
        <c:minorTickMark val="none"/>
        <c:tickLblPos val="nextTo"/>
        <c:spPr>
          <a:ln w="3175">
            <a:solidFill>
              <a:srgbClr val="000000"/>
            </a:solidFill>
            <a:prstDash val="solid"/>
          </a:ln>
        </c:spPr>
        <c:txPr>
          <a:bodyPr rot="0" vert="horz"/>
          <a:lstStyle/>
          <a:p>
            <a:pPr>
              <a:defRPr/>
            </a:pPr>
            <a:endParaRPr lang="ja-JP"/>
          </a:p>
        </c:txPr>
        <c:crossAx val="136785920"/>
        <c:crosses val="autoZero"/>
        <c:crossBetween val="between"/>
        <c:majorUnit val="500"/>
      </c:valAx>
      <c:spPr>
        <a:noFill/>
        <a:ln w="12700">
          <a:solidFill>
            <a:srgbClr val="808080"/>
          </a:solidFill>
          <a:prstDash val="solid"/>
        </a:ln>
      </c:spPr>
    </c:plotArea>
    <c:legend>
      <c:legendPos val="t"/>
      <c:layout>
        <c:manualLayout>
          <c:xMode val="edge"/>
          <c:yMode val="edge"/>
          <c:x val="0.27636338038007013"/>
          <c:y val="5.7577241086361648E-2"/>
          <c:w val="0.62622810100278092"/>
          <c:h val="0.14863429934328748"/>
        </c:manualLayout>
      </c:layout>
      <c:overlay val="0"/>
      <c:spPr>
        <a:solidFill>
          <a:sysClr val="window" lastClr="FFFFFF"/>
        </a:solidFill>
        <a:ln>
          <a:solidFill>
            <a:sysClr val="windowText" lastClr="000000">
              <a:lumMod val="50000"/>
              <a:lumOff val="50000"/>
            </a:sysClr>
          </a:solidFill>
        </a:ln>
      </c:spPr>
      <c:txPr>
        <a:bodyPr/>
        <a:lstStyle/>
        <a:p>
          <a:pPr>
            <a:defRPr sz="900"/>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800" b="0" i="0" u="none" strike="noStrike" baseline="0">
          <a:solidFill>
            <a:srgbClr val="000000"/>
          </a:solidFill>
          <a:latin typeface="Meiryo UI" panose="020B0604030504040204" pitchFamily="50" charset="-128"/>
          <a:ea typeface="Meiryo UI" panose="020B0604030504040204" pitchFamily="50" charset="-128"/>
          <a:cs typeface="ＭＳ Ｐゴシック"/>
        </a:defRPr>
      </a:pPr>
      <a:endParaRPr lang="ja-JP"/>
    </a:p>
  </c:txPr>
  <c:printSettings>
    <c:headerFooter alignWithMargins="0"/>
    <c:pageMargins b="1" l="0.75" r="0.75" t="1" header="0.51200000000000001" footer="0.51200000000000001"/>
    <c:pageSetup orientation="portrait"/>
  </c:printSettings>
</c:chartSpace>
</file>

<file path=xl/charts/chart1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1400" b="0" i="0" u="none" strike="noStrike" baseline="0">
                <a:solidFill>
                  <a:srgbClr val="000000"/>
                </a:solidFill>
                <a:latin typeface="ＭＳ Ｐ明朝"/>
                <a:ea typeface="ＭＳ Ｐ明朝"/>
                <a:cs typeface="ＭＳ Ｐ明朝"/>
              </a:defRPr>
            </a:pPr>
            <a:r>
              <a:rPr lang="ja-JP" altLang="en-US">
                <a:latin typeface="Meiryo UI" panose="020B0604030504040204" pitchFamily="50" charset="-128"/>
                <a:ea typeface="Meiryo UI" panose="020B0604030504040204" pitchFamily="50" charset="-128"/>
              </a:rPr>
              <a:t>角度間隔調整</a:t>
            </a:r>
            <a:endParaRPr lang="en-US" altLang="ja-JP">
              <a:latin typeface="Meiryo UI" panose="020B0604030504040204" pitchFamily="50" charset="-128"/>
              <a:ea typeface="Meiryo UI" panose="020B0604030504040204" pitchFamily="50" charset="-128"/>
            </a:endParaRPr>
          </a:p>
        </c:rich>
      </c:tx>
      <c:layout>
        <c:manualLayout>
          <c:xMode val="edge"/>
          <c:yMode val="edge"/>
          <c:x val="0.20703968295353808"/>
          <c:y val="6.3686979885808126E-2"/>
        </c:manualLayout>
      </c:layout>
      <c:overlay val="0"/>
      <c:spPr>
        <a:solidFill>
          <a:srgbClr val="FFFFFF"/>
        </a:solidFill>
        <a:ln w="25400">
          <a:noFill/>
        </a:ln>
      </c:spPr>
    </c:title>
    <c:autoTitleDeleted val="0"/>
    <c:plotArea>
      <c:layout>
        <c:manualLayout>
          <c:layoutTarget val="inner"/>
          <c:xMode val="edge"/>
          <c:yMode val="edge"/>
          <c:x val="7.8046150481189847E-2"/>
          <c:y val="4.7416251223034993E-2"/>
          <c:w val="0.88012926509186351"/>
          <c:h val="0.82178154271000481"/>
        </c:manualLayout>
      </c:layout>
      <c:lineChart>
        <c:grouping val="standard"/>
        <c:varyColors val="0"/>
        <c:ser>
          <c:idx val="2"/>
          <c:order val="0"/>
          <c:tx>
            <c:strRef>
              <c:f>濃度回帰式!$V$53</c:f>
              <c:strCache>
                <c:ptCount val="1"/>
                <c:pt idx="0">
                  <c:v>角度間隔ゆらぎCOS()</c:v>
                </c:pt>
              </c:strCache>
            </c:strRef>
          </c:tx>
          <c:spPr>
            <a:ln w="25400">
              <a:solidFill>
                <a:srgbClr val="0066FF"/>
              </a:solidFill>
              <a:prstDash val="solid"/>
            </a:ln>
          </c:spPr>
          <c:marker>
            <c:symbol val="none"/>
          </c:marker>
          <c:cat>
            <c:numRef>
              <c:f>濃度回帰式!$E$61:$E$150</c:f>
              <c:numCache>
                <c:formatCode>[$-411]m\.d\.ge</c:formatCode>
                <c:ptCount val="90"/>
                <c:pt idx="0">
                  <c:v>40817</c:v>
                </c:pt>
                <c:pt idx="1">
                  <c:v>40848</c:v>
                </c:pt>
                <c:pt idx="2">
                  <c:v>40878</c:v>
                </c:pt>
                <c:pt idx="3">
                  <c:v>40909</c:v>
                </c:pt>
                <c:pt idx="4">
                  <c:v>40940</c:v>
                </c:pt>
                <c:pt idx="5">
                  <c:v>40969</c:v>
                </c:pt>
                <c:pt idx="6">
                  <c:v>41000</c:v>
                </c:pt>
                <c:pt idx="7">
                  <c:v>41030</c:v>
                </c:pt>
                <c:pt idx="8">
                  <c:v>41061</c:v>
                </c:pt>
                <c:pt idx="9">
                  <c:v>41091</c:v>
                </c:pt>
                <c:pt idx="10">
                  <c:v>41122</c:v>
                </c:pt>
                <c:pt idx="11">
                  <c:v>41153</c:v>
                </c:pt>
                <c:pt idx="12">
                  <c:v>41183</c:v>
                </c:pt>
                <c:pt idx="13">
                  <c:v>41214</c:v>
                </c:pt>
                <c:pt idx="14">
                  <c:v>41244</c:v>
                </c:pt>
                <c:pt idx="15">
                  <c:v>41275</c:v>
                </c:pt>
                <c:pt idx="16">
                  <c:v>41306</c:v>
                </c:pt>
                <c:pt idx="17">
                  <c:v>41334</c:v>
                </c:pt>
                <c:pt idx="18">
                  <c:v>41365</c:v>
                </c:pt>
                <c:pt idx="19">
                  <c:v>41395</c:v>
                </c:pt>
                <c:pt idx="20">
                  <c:v>41426</c:v>
                </c:pt>
                <c:pt idx="21">
                  <c:v>41456</c:v>
                </c:pt>
                <c:pt idx="22">
                  <c:v>41487</c:v>
                </c:pt>
                <c:pt idx="23">
                  <c:v>41518</c:v>
                </c:pt>
                <c:pt idx="24">
                  <c:v>41548</c:v>
                </c:pt>
                <c:pt idx="25">
                  <c:v>41579</c:v>
                </c:pt>
                <c:pt idx="26">
                  <c:v>41609</c:v>
                </c:pt>
                <c:pt idx="27">
                  <c:v>41640</c:v>
                </c:pt>
                <c:pt idx="28">
                  <c:v>41671</c:v>
                </c:pt>
                <c:pt idx="29">
                  <c:v>41699</c:v>
                </c:pt>
                <c:pt idx="30">
                  <c:v>41730</c:v>
                </c:pt>
                <c:pt idx="31">
                  <c:v>41760</c:v>
                </c:pt>
                <c:pt idx="32">
                  <c:v>41791</c:v>
                </c:pt>
                <c:pt idx="33">
                  <c:v>41821</c:v>
                </c:pt>
                <c:pt idx="34">
                  <c:v>41852</c:v>
                </c:pt>
                <c:pt idx="35">
                  <c:v>41883</c:v>
                </c:pt>
                <c:pt idx="36">
                  <c:v>41913</c:v>
                </c:pt>
                <c:pt idx="37">
                  <c:v>41944</c:v>
                </c:pt>
                <c:pt idx="38">
                  <c:v>41974</c:v>
                </c:pt>
                <c:pt idx="39">
                  <c:v>42005</c:v>
                </c:pt>
                <c:pt idx="40">
                  <c:v>42036</c:v>
                </c:pt>
                <c:pt idx="41">
                  <c:v>42064</c:v>
                </c:pt>
                <c:pt idx="42">
                  <c:v>42095</c:v>
                </c:pt>
                <c:pt idx="43">
                  <c:v>42125</c:v>
                </c:pt>
                <c:pt idx="44">
                  <c:v>42156</c:v>
                </c:pt>
                <c:pt idx="45">
                  <c:v>42186</c:v>
                </c:pt>
                <c:pt idx="46">
                  <c:v>42217</c:v>
                </c:pt>
                <c:pt idx="47">
                  <c:v>42248</c:v>
                </c:pt>
                <c:pt idx="48">
                  <c:v>42278</c:v>
                </c:pt>
                <c:pt idx="49">
                  <c:v>42309</c:v>
                </c:pt>
                <c:pt idx="50">
                  <c:v>42339</c:v>
                </c:pt>
                <c:pt idx="51">
                  <c:v>42370</c:v>
                </c:pt>
                <c:pt idx="52">
                  <c:v>42401</c:v>
                </c:pt>
                <c:pt idx="53">
                  <c:v>42430</c:v>
                </c:pt>
                <c:pt idx="54">
                  <c:v>42461</c:v>
                </c:pt>
                <c:pt idx="55">
                  <c:v>42491</c:v>
                </c:pt>
                <c:pt idx="56">
                  <c:v>42522</c:v>
                </c:pt>
                <c:pt idx="57">
                  <c:v>42552</c:v>
                </c:pt>
                <c:pt idx="58">
                  <c:v>42583</c:v>
                </c:pt>
                <c:pt idx="59">
                  <c:v>42614</c:v>
                </c:pt>
                <c:pt idx="60">
                  <c:v>42644</c:v>
                </c:pt>
                <c:pt idx="61">
                  <c:v>42675</c:v>
                </c:pt>
                <c:pt idx="62">
                  <c:v>42705</c:v>
                </c:pt>
                <c:pt idx="63">
                  <c:v>42736</c:v>
                </c:pt>
                <c:pt idx="64">
                  <c:v>42767</c:v>
                </c:pt>
                <c:pt idx="65">
                  <c:v>42795</c:v>
                </c:pt>
                <c:pt idx="66">
                  <c:v>42826</c:v>
                </c:pt>
                <c:pt idx="67">
                  <c:v>42856</c:v>
                </c:pt>
                <c:pt idx="68">
                  <c:v>42887</c:v>
                </c:pt>
                <c:pt idx="69">
                  <c:v>42917</c:v>
                </c:pt>
                <c:pt idx="70">
                  <c:v>42948</c:v>
                </c:pt>
                <c:pt idx="71">
                  <c:v>42979</c:v>
                </c:pt>
                <c:pt idx="72">
                  <c:v>43009</c:v>
                </c:pt>
                <c:pt idx="73">
                  <c:v>43040</c:v>
                </c:pt>
                <c:pt idx="74">
                  <c:v>43070</c:v>
                </c:pt>
                <c:pt idx="75">
                  <c:v>43101</c:v>
                </c:pt>
                <c:pt idx="76">
                  <c:v>43132</c:v>
                </c:pt>
                <c:pt idx="77">
                  <c:v>43160</c:v>
                </c:pt>
                <c:pt idx="78">
                  <c:v>43191</c:v>
                </c:pt>
                <c:pt idx="79">
                  <c:v>43221</c:v>
                </c:pt>
                <c:pt idx="80">
                  <c:v>43252</c:v>
                </c:pt>
                <c:pt idx="81">
                  <c:v>43282</c:v>
                </c:pt>
                <c:pt idx="82">
                  <c:v>43313</c:v>
                </c:pt>
                <c:pt idx="83">
                  <c:v>43344</c:v>
                </c:pt>
                <c:pt idx="84">
                  <c:v>43374</c:v>
                </c:pt>
                <c:pt idx="85">
                  <c:v>43405</c:v>
                </c:pt>
                <c:pt idx="86">
                  <c:v>43435</c:v>
                </c:pt>
                <c:pt idx="87">
                  <c:v>43466</c:v>
                </c:pt>
                <c:pt idx="88">
                  <c:v>43497</c:v>
                </c:pt>
                <c:pt idx="89">
                  <c:v>43525</c:v>
                </c:pt>
              </c:numCache>
            </c:numRef>
          </c:cat>
          <c:val>
            <c:numRef>
              <c:f>濃度回帰式!$V$60:$V$150</c:f>
              <c:numCache>
                <c:formatCode>0.00</c:formatCode>
                <c:ptCount val="91"/>
                <c:pt idx="1">
                  <c:v>-0.17364817766693033</c:v>
                </c:pt>
                <c:pt idx="2">
                  <c:v>0.17364817766692997</c:v>
                </c:pt>
                <c:pt idx="3">
                  <c:v>0.64278760968653925</c:v>
                </c:pt>
                <c:pt idx="4">
                  <c:v>0.76604444311897779</c:v>
                </c:pt>
                <c:pt idx="5">
                  <c:v>0.86602540378443837</c:v>
                </c:pt>
                <c:pt idx="6">
                  <c:v>0.93969262078590843</c:v>
                </c:pt>
                <c:pt idx="7">
                  <c:v>0.17364817766693041</c:v>
                </c:pt>
                <c:pt idx="8">
                  <c:v>-0.7660444431189779</c:v>
                </c:pt>
                <c:pt idx="9">
                  <c:v>-1</c:v>
                </c:pt>
                <c:pt idx="10">
                  <c:v>-0.8660254037844386</c:v>
                </c:pt>
                <c:pt idx="11">
                  <c:v>-0.50000000000000044</c:v>
                </c:pt>
                <c:pt idx="12">
                  <c:v>-0.34202014332566855</c:v>
                </c:pt>
                <c:pt idx="13">
                  <c:v>-0.17364817766693033</c:v>
                </c:pt>
                <c:pt idx="14">
                  <c:v>0.17364817766692997</c:v>
                </c:pt>
                <c:pt idx="15">
                  <c:v>0.64278760968653925</c:v>
                </c:pt>
                <c:pt idx="16">
                  <c:v>0.76604444311897779</c:v>
                </c:pt>
                <c:pt idx="17">
                  <c:v>0.86602540378443837</c:v>
                </c:pt>
                <c:pt idx="18">
                  <c:v>0.93969262078590843</c:v>
                </c:pt>
                <c:pt idx="19">
                  <c:v>0.17364817766693041</c:v>
                </c:pt>
                <c:pt idx="20">
                  <c:v>-0.7660444431189779</c:v>
                </c:pt>
                <c:pt idx="21">
                  <c:v>-1</c:v>
                </c:pt>
                <c:pt idx="22">
                  <c:v>-0.8660254037844386</c:v>
                </c:pt>
                <c:pt idx="23">
                  <c:v>-0.50000000000000044</c:v>
                </c:pt>
                <c:pt idx="24">
                  <c:v>-0.34202014332566855</c:v>
                </c:pt>
                <c:pt idx="25">
                  <c:v>-0.17364817766693033</c:v>
                </c:pt>
                <c:pt idx="26">
                  <c:v>0.17364817766692997</c:v>
                </c:pt>
                <c:pt idx="27">
                  <c:v>0.64278760968653925</c:v>
                </c:pt>
                <c:pt idx="28">
                  <c:v>0.76604444311897779</c:v>
                </c:pt>
                <c:pt idx="29">
                  <c:v>0.86602540378443837</c:v>
                </c:pt>
                <c:pt idx="30">
                  <c:v>0.93969262078590843</c:v>
                </c:pt>
                <c:pt idx="31">
                  <c:v>0.17364817766693041</c:v>
                </c:pt>
                <c:pt idx="32">
                  <c:v>-0.7660444431189779</c:v>
                </c:pt>
                <c:pt idx="33">
                  <c:v>-1</c:v>
                </c:pt>
                <c:pt idx="34">
                  <c:v>-0.8660254037844386</c:v>
                </c:pt>
                <c:pt idx="35">
                  <c:v>-0.50000000000000044</c:v>
                </c:pt>
                <c:pt idx="36">
                  <c:v>-0.34202014332566855</c:v>
                </c:pt>
                <c:pt idx="37">
                  <c:v>-0.17364817766693033</c:v>
                </c:pt>
                <c:pt idx="38">
                  <c:v>0.17364817766692997</c:v>
                </c:pt>
                <c:pt idx="39">
                  <c:v>0.64278760968653925</c:v>
                </c:pt>
                <c:pt idx="40">
                  <c:v>0.76604444311897779</c:v>
                </c:pt>
                <c:pt idx="41">
                  <c:v>0.86602540378443837</c:v>
                </c:pt>
                <c:pt idx="42">
                  <c:v>0.93969262078590843</c:v>
                </c:pt>
                <c:pt idx="43">
                  <c:v>0.17364817766693041</c:v>
                </c:pt>
                <c:pt idx="44">
                  <c:v>-0.7660444431189779</c:v>
                </c:pt>
                <c:pt idx="45">
                  <c:v>-1</c:v>
                </c:pt>
                <c:pt idx="46">
                  <c:v>-0.8660254037844386</c:v>
                </c:pt>
                <c:pt idx="47">
                  <c:v>-0.50000000000000044</c:v>
                </c:pt>
                <c:pt idx="48">
                  <c:v>-0.34202014332566855</c:v>
                </c:pt>
                <c:pt idx="49">
                  <c:v>-0.17364817766693033</c:v>
                </c:pt>
                <c:pt idx="50">
                  <c:v>0.17364817766692997</c:v>
                </c:pt>
                <c:pt idx="51">
                  <c:v>0.64278760968653925</c:v>
                </c:pt>
                <c:pt idx="52">
                  <c:v>0.76604444311897779</c:v>
                </c:pt>
                <c:pt idx="53">
                  <c:v>0.86602540378443837</c:v>
                </c:pt>
                <c:pt idx="54">
                  <c:v>0.93969262078590843</c:v>
                </c:pt>
                <c:pt idx="55">
                  <c:v>0.17364817766693041</c:v>
                </c:pt>
                <c:pt idx="56">
                  <c:v>-0.7660444431189779</c:v>
                </c:pt>
                <c:pt idx="57">
                  <c:v>-1</c:v>
                </c:pt>
                <c:pt idx="58">
                  <c:v>-0.8660254037844386</c:v>
                </c:pt>
                <c:pt idx="59">
                  <c:v>-0.50000000000000044</c:v>
                </c:pt>
                <c:pt idx="60">
                  <c:v>-0.34202014332566855</c:v>
                </c:pt>
                <c:pt idx="61">
                  <c:v>-0.17364817766693033</c:v>
                </c:pt>
                <c:pt idx="62">
                  <c:v>0.17364817766692997</c:v>
                </c:pt>
                <c:pt idx="63">
                  <c:v>0.64278760968653925</c:v>
                </c:pt>
                <c:pt idx="64">
                  <c:v>0.76604444311897779</c:v>
                </c:pt>
                <c:pt idx="65">
                  <c:v>0.86602540378443837</c:v>
                </c:pt>
                <c:pt idx="66">
                  <c:v>0.93969262078590843</c:v>
                </c:pt>
                <c:pt idx="67">
                  <c:v>0.17364817766693041</c:v>
                </c:pt>
                <c:pt idx="68">
                  <c:v>-0.7660444431189779</c:v>
                </c:pt>
                <c:pt idx="69">
                  <c:v>-1</c:v>
                </c:pt>
                <c:pt idx="70">
                  <c:v>-0.8660254037844386</c:v>
                </c:pt>
                <c:pt idx="71">
                  <c:v>-0.50000000000000044</c:v>
                </c:pt>
                <c:pt idx="72">
                  <c:v>-0.34202014332566855</c:v>
                </c:pt>
                <c:pt idx="73">
                  <c:v>-0.17364817766693033</c:v>
                </c:pt>
                <c:pt idx="74">
                  <c:v>0.17364817766692997</c:v>
                </c:pt>
                <c:pt idx="75">
                  <c:v>0.64278760968653925</c:v>
                </c:pt>
                <c:pt idx="76">
                  <c:v>0.76604444311897779</c:v>
                </c:pt>
                <c:pt idx="77">
                  <c:v>0.86602540378443837</c:v>
                </c:pt>
                <c:pt idx="78">
                  <c:v>0.93969262078590843</c:v>
                </c:pt>
                <c:pt idx="79">
                  <c:v>0.17364817766693041</c:v>
                </c:pt>
                <c:pt idx="80">
                  <c:v>-0.7660444431189779</c:v>
                </c:pt>
                <c:pt idx="81">
                  <c:v>-1</c:v>
                </c:pt>
                <c:pt idx="82">
                  <c:v>-0.8660254037844386</c:v>
                </c:pt>
                <c:pt idx="83">
                  <c:v>-0.50000000000000044</c:v>
                </c:pt>
                <c:pt idx="84">
                  <c:v>-0.34202014332566855</c:v>
                </c:pt>
                <c:pt idx="85">
                  <c:v>-0.17364817766693033</c:v>
                </c:pt>
                <c:pt idx="86">
                  <c:v>0.17364817766692997</c:v>
                </c:pt>
                <c:pt idx="87">
                  <c:v>0.64278760968653925</c:v>
                </c:pt>
                <c:pt idx="88">
                  <c:v>0.76604444311897779</c:v>
                </c:pt>
                <c:pt idx="89">
                  <c:v>0.86602540378443837</c:v>
                </c:pt>
                <c:pt idx="90">
                  <c:v>0.93969262078590843</c:v>
                </c:pt>
              </c:numCache>
            </c:numRef>
          </c:val>
          <c:smooth val="0"/>
        </c:ser>
        <c:ser>
          <c:idx val="3"/>
          <c:order val="1"/>
          <c:tx>
            <c:strRef>
              <c:f>濃度回帰式!$Y$53</c:f>
              <c:strCache>
                <c:ptCount val="1"/>
                <c:pt idx="0">
                  <c:v>30°等間隔COS()</c:v>
                </c:pt>
              </c:strCache>
            </c:strRef>
          </c:tx>
          <c:spPr>
            <a:ln w="38100">
              <a:solidFill>
                <a:srgbClr val="0066FF"/>
              </a:solidFill>
              <a:prstDash val="sysDot"/>
            </a:ln>
          </c:spPr>
          <c:marker>
            <c:symbol val="none"/>
          </c:marker>
          <c:cat>
            <c:numRef>
              <c:f>濃度回帰式!$E$61:$E$150</c:f>
              <c:numCache>
                <c:formatCode>[$-411]m\.d\.ge</c:formatCode>
                <c:ptCount val="90"/>
                <c:pt idx="0">
                  <c:v>40817</c:v>
                </c:pt>
                <c:pt idx="1">
                  <c:v>40848</c:v>
                </c:pt>
                <c:pt idx="2">
                  <c:v>40878</c:v>
                </c:pt>
                <c:pt idx="3">
                  <c:v>40909</c:v>
                </c:pt>
                <c:pt idx="4">
                  <c:v>40940</c:v>
                </c:pt>
                <c:pt idx="5">
                  <c:v>40969</c:v>
                </c:pt>
                <c:pt idx="6">
                  <c:v>41000</c:v>
                </c:pt>
                <c:pt idx="7">
                  <c:v>41030</c:v>
                </c:pt>
                <c:pt idx="8">
                  <c:v>41061</c:v>
                </c:pt>
                <c:pt idx="9">
                  <c:v>41091</c:v>
                </c:pt>
                <c:pt idx="10">
                  <c:v>41122</c:v>
                </c:pt>
                <c:pt idx="11">
                  <c:v>41153</c:v>
                </c:pt>
                <c:pt idx="12">
                  <c:v>41183</c:v>
                </c:pt>
                <c:pt idx="13">
                  <c:v>41214</c:v>
                </c:pt>
                <c:pt idx="14">
                  <c:v>41244</c:v>
                </c:pt>
                <c:pt idx="15">
                  <c:v>41275</c:v>
                </c:pt>
                <c:pt idx="16">
                  <c:v>41306</c:v>
                </c:pt>
                <c:pt idx="17">
                  <c:v>41334</c:v>
                </c:pt>
                <c:pt idx="18">
                  <c:v>41365</c:v>
                </c:pt>
                <c:pt idx="19">
                  <c:v>41395</c:v>
                </c:pt>
                <c:pt idx="20">
                  <c:v>41426</c:v>
                </c:pt>
                <c:pt idx="21">
                  <c:v>41456</c:v>
                </c:pt>
                <c:pt idx="22">
                  <c:v>41487</c:v>
                </c:pt>
                <c:pt idx="23">
                  <c:v>41518</c:v>
                </c:pt>
                <c:pt idx="24">
                  <c:v>41548</c:v>
                </c:pt>
                <c:pt idx="25">
                  <c:v>41579</c:v>
                </c:pt>
                <c:pt idx="26">
                  <c:v>41609</c:v>
                </c:pt>
                <c:pt idx="27">
                  <c:v>41640</c:v>
                </c:pt>
                <c:pt idx="28">
                  <c:v>41671</c:v>
                </c:pt>
                <c:pt idx="29">
                  <c:v>41699</c:v>
                </c:pt>
                <c:pt idx="30">
                  <c:v>41730</c:v>
                </c:pt>
                <c:pt idx="31">
                  <c:v>41760</c:v>
                </c:pt>
                <c:pt idx="32">
                  <c:v>41791</c:v>
                </c:pt>
                <c:pt idx="33">
                  <c:v>41821</c:v>
                </c:pt>
                <c:pt idx="34">
                  <c:v>41852</c:v>
                </c:pt>
                <c:pt idx="35">
                  <c:v>41883</c:v>
                </c:pt>
                <c:pt idx="36">
                  <c:v>41913</c:v>
                </c:pt>
                <c:pt idx="37">
                  <c:v>41944</c:v>
                </c:pt>
                <c:pt idx="38">
                  <c:v>41974</c:v>
                </c:pt>
                <c:pt idx="39">
                  <c:v>42005</c:v>
                </c:pt>
                <c:pt idx="40">
                  <c:v>42036</c:v>
                </c:pt>
                <c:pt idx="41">
                  <c:v>42064</c:v>
                </c:pt>
                <c:pt idx="42">
                  <c:v>42095</c:v>
                </c:pt>
                <c:pt idx="43">
                  <c:v>42125</c:v>
                </c:pt>
                <c:pt idx="44">
                  <c:v>42156</c:v>
                </c:pt>
                <c:pt idx="45">
                  <c:v>42186</c:v>
                </c:pt>
                <c:pt idx="46">
                  <c:v>42217</c:v>
                </c:pt>
                <c:pt idx="47">
                  <c:v>42248</c:v>
                </c:pt>
                <c:pt idx="48">
                  <c:v>42278</c:v>
                </c:pt>
                <c:pt idx="49">
                  <c:v>42309</c:v>
                </c:pt>
                <c:pt idx="50">
                  <c:v>42339</c:v>
                </c:pt>
                <c:pt idx="51">
                  <c:v>42370</c:v>
                </c:pt>
                <c:pt idx="52">
                  <c:v>42401</c:v>
                </c:pt>
                <c:pt idx="53">
                  <c:v>42430</c:v>
                </c:pt>
                <c:pt idx="54">
                  <c:v>42461</c:v>
                </c:pt>
                <c:pt idx="55">
                  <c:v>42491</c:v>
                </c:pt>
                <c:pt idx="56">
                  <c:v>42522</c:v>
                </c:pt>
                <c:pt idx="57">
                  <c:v>42552</c:v>
                </c:pt>
                <c:pt idx="58">
                  <c:v>42583</c:v>
                </c:pt>
                <c:pt idx="59">
                  <c:v>42614</c:v>
                </c:pt>
                <c:pt idx="60">
                  <c:v>42644</c:v>
                </c:pt>
                <c:pt idx="61">
                  <c:v>42675</c:v>
                </c:pt>
                <c:pt idx="62">
                  <c:v>42705</c:v>
                </c:pt>
                <c:pt idx="63">
                  <c:v>42736</c:v>
                </c:pt>
                <c:pt idx="64">
                  <c:v>42767</c:v>
                </c:pt>
                <c:pt idx="65">
                  <c:v>42795</c:v>
                </c:pt>
                <c:pt idx="66">
                  <c:v>42826</c:v>
                </c:pt>
                <c:pt idx="67">
                  <c:v>42856</c:v>
                </c:pt>
                <c:pt idx="68">
                  <c:v>42887</c:v>
                </c:pt>
                <c:pt idx="69">
                  <c:v>42917</c:v>
                </c:pt>
                <c:pt idx="70">
                  <c:v>42948</c:v>
                </c:pt>
                <c:pt idx="71">
                  <c:v>42979</c:v>
                </c:pt>
                <c:pt idx="72">
                  <c:v>43009</c:v>
                </c:pt>
                <c:pt idx="73">
                  <c:v>43040</c:v>
                </c:pt>
                <c:pt idx="74">
                  <c:v>43070</c:v>
                </c:pt>
                <c:pt idx="75">
                  <c:v>43101</c:v>
                </c:pt>
                <c:pt idx="76">
                  <c:v>43132</c:v>
                </c:pt>
                <c:pt idx="77">
                  <c:v>43160</c:v>
                </c:pt>
                <c:pt idx="78">
                  <c:v>43191</c:v>
                </c:pt>
                <c:pt idx="79">
                  <c:v>43221</c:v>
                </c:pt>
                <c:pt idx="80">
                  <c:v>43252</c:v>
                </c:pt>
                <c:pt idx="81">
                  <c:v>43282</c:v>
                </c:pt>
                <c:pt idx="82">
                  <c:v>43313</c:v>
                </c:pt>
                <c:pt idx="83">
                  <c:v>43344</c:v>
                </c:pt>
                <c:pt idx="84">
                  <c:v>43374</c:v>
                </c:pt>
                <c:pt idx="85">
                  <c:v>43405</c:v>
                </c:pt>
                <c:pt idx="86">
                  <c:v>43435</c:v>
                </c:pt>
                <c:pt idx="87">
                  <c:v>43466</c:v>
                </c:pt>
                <c:pt idx="88">
                  <c:v>43497</c:v>
                </c:pt>
                <c:pt idx="89">
                  <c:v>43525</c:v>
                </c:pt>
              </c:numCache>
            </c:numRef>
          </c:cat>
          <c:val>
            <c:numRef>
              <c:f>濃度回帰式!$Y$61:$Y$150</c:f>
              <c:numCache>
                <c:formatCode>0.00</c:formatCode>
                <c:ptCount val="90"/>
                <c:pt idx="0">
                  <c:v>-0.1736481776669303</c:v>
                </c:pt>
                <c:pt idx="1">
                  <c:v>0.34202014332566882</c:v>
                </c:pt>
                <c:pt idx="2">
                  <c:v>0.76604444311897801</c:v>
                </c:pt>
                <c:pt idx="3">
                  <c:v>0.98480775301220802</c:v>
                </c:pt>
                <c:pt idx="4">
                  <c:v>0.93969262078590843</c:v>
                </c:pt>
                <c:pt idx="5">
                  <c:v>0.64278760968653936</c:v>
                </c:pt>
                <c:pt idx="6">
                  <c:v>0.17364817766693041</c:v>
                </c:pt>
                <c:pt idx="7">
                  <c:v>-0.34202014332566871</c:v>
                </c:pt>
                <c:pt idx="8">
                  <c:v>-0.7660444431189779</c:v>
                </c:pt>
                <c:pt idx="9">
                  <c:v>-0.98480775301220802</c:v>
                </c:pt>
                <c:pt idx="10">
                  <c:v>-0.93969262078590843</c:v>
                </c:pt>
                <c:pt idx="11">
                  <c:v>-0.64278760968653947</c:v>
                </c:pt>
                <c:pt idx="12">
                  <c:v>-0.17364817766693033</c:v>
                </c:pt>
                <c:pt idx="13">
                  <c:v>0.34202014332566899</c:v>
                </c:pt>
                <c:pt idx="14">
                  <c:v>0.76604444311897779</c:v>
                </c:pt>
                <c:pt idx="15">
                  <c:v>0.98480775301220802</c:v>
                </c:pt>
                <c:pt idx="16">
                  <c:v>0.93969262078590832</c:v>
                </c:pt>
                <c:pt idx="17">
                  <c:v>0.64278760968653958</c:v>
                </c:pt>
                <c:pt idx="18">
                  <c:v>0.17364817766693044</c:v>
                </c:pt>
                <c:pt idx="19">
                  <c:v>-0.34202014332566805</c:v>
                </c:pt>
                <c:pt idx="20">
                  <c:v>-0.76604444311897835</c:v>
                </c:pt>
                <c:pt idx="21">
                  <c:v>-0.98480775301220802</c:v>
                </c:pt>
                <c:pt idx="22">
                  <c:v>-0.93969262078590865</c:v>
                </c:pt>
                <c:pt idx="23">
                  <c:v>-0.64278760968653903</c:v>
                </c:pt>
                <c:pt idx="24">
                  <c:v>-0.17364817766693058</c:v>
                </c:pt>
                <c:pt idx="25">
                  <c:v>0.34202014332566794</c:v>
                </c:pt>
                <c:pt idx="26">
                  <c:v>0.76604444311897824</c:v>
                </c:pt>
                <c:pt idx="27">
                  <c:v>0.98480775301220802</c:v>
                </c:pt>
                <c:pt idx="28">
                  <c:v>0.93969262078590865</c:v>
                </c:pt>
                <c:pt idx="29">
                  <c:v>0.64278760968653914</c:v>
                </c:pt>
                <c:pt idx="30">
                  <c:v>0.17364817766693069</c:v>
                </c:pt>
                <c:pt idx="31">
                  <c:v>-0.34202014332566782</c:v>
                </c:pt>
                <c:pt idx="32">
                  <c:v>-0.76604444311897812</c:v>
                </c:pt>
                <c:pt idx="33">
                  <c:v>-0.98480775301220802</c:v>
                </c:pt>
                <c:pt idx="34">
                  <c:v>-0.93969262078590876</c:v>
                </c:pt>
                <c:pt idx="35">
                  <c:v>-0.64278760968654058</c:v>
                </c:pt>
                <c:pt idx="36">
                  <c:v>-0.17364817766692905</c:v>
                </c:pt>
                <c:pt idx="37">
                  <c:v>0.34202014332566938</c:v>
                </c:pt>
                <c:pt idx="38">
                  <c:v>0.76604444311897812</c:v>
                </c:pt>
                <c:pt idx="39">
                  <c:v>0.98480775301220802</c:v>
                </c:pt>
                <c:pt idx="40">
                  <c:v>0.93969262078590876</c:v>
                </c:pt>
                <c:pt idx="41">
                  <c:v>0.6427876096865407</c:v>
                </c:pt>
                <c:pt idx="42">
                  <c:v>0.17364817766692919</c:v>
                </c:pt>
                <c:pt idx="43">
                  <c:v>-0.34202014332566927</c:v>
                </c:pt>
                <c:pt idx="44">
                  <c:v>-0.76604444311897801</c:v>
                </c:pt>
                <c:pt idx="45">
                  <c:v>-0.98480775301220791</c:v>
                </c:pt>
                <c:pt idx="46">
                  <c:v>-0.93969262078590887</c:v>
                </c:pt>
                <c:pt idx="47">
                  <c:v>-0.64278760968654081</c:v>
                </c:pt>
                <c:pt idx="48">
                  <c:v>-0.1736481776669293</c:v>
                </c:pt>
                <c:pt idx="49">
                  <c:v>0.34202014332566916</c:v>
                </c:pt>
                <c:pt idx="50">
                  <c:v>0.7660444431189779</c:v>
                </c:pt>
                <c:pt idx="51">
                  <c:v>0.98480775301220791</c:v>
                </c:pt>
                <c:pt idx="52">
                  <c:v>0.93969262078590887</c:v>
                </c:pt>
                <c:pt idx="53">
                  <c:v>0.64278760968654081</c:v>
                </c:pt>
                <c:pt idx="54">
                  <c:v>0.17364817766692942</c:v>
                </c:pt>
                <c:pt idx="55">
                  <c:v>-0.34202014332566905</c:v>
                </c:pt>
                <c:pt idx="56">
                  <c:v>-0.7660444431189779</c:v>
                </c:pt>
                <c:pt idx="57">
                  <c:v>-0.98480775301220791</c:v>
                </c:pt>
                <c:pt idx="58">
                  <c:v>-0.93969262078590887</c:v>
                </c:pt>
                <c:pt idx="59">
                  <c:v>-0.64278760968654092</c:v>
                </c:pt>
                <c:pt idx="60">
                  <c:v>-0.17364817766692955</c:v>
                </c:pt>
                <c:pt idx="61">
                  <c:v>0.34202014332566893</c:v>
                </c:pt>
                <c:pt idx="62">
                  <c:v>0.76604444311897779</c:v>
                </c:pt>
                <c:pt idx="63">
                  <c:v>0.98480775301220791</c:v>
                </c:pt>
                <c:pt idx="64">
                  <c:v>0.93969262078590898</c:v>
                </c:pt>
                <c:pt idx="65">
                  <c:v>0.64278760968653836</c:v>
                </c:pt>
                <c:pt idx="66">
                  <c:v>0.17364817766693316</c:v>
                </c:pt>
                <c:pt idx="67">
                  <c:v>-0.34202014332566882</c:v>
                </c:pt>
                <c:pt idx="68">
                  <c:v>-0.76604444311897546</c:v>
                </c:pt>
                <c:pt idx="69">
                  <c:v>-0.98480775301220791</c:v>
                </c:pt>
                <c:pt idx="70">
                  <c:v>-0.93969262078590776</c:v>
                </c:pt>
                <c:pt idx="71">
                  <c:v>-0.64278760968654114</c:v>
                </c:pt>
                <c:pt idx="72">
                  <c:v>-0.17364817766692978</c:v>
                </c:pt>
                <c:pt idx="73">
                  <c:v>0.34202014332566538</c:v>
                </c:pt>
                <c:pt idx="74">
                  <c:v>0.76604444311897757</c:v>
                </c:pt>
                <c:pt idx="75">
                  <c:v>0.98480775301220846</c:v>
                </c:pt>
                <c:pt idx="76">
                  <c:v>0.93969262078590898</c:v>
                </c:pt>
                <c:pt idx="77">
                  <c:v>0.64278760968653847</c:v>
                </c:pt>
                <c:pt idx="78">
                  <c:v>0.17364817766693341</c:v>
                </c:pt>
                <c:pt idx="79">
                  <c:v>-0.3420201433256686</c:v>
                </c:pt>
                <c:pt idx="80">
                  <c:v>-0.76604444311897979</c:v>
                </c:pt>
                <c:pt idx="81">
                  <c:v>-0.9848077530122078</c:v>
                </c:pt>
                <c:pt idx="82">
                  <c:v>-0.93969262078590787</c:v>
                </c:pt>
                <c:pt idx="83">
                  <c:v>-0.64278760968654136</c:v>
                </c:pt>
                <c:pt idx="84">
                  <c:v>-0.17364817766693003</c:v>
                </c:pt>
                <c:pt idx="85">
                  <c:v>0.3420201433256651</c:v>
                </c:pt>
                <c:pt idx="86">
                  <c:v>0.76604444311897746</c:v>
                </c:pt>
                <c:pt idx="87">
                  <c:v>0.98480775301220846</c:v>
                </c:pt>
                <c:pt idx="88">
                  <c:v>0.93969262078590909</c:v>
                </c:pt>
                <c:pt idx="89">
                  <c:v>0.6427876096865387</c:v>
                </c:pt>
              </c:numCache>
            </c:numRef>
          </c:val>
          <c:smooth val="0"/>
        </c:ser>
        <c:dLbls>
          <c:showLegendKey val="0"/>
          <c:showVal val="0"/>
          <c:showCatName val="0"/>
          <c:showSerName val="0"/>
          <c:showPercent val="0"/>
          <c:showBubbleSize val="0"/>
        </c:dLbls>
        <c:marker val="1"/>
        <c:smooth val="0"/>
        <c:axId val="136809856"/>
        <c:axId val="136819840"/>
      </c:lineChart>
      <c:catAx>
        <c:axId val="136809856"/>
        <c:scaling>
          <c:orientation val="minMax"/>
        </c:scaling>
        <c:delete val="0"/>
        <c:axPos val="b"/>
        <c:majorGridlines>
          <c:spPr>
            <a:ln w="3175">
              <a:pattFill prst="pct50">
                <a:fgClr>
                  <a:srgbClr val="000000"/>
                </a:fgClr>
                <a:bgClr>
                  <a:srgbClr val="FFFFFF"/>
                </a:bgClr>
              </a:pattFill>
              <a:prstDash val="solid"/>
            </a:ln>
          </c:spPr>
        </c:majorGridlines>
        <c:numFmt formatCode="[$-411]ge" sourceLinked="0"/>
        <c:majorTickMark val="in"/>
        <c:minorTickMark val="none"/>
        <c:tickLblPos val="nextTo"/>
        <c:spPr>
          <a:ln w="3175">
            <a:solidFill>
              <a:srgbClr val="000000"/>
            </a:solidFill>
            <a:prstDash val="solid"/>
          </a:ln>
        </c:spPr>
        <c:txPr>
          <a:bodyPr rot="-5400000" vert="horz"/>
          <a:lstStyle/>
          <a:p>
            <a:pPr>
              <a:defRPr sz="800" b="0" i="0" u="none" strike="noStrike" baseline="0">
                <a:solidFill>
                  <a:srgbClr val="000000"/>
                </a:solidFill>
                <a:latin typeface="Meiryo UI"/>
                <a:ea typeface="Meiryo UI"/>
                <a:cs typeface="Meiryo UI"/>
              </a:defRPr>
            </a:pPr>
            <a:endParaRPr lang="ja-JP"/>
          </a:p>
        </c:txPr>
        <c:crossAx val="136819840"/>
        <c:crossesAt val="-1.5"/>
        <c:auto val="0"/>
        <c:lblAlgn val="ctr"/>
        <c:lblOffset val="0"/>
        <c:tickLblSkip val="12"/>
        <c:tickMarkSkip val="12"/>
        <c:noMultiLvlLbl val="0"/>
      </c:catAx>
      <c:valAx>
        <c:axId val="136819840"/>
        <c:scaling>
          <c:orientation val="minMax"/>
        </c:scaling>
        <c:delete val="0"/>
        <c:axPos val="l"/>
        <c:majorGridlines>
          <c:spPr>
            <a:ln w="3175">
              <a:pattFill prst="pct50">
                <a:fgClr>
                  <a:srgbClr val="000000"/>
                </a:fgClr>
                <a:bgClr>
                  <a:srgbClr val="FFFFFF"/>
                </a:bgClr>
              </a:pattFill>
              <a:prstDash val="solid"/>
            </a:ln>
          </c:spPr>
        </c:majorGridlines>
        <c:title>
          <c:tx>
            <c:rich>
              <a:bodyPr rot="0" vert="horz"/>
              <a:lstStyle/>
              <a:p>
                <a:pPr>
                  <a:defRPr sz="800">
                    <a:latin typeface="Meiryo UI" panose="020B0604030504040204" pitchFamily="50" charset="-128"/>
                    <a:ea typeface="Meiryo UI" panose="020B0604030504040204" pitchFamily="50" charset="-128"/>
                  </a:defRPr>
                </a:pPr>
                <a:r>
                  <a:rPr lang="en-US" altLang="ja-JP" sz="800"/>
                  <a:t>cos(</a:t>
                </a:r>
                <a:r>
                  <a:rPr lang="ja-JP" altLang="en-US" sz="800"/>
                  <a:t>ラジアン</a:t>
                </a:r>
                <a:r>
                  <a:rPr lang="en-US" altLang="ja-JP" sz="800"/>
                  <a:t>)</a:t>
                </a:r>
                <a:endParaRPr lang="ja-JP" altLang="en-US" sz="800"/>
              </a:p>
            </c:rich>
          </c:tx>
          <c:layout>
            <c:manualLayout>
              <c:xMode val="edge"/>
              <c:yMode val="edge"/>
              <c:x val="3.9271653543307077E-2"/>
              <c:y val="9.975092957130359E-2"/>
            </c:manualLayout>
          </c:layout>
          <c:overlay val="0"/>
          <c:spPr>
            <a:solidFill>
              <a:schemeClr val="bg1"/>
            </a:solidFill>
          </c:spPr>
        </c:title>
        <c:numFmt formatCode="0.0" sourceLinked="0"/>
        <c:majorTickMark val="in"/>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Meiryo UI"/>
                <a:ea typeface="Meiryo UI"/>
                <a:cs typeface="Meiryo UI"/>
              </a:defRPr>
            </a:pPr>
            <a:endParaRPr lang="ja-JP"/>
          </a:p>
        </c:txPr>
        <c:crossAx val="136809856"/>
        <c:crosses val="autoZero"/>
        <c:crossBetween val="between"/>
      </c:valAx>
      <c:spPr>
        <a:noFill/>
        <a:ln w="12700">
          <a:solidFill>
            <a:srgbClr val="808080"/>
          </a:solidFill>
          <a:prstDash val="solid"/>
        </a:ln>
      </c:spPr>
    </c:plotArea>
    <c:legend>
      <c:legendPos val="r"/>
      <c:layout>
        <c:manualLayout>
          <c:xMode val="edge"/>
          <c:yMode val="edge"/>
          <c:x val="0.581650692984644"/>
          <c:y val="9.7221744661829933E-3"/>
          <c:w val="0.36205668578757977"/>
          <c:h val="0.14661658013272358"/>
        </c:manualLayout>
      </c:layout>
      <c:overlay val="0"/>
      <c:spPr>
        <a:solidFill>
          <a:schemeClr val="bg1"/>
        </a:solidFill>
        <a:ln w="25400">
          <a:noFill/>
        </a:ln>
      </c:spPr>
      <c:txPr>
        <a:bodyPr/>
        <a:lstStyle/>
        <a:p>
          <a:pPr>
            <a:defRPr sz="900" b="0" i="0" u="none" strike="noStrike" baseline="0">
              <a:solidFill>
                <a:srgbClr val="000000"/>
              </a:solidFill>
              <a:latin typeface="Meiryo UI"/>
              <a:ea typeface="Meiryo UI"/>
              <a:cs typeface="Meiryo UI"/>
            </a:defRPr>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350" b="0" i="0" u="none" strike="noStrike" baseline="0">
          <a:solidFill>
            <a:srgbClr val="000000"/>
          </a:solidFill>
          <a:latin typeface="ＭＳ Ｐ明朝"/>
          <a:ea typeface="ＭＳ Ｐ明朝"/>
          <a:cs typeface="ＭＳ Ｐ明朝"/>
        </a:defRPr>
      </a:pPr>
      <a:endParaRPr lang="ja-JP"/>
    </a:p>
  </c:txPr>
  <c:printSettings>
    <c:headerFooter alignWithMargins="0"/>
    <c:pageMargins b="1" l="0.75" r="0.75" t="1" header="0.51200000000000001" footer="0.51200000000000001"/>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1200" b="0" i="0" u="none" strike="noStrike" baseline="0">
                <a:solidFill>
                  <a:srgbClr val="000000"/>
                </a:solidFill>
                <a:latin typeface="Meiryo UI"/>
                <a:ea typeface="Meiryo UI"/>
                <a:cs typeface="Meiryo UI"/>
              </a:defRPr>
            </a:pPr>
            <a:r>
              <a:rPr lang="ja-JP" altLang="en-US" sz="1200"/>
              <a:t>ばいじん</a:t>
            </a:r>
            <a:r>
              <a:rPr lang="en-US" altLang="ja-JP" sz="1200"/>
              <a:t>(</a:t>
            </a:r>
            <a:r>
              <a:rPr lang="ja-JP" altLang="en-US" sz="1200"/>
              <a:t>飛灰</a:t>
            </a:r>
            <a:r>
              <a:rPr lang="en-US" altLang="ja-JP" sz="1200"/>
              <a:t>)</a:t>
            </a:r>
            <a:r>
              <a:rPr lang="ja-JP" altLang="en-US" sz="1200"/>
              <a:t>中の</a:t>
            </a:r>
            <a:r>
              <a:rPr lang="en-US" altLang="ja-JP" sz="1200"/>
              <a:t>Cs</a:t>
            </a:r>
            <a:r>
              <a:rPr lang="ja-JP" altLang="en-US" sz="1200"/>
              <a:t>濃度の推移</a:t>
            </a:r>
          </a:p>
        </c:rich>
      </c:tx>
      <c:layout>
        <c:manualLayout>
          <c:xMode val="edge"/>
          <c:yMode val="edge"/>
          <c:x val="0.38475456202759467"/>
          <c:y val="2.8939330214148868E-2"/>
        </c:manualLayout>
      </c:layout>
      <c:overlay val="0"/>
      <c:spPr>
        <a:solidFill>
          <a:srgbClr val="FFFFFF"/>
        </a:solidFill>
        <a:ln w="25400">
          <a:noFill/>
        </a:ln>
      </c:spPr>
    </c:title>
    <c:autoTitleDeleted val="0"/>
    <c:plotArea>
      <c:layout>
        <c:manualLayout>
          <c:layoutTarget val="inner"/>
          <c:xMode val="edge"/>
          <c:yMode val="edge"/>
          <c:x val="7.5040001443118579E-2"/>
          <c:y val="5.189028696994271E-2"/>
          <c:w val="0.90200882106231561"/>
          <c:h val="0.80922907892327411"/>
        </c:manualLayout>
      </c:layout>
      <c:lineChart>
        <c:grouping val="standard"/>
        <c:varyColors val="0"/>
        <c:ser>
          <c:idx val="3"/>
          <c:order val="0"/>
          <c:tx>
            <c:strRef>
              <c:f>まとめ!$U$29:$U$31</c:f>
              <c:strCache>
                <c:ptCount val="1"/>
                <c:pt idx="0">
                  <c:v>環境管理センター ぱいじん(飛灰)中濃度 両Cs濃度 (Bq/kg)</c:v>
                </c:pt>
              </c:strCache>
            </c:strRef>
          </c:tx>
          <c:spPr>
            <a:ln w="3175">
              <a:solidFill>
                <a:srgbClr val="0070C0"/>
              </a:solidFill>
              <a:prstDash val="solid"/>
            </a:ln>
          </c:spPr>
          <c:marker>
            <c:symbol val="square"/>
            <c:size val="5"/>
            <c:spPr>
              <a:solidFill>
                <a:sysClr val="window" lastClr="FFFFFF"/>
              </a:solidFill>
              <a:ln>
                <a:solidFill>
                  <a:srgbClr val="0070C0"/>
                </a:solidFill>
              </a:ln>
            </c:spPr>
          </c:marker>
          <c:cat>
            <c:numRef>
              <c:f>まとめ!$R$32:$R$121</c:f>
              <c:numCache>
                <c:formatCode>[$-411]ge\.m</c:formatCode>
                <c:ptCount val="90"/>
                <c:pt idx="0">
                  <c:v>40614</c:v>
                </c:pt>
                <c:pt idx="1">
                  <c:v>40847</c:v>
                </c:pt>
                <c:pt idx="2">
                  <c:v>40877</c:v>
                </c:pt>
                <c:pt idx="3">
                  <c:v>40908</c:v>
                </c:pt>
                <c:pt idx="4">
                  <c:v>40939</c:v>
                </c:pt>
                <c:pt idx="5">
                  <c:v>40968</c:v>
                </c:pt>
                <c:pt idx="6">
                  <c:v>40999</c:v>
                </c:pt>
                <c:pt idx="7">
                  <c:v>41029</c:v>
                </c:pt>
                <c:pt idx="8">
                  <c:v>41060</c:v>
                </c:pt>
                <c:pt idx="9">
                  <c:v>41090</c:v>
                </c:pt>
                <c:pt idx="10">
                  <c:v>41121</c:v>
                </c:pt>
                <c:pt idx="11">
                  <c:v>41152</c:v>
                </c:pt>
                <c:pt idx="12">
                  <c:v>41182</c:v>
                </c:pt>
                <c:pt idx="13">
                  <c:v>41213</c:v>
                </c:pt>
                <c:pt idx="14">
                  <c:v>41243</c:v>
                </c:pt>
                <c:pt idx="15">
                  <c:v>41274</c:v>
                </c:pt>
                <c:pt idx="16">
                  <c:v>41305</c:v>
                </c:pt>
                <c:pt idx="17">
                  <c:v>41333</c:v>
                </c:pt>
                <c:pt idx="18">
                  <c:v>41364</c:v>
                </c:pt>
                <c:pt idx="19">
                  <c:v>41394</c:v>
                </c:pt>
                <c:pt idx="20">
                  <c:v>41425</c:v>
                </c:pt>
                <c:pt idx="21">
                  <c:v>41455</c:v>
                </c:pt>
                <c:pt idx="22">
                  <c:v>41486</c:v>
                </c:pt>
                <c:pt idx="23">
                  <c:v>41517</c:v>
                </c:pt>
                <c:pt idx="24">
                  <c:v>41547</c:v>
                </c:pt>
                <c:pt idx="25">
                  <c:v>41578</c:v>
                </c:pt>
                <c:pt idx="26">
                  <c:v>41608</c:v>
                </c:pt>
                <c:pt idx="27">
                  <c:v>41639</c:v>
                </c:pt>
                <c:pt idx="28">
                  <c:v>41670</c:v>
                </c:pt>
                <c:pt idx="29">
                  <c:v>41698</c:v>
                </c:pt>
                <c:pt idx="30">
                  <c:v>41729</c:v>
                </c:pt>
                <c:pt idx="31">
                  <c:v>41759</c:v>
                </c:pt>
                <c:pt idx="32">
                  <c:v>41790</c:v>
                </c:pt>
                <c:pt idx="33">
                  <c:v>41820</c:v>
                </c:pt>
                <c:pt idx="34">
                  <c:v>41851</c:v>
                </c:pt>
                <c:pt idx="35">
                  <c:v>41882</c:v>
                </c:pt>
                <c:pt idx="36">
                  <c:v>41912</c:v>
                </c:pt>
                <c:pt idx="37">
                  <c:v>41943</c:v>
                </c:pt>
                <c:pt idx="38">
                  <c:v>41973</c:v>
                </c:pt>
                <c:pt idx="39">
                  <c:v>42004</c:v>
                </c:pt>
                <c:pt idx="40">
                  <c:v>42035</c:v>
                </c:pt>
                <c:pt idx="41">
                  <c:v>42063</c:v>
                </c:pt>
                <c:pt idx="42">
                  <c:v>42094</c:v>
                </c:pt>
                <c:pt idx="43">
                  <c:v>42124</c:v>
                </c:pt>
                <c:pt idx="44">
                  <c:v>42155</c:v>
                </c:pt>
                <c:pt idx="45">
                  <c:v>42185</c:v>
                </c:pt>
                <c:pt idx="46">
                  <c:v>42216</c:v>
                </c:pt>
                <c:pt idx="47">
                  <c:v>42247</c:v>
                </c:pt>
                <c:pt idx="48">
                  <c:v>42277</c:v>
                </c:pt>
                <c:pt idx="49">
                  <c:v>42308</c:v>
                </c:pt>
                <c:pt idx="50">
                  <c:v>42338</c:v>
                </c:pt>
                <c:pt idx="51">
                  <c:v>42369</c:v>
                </c:pt>
                <c:pt idx="52">
                  <c:v>42400</c:v>
                </c:pt>
                <c:pt idx="53">
                  <c:v>42429</c:v>
                </c:pt>
                <c:pt idx="54">
                  <c:v>42460</c:v>
                </c:pt>
                <c:pt idx="55">
                  <c:v>42490</c:v>
                </c:pt>
                <c:pt idx="56">
                  <c:v>42521</c:v>
                </c:pt>
                <c:pt idx="57">
                  <c:v>42551</c:v>
                </c:pt>
                <c:pt idx="58">
                  <c:v>42582</c:v>
                </c:pt>
                <c:pt idx="59">
                  <c:v>42613</c:v>
                </c:pt>
                <c:pt idx="60">
                  <c:v>42643</c:v>
                </c:pt>
                <c:pt idx="61">
                  <c:v>42674</c:v>
                </c:pt>
                <c:pt idx="62">
                  <c:v>42704</c:v>
                </c:pt>
                <c:pt idx="63">
                  <c:v>42735</c:v>
                </c:pt>
                <c:pt idx="64">
                  <c:v>42766</c:v>
                </c:pt>
                <c:pt idx="65">
                  <c:v>42794</c:v>
                </c:pt>
                <c:pt idx="66">
                  <c:v>42825</c:v>
                </c:pt>
                <c:pt idx="67">
                  <c:v>42855</c:v>
                </c:pt>
                <c:pt idx="68">
                  <c:v>42886</c:v>
                </c:pt>
                <c:pt idx="69">
                  <c:v>42916</c:v>
                </c:pt>
                <c:pt idx="70">
                  <c:v>42947</c:v>
                </c:pt>
                <c:pt idx="71">
                  <c:v>42978</c:v>
                </c:pt>
                <c:pt idx="72">
                  <c:v>43008</c:v>
                </c:pt>
                <c:pt idx="73">
                  <c:v>43039</c:v>
                </c:pt>
                <c:pt idx="74">
                  <c:v>43069</c:v>
                </c:pt>
                <c:pt idx="75">
                  <c:v>43100</c:v>
                </c:pt>
                <c:pt idx="76">
                  <c:v>43131</c:v>
                </c:pt>
                <c:pt idx="77">
                  <c:v>43159</c:v>
                </c:pt>
                <c:pt idx="78">
                  <c:v>43190</c:v>
                </c:pt>
                <c:pt idx="79">
                  <c:v>43220</c:v>
                </c:pt>
                <c:pt idx="80">
                  <c:v>43251</c:v>
                </c:pt>
                <c:pt idx="81">
                  <c:v>43281</c:v>
                </c:pt>
                <c:pt idx="82">
                  <c:v>43312</c:v>
                </c:pt>
                <c:pt idx="83">
                  <c:v>43343</c:v>
                </c:pt>
                <c:pt idx="84">
                  <c:v>43373</c:v>
                </c:pt>
                <c:pt idx="85">
                  <c:v>43404</c:v>
                </c:pt>
                <c:pt idx="86">
                  <c:v>43434</c:v>
                </c:pt>
                <c:pt idx="87">
                  <c:v>43465</c:v>
                </c:pt>
                <c:pt idx="88">
                  <c:v>43496</c:v>
                </c:pt>
                <c:pt idx="89">
                  <c:v>43524</c:v>
                </c:pt>
              </c:numCache>
            </c:numRef>
          </c:cat>
          <c:val>
            <c:numRef>
              <c:f>まとめ!$U$32:$U$121</c:f>
              <c:numCache>
                <c:formatCode>0</c:formatCode>
                <c:ptCount val="90"/>
                <c:pt idx="1">
                  <c:v>1630</c:v>
                </c:pt>
                <c:pt idx="2">
                  <c:v>1138.5865447878589</c:v>
                </c:pt>
                <c:pt idx="3">
                  <c:v>971.52304276618997</c:v>
                </c:pt>
                <c:pt idx="4">
                  <c:v>838.34082735991842</c:v>
                </c:pt>
                <c:pt idx="5">
                  <c:v>739.41943765936014</c:v>
                </c:pt>
                <c:pt idx="6">
                  <c:v>1196.6231532928591</c:v>
                </c:pt>
                <c:pt idx="7">
                  <c:v>1707.2957072017928</c:v>
                </c:pt>
                <c:pt idx="8">
                  <c:v>1742.5079015206368</c:v>
                </c:pt>
                <c:pt idx="9">
                  <c:v>1570.8232774978464</c:v>
                </c:pt>
                <c:pt idx="10">
                  <c:v>1291.2440629262019</c:v>
                </c:pt>
                <c:pt idx="11">
                  <c:v>1140.7861697984715</c:v>
                </c:pt>
                <c:pt idx="12">
                  <c:v>1000.9635266092125</c:v>
                </c:pt>
                <c:pt idx="13">
                  <c:v>794.13069374278984</c:v>
                </c:pt>
                <c:pt idx="14">
                  <c:v>558.75548881089719</c:v>
                </c:pt>
                <c:pt idx="15">
                  <c:v>480.42238546901922</c:v>
                </c:pt>
                <c:pt idx="16">
                  <c:v>417.91359685866786</c:v>
                </c:pt>
                <c:pt idx="17">
                  <c:v>371.9764332446145</c:v>
                </c:pt>
                <c:pt idx="18">
                  <c:v>607.19039217156183</c:v>
                </c:pt>
                <c:pt idx="19">
                  <c:v>873.78050239224171</c:v>
                </c:pt>
                <c:pt idx="20">
                  <c:v>899.8091773778616</c:v>
                </c:pt>
                <c:pt idx="21">
                  <c:v>818.52079356645299</c:v>
                </c:pt>
                <c:pt idx="22">
                  <c:v>679.23642605558337</c:v>
                </c:pt>
                <c:pt idx="23">
                  <c:v>605.9397800825792</c:v>
                </c:pt>
                <c:pt idx="24">
                  <c:v>536.91166034259277</c:v>
                </c:pt>
                <c:pt idx="25">
                  <c:v>430.3897440243444</c:v>
                </c:pt>
                <c:pt idx="26">
                  <c:v>305.91110905919146</c:v>
                </c:pt>
                <c:pt idx="27">
                  <c:v>265.94639825794667</c:v>
                </c:pt>
                <c:pt idx="28">
                  <c:v>233.9323245240297</c:v>
                </c:pt>
                <c:pt idx="29">
                  <c:v>210.40911900203298</c:v>
                </c:pt>
                <c:pt idx="30">
                  <c:v>347.47069605857138</c:v>
                </c:pt>
                <c:pt idx="31">
                  <c:v>505.68287314970848</c:v>
                </c:pt>
                <c:pt idx="32">
                  <c:v>527.06369408845933</c:v>
                </c:pt>
                <c:pt idx="33">
                  <c:v>485.09233836995452</c:v>
                </c:pt>
                <c:pt idx="34">
                  <c:v>407.62453206064561</c:v>
                </c:pt>
                <c:pt idx="35">
                  <c:v>368.18746462875316</c:v>
                </c:pt>
                <c:pt idx="36">
                  <c:v>330.26003240702386</c:v>
                </c:pt>
                <c:pt idx="37">
                  <c:v>268.16032646988083</c:v>
                </c:pt>
                <c:pt idx="38">
                  <c:v>192.99294892276919</c:v>
                </c:pt>
                <c:pt idx="39">
                  <c:v>169.98013322066922</c:v>
                </c:pt>
                <c:pt idx="40">
                  <c:v>151.47349685781521</c:v>
                </c:pt>
                <c:pt idx="41">
                  <c:v>137.84565445265358</c:v>
                </c:pt>
                <c:pt idx="42">
                  <c:v>230.61401735854571</c:v>
                </c:pt>
                <c:pt idx="43">
                  <c:v>339.90579637660994</c:v>
                </c:pt>
                <c:pt idx="44">
                  <c:v>358.91175080943208</c:v>
                </c:pt>
                <c:pt idx="45">
                  <c:v>334.46100294854438</c:v>
                </c:pt>
                <c:pt idx="46">
                  <c:v>284.69846185732206</c:v>
                </c:pt>
                <c:pt idx="47">
                  <c:v>260.46905771432796</c:v>
                </c:pt>
                <c:pt idx="48">
                  <c:v>236.48013008843</c:v>
                </c:pt>
                <c:pt idx="49">
                  <c:v>194.40052053730466</c:v>
                </c:pt>
                <c:pt idx="50">
                  <c:v>141.59557290438315</c:v>
                </c:pt>
                <c:pt idx="51">
                  <c:v>126.21092829817474</c:v>
                </c:pt>
                <c:pt idx="52">
                  <c:v>113.78760747382887</c:v>
                </c:pt>
                <c:pt idx="53">
                  <c:v>104.61903294366634</c:v>
                </c:pt>
                <c:pt idx="54">
                  <c:v>177.05174509448935</c:v>
                </c:pt>
                <c:pt idx="55">
                  <c:v>263.78554353943525</c:v>
                </c:pt>
                <c:pt idx="56">
                  <c:v>281.54857052563523</c:v>
                </c:pt>
                <c:pt idx="57">
                  <c:v>265.11712932967794</c:v>
                </c:pt>
                <c:pt idx="58">
                  <c:v>227.99628682755872</c:v>
                </c:pt>
                <c:pt idx="59">
                  <c:v>210.73355438866696</c:v>
                </c:pt>
                <c:pt idx="60">
                  <c:v>193.12725220356063</c:v>
                </c:pt>
                <c:pt idx="61">
                  <c:v>160.28533293891923</c:v>
                </c:pt>
                <c:pt idx="62">
                  <c:v>117.76195510220754</c:v>
                </c:pt>
                <c:pt idx="63">
                  <c:v>105.89628348592001</c:v>
                </c:pt>
                <c:pt idx="64">
                  <c:v>96.305848840479769</c:v>
                </c:pt>
                <c:pt idx="65">
                  <c:v>89.235042528726396</c:v>
                </c:pt>
                <c:pt idx="66">
                  <c:v>152.20369560489544</c:v>
                </c:pt>
                <c:pt idx="67">
                  <c:v>228.43793714795396</c:v>
                </c:pt>
                <c:pt idx="68">
                  <c:v>245.67387395927</c:v>
                </c:pt>
                <c:pt idx="69">
                  <c:v>232.88001893681053</c:v>
                </c:pt>
                <c:pt idx="70">
                  <c:v>201.60956781343702</c:v>
                </c:pt>
                <c:pt idx="71">
                  <c:v>187.49038888768555</c:v>
                </c:pt>
                <c:pt idx="72">
                  <c:v>172.86662142649331</c:v>
                </c:pt>
                <c:pt idx="73">
                  <c:v>144.30527925134382</c:v>
                </c:pt>
                <c:pt idx="74">
                  <c:v>106.60097300681174</c:v>
                </c:pt>
                <c:pt idx="75">
                  <c:v>96.379952071680691</c:v>
                </c:pt>
                <c:pt idx="76">
                  <c:v>88.104220763924531</c:v>
                </c:pt>
                <c:pt idx="77">
                  <c:v>81.99332942267678</c:v>
                </c:pt>
                <c:pt idx="78">
                  <c:v>110</c:v>
                </c:pt>
                <c:pt idx="79">
                  <c:v>373</c:v>
                </c:pt>
                <c:pt idx="80">
                  <c:v>127.5</c:v>
                </c:pt>
                <c:pt idx="81">
                  <c:v>229.5</c:v>
                </c:pt>
                <c:pt idx="82">
                  <c:v>185</c:v>
                </c:pt>
                <c:pt idx="83">
                  <c:v>214.5</c:v>
                </c:pt>
                <c:pt idx="84">
                  <c:v>313.5</c:v>
                </c:pt>
                <c:pt idx="85">
                  <c:v>262.58251708529593</c:v>
                </c:pt>
                <c:pt idx="86">
                  <c:v>194.41860955598401</c:v>
                </c:pt>
                <c:pt idx="87">
                  <c:v>176.22389412273631</c:v>
                </c:pt>
                <c:pt idx="88">
                  <c:v>161.49873660456379</c:v>
                </c:pt>
                <c:pt idx="89">
                  <c:v>51</c:v>
                </c:pt>
              </c:numCache>
            </c:numRef>
          </c:val>
          <c:smooth val="0"/>
        </c:ser>
        <c:ser>
          <c:idx val="11"/>
          <c:order val="1"/>
          <c:tx>
            <c:strRef>
              <c:f>まとめ!$S$30:$S$31</c:f>
              <c:strCache>
                <c:ptCount val="1"/>
                <c:pt idx="0">
                  <c:v>ぱいじん(飛灰)中濃度 Cs134</c:v>
                </c:pt>
              </c:strCache>
            </c:strRef>
          </c:tx>
          <c:spPr>
            <a:ln w="12700">
              <a:solidFill>
                <a:srgbClr val="FF0000"/>
              </a:solidFill>
              <a:prstDash val="solid"/>
            </a:ln>
          </c:spPr>
          <c:marker>
            <c:symbol val="square"/>
            <c:size val="5"/>
            <c:spPr>
              <a:solidFill>
                <a:sysClr val="window" lastClr="FFFFFF"/>
              </a:solidFill>
              <a:ln>
                <a:solidFill>
                  <a:srgbClr val="FF0000"/>
                </a:solidFill>
                <a:prstDash val="solid"/>
              </a:ln>
            </c:spPr>
          </c:marker>
          <c:cat>
            <c:numRef>
              <c:f>まとめ!$R$32:$R$121</c:f>
              <c:numCache>
                <c:formatCode>[$-411]ge\.m</c:formatCode>
                <c:ptCount val="90"/>
                <c:pt idx="0">
                  <c:v>40614</c:v>
                </c:pt>
                <c:pt idx="1">
                  <c:v>40847</c:v>
                </c:pt>
                <c:pt idx="2">
                  <c:v>40877</c:v>
                </c:pt>
                <c:pt idx="3">
                  <c:v>40908</c:v>
                </c:pt>
                <c:pt idx="4">
                  <c:v>40939</c:v>
                </c:pt>
                <c:pt idx="5">
                  <c:v>40968</c:v>
                </c:pt>
                <c:pt idx="6">
                  <c:v>40999</c:v>
                </c:pt>
                <c:pt idx="7">
                  <c:v>41029</c:v>
                </c:pt>
                <c:pt idx="8">
                  <c:v>41060</c:v>
                </c:pt>
                <c:pt idx="9">
                  <c:v>41090</c:v>
                </c:pt>
                <c:pt idx="10">
                  <c:v>41121</c:v>
                </c:pt>
                <c:pt idx="11">
                  <c:v>41152</c:v>
                </c:pt>
                <c:pt idx="12">
                  <c:v>41182</c:v>
                </c:pt>
                <c:pt idx="13">
                  <c:v>41213</c:v>
                </c:pt>
                <c:pt idx="14">
                  <c:v>41243</c:v>
                </c:pt>
                <c:pt idx="15">
                  <c:v>41274</c:v>
                </c:pt>
                <c:pt idx="16">
                  <c:v>41305</c:v>
                </c:pt>
                <c:pt idx="17">
                  <c:v>41333</c:v>
                </c:pt>
                <c:pt idx="18">
                  <c:v>41364</c:v>
                </c:pt>
                <c:pt idx="19">
                  <c:v>41394</c:v>
                </c:pt>
                <c:pt idx="20">
                  <c:v>41425</c:v>
                </c:pt>
                <c:pt idx="21">
                  <c:v>41455</c:v>
                </c:pt>
                <c:pt idx="22">
                  <c:v>41486</c:v>
                </c:pt>
                <c:pt idx="23">
                  <c:v>41517</c:v>
                </c:pt>
                <c:pt idx="24">
                  <c:v>41547</c:v>
                </c:pt>
                <c:pt idx="25">
                  <c:v>41578</c:v>
                </c:pt>
                <c:pt idx="26">
                  <c:v>41608</c:v>
                </c:pt>
                <c:pt idx="27">
                  <c:v>41639</c:v>
                </c:pt>
                <c:pt idx="28">
                  <c:v>41670</c:v>
                </c:pt>
                <c:pt idx="29">
                  <c:v>41698</c:v>
                </c:pt>
                <c:pt idx="30">
                  <c:v>41729</c:v>
                </c:pt>
                <c:pt idx="31">
                  <c:v>41759</c:v>
                </c:pt>
                <c:pt idx="32">
                  <c:v>41790</c:v>
                </c:pt>
                <c:pt idx="33">
                  <c:v>41820</c:v>
                </c:pt>
                <c:pt idx="34">
                  <c:v>41851</c:v>
                </c:pt>
                <c:pt idx="35">
                  <c:v>41882</c:v>
                </c:pt>
                <c:pt idx="36">
                  <c:v>41912</c:v>
                </c:pt>
                <c:pt idx="37">
                  <c:v>41943</c:v>
                </c:pt>
                <c:pt idx="38">
                  <c:v>41973</c:v>
                </c:pt>
                <c:pt idx="39">
                  <c:v>42004</c:v>
                </c:pt>
                <c:pt idx="40">
                  <c:v>42035</c:v>
                </c:pt>
                <c:pt idx="41">
                  <c:v>42063</c:v>
                </c:pt>
                <c:pt idx="42">
                  <c:v>42094</c:v>
                </c:pt>
                <c:pt idx="43">
                  <c:v>42124</c:v>
                </c:pt>
                <c:pt idx="44">
                  <c:v>42155</c:v>
                </c:pt>
                <c:pt idx="45">
                  <c:v>42185</c:v>
                </c:pt>
                <c:pt idx="46">
                  <c:v>42216</c:v>
                </c:pt>
                <c:pt idx="47">
                  <c:v>42247</c:v>
                </c:pt>
                <c:pt idx="48">
                  <c:v>42277</c:v>
                </c:pt>
                <c:pt idx="49">
                  <c:v>42308</c:v>
                </c:pt>
                <c:pt idx="50">
                  <c:v>42338</c:v>
                </c:pt>
                <c:pt idx="51">
                  <c:v>42369</c:v>
                </c:pt>
                <c:pt idx="52">
                  <c:v>42400</c:v>
                </c:pt>
                <c:pt idx="53">
                  <c:v>42429</c:v>
                </c:pt>
                <c:pt idx="54">
                  <c:v>42460</c:v>
                </c:pt>
                <c:pt idx="55">
                  <c:v>42490</c:v>
                </c:pt>
                <c:pt idx="56">
                  <c:v>42521</c:v>
                </c:pt>
                <c:pt idx="57">
                  <c:v>42551</c:v>
                </c:pt>
                <c:pt idx="58">
                  <c:v>42582</c:v>
                </c:pt>
                <c:pt idx="59">
                  <c:v>42613</c:v>
                </c:pt>
                <c:pt idx="60">
                  <c:v>42643</c:v>
                </c:pt>
                <c:pt idx="61">
                  <c:v>42674</c:v>
                </c:pt>
                <c:pt idx="62">
                  <c:v>42704</c:v>
                </c:pt>
                <c:pt idx="63">
                  <c:v>42735</c:v>
                </c:pt>
                <c:pt idx="64">
                  <c:v>42766</c:v>
                </c:pt>
                <c:pt idx="65">
                  <c:v>42794</c:v>
                </c:pt>
                <c:pt idx="66">
                  <c:v>42825</c:v>
                </c:pt>
                <c:pt idx="67">
                  <c:v>42855</c:v>
                </c:pt>
                <c:pt idx="68">
                  <c:v>42886</c:v>
                </c:pt>
                <c:pt idx="69">
                  <c:v>42916</c:v>
                </c:pt>
                <c:pt idx="70">
                  <c:v>42947</c:v>
                </c:pt>
                <c:pt idx="71">
                  <c:v>42978</c:v>
                </c:pt>
                <c:pt idx="72">
                  <c:v>43008</c:v>
                </c:pt>
                <c:pt idx="73">
                  <c:v>43039</c:v>
                </c:pt>
                <c:pt idx="74">
                  <c:v>43069</c:v>
                </c:pt>
                <c:pt idx="75">
                  <c:v>43100</c:v>
                </c:pt>
                <c:pt idx="76">
                  <c:v>43131</c:v>
                </c:pt>
                <c:pt idx="77">
                  <c:v>43159</c:v>
                </c:pt>
                <c:pt idx="78">
                  <c:v>43190</c:v>
                </c:pt>
                <c:pt idx="79">
                  <c:v>43220</c:v>
                </c:pt>
                <c:pt idx="80">
                  <c:v>43251</c:v>
                </c:pt>
                <c:pt idx="81">
                  <c:v>43281</c:v>
                </c:pt>
                <c:pt idx="82">
                  <c:v>43312</c:v>
                </c:pt>
                <c:pt idx="83">
                  <c:v>43343</c:v>
                </c:pt>
                <c:pt idx="84">
                  <c:v>43373</c:v>
                </c:pt>
                <c:pt idx="85">
                  <c:v>43404</c:v>
                </c:pt>
                <c:pt idx="86">
                  <c:v>43434</c:v>
                </c:pt>
                <c:pt idx="87">
                  <c:v>43465</c:v>
                </c:pt>
                <c:pt idx="88">
                  <c:v>43496</c:v>
                </c:pt>
                <c:pt idx="89">
                  <c:v>43524</c:v>
                </c:pt>
              </c:numCache>
            </c:numRef>
          </c:cat>
          <c:val>
            <c:numRef>
              <c:f>まとめ!$S$32:$S$121</c:f>
              <c:numCache>
                <c:formatCode>0</c:formatCode>
                <c:ptCount val="90"/>
                <c:pt idx="1">
                  <c:v>715.41089468112671</c:v>
                </c:pt>
                <c:pt idx="2">
                  <c:v>491.82233728676283</c:v>
                </c:pt>
                <c:pt idx="3">
                  <c:v>413.12004805641823</c:v>
                </c:pt>
                <c:pt idx="4">
                  <c:v>350.65168459585698</c:v>
                </c:pt>
                <c:pt idx="5">
                  <c:v>304.1263958796082</c:v>
                </c:pt>
                <c:pt idx="6">
                  <c:v>484.3800094987734</c:v>
                </c:pt>
                <c:pt idx="7">
                  <c:v>679.2915208959887</c:v>
                </c:pt>
                <c:pt idx="8">
                  <c:v>681.63756984372571</c:v>
                </c:pt>
                <c:pt idx="9">
                  <c:v>603.58964164881604</c:v>
                </c:pt>
                <c:pt idx="10">
                  <c:v>487.49172350025464</c:v>
                </c:pt>
                <c:pt idx="11">
                  <c:v>422.80139269600051</c:v>
                </c:pt>
                <c:pt idx="12">
                  <c:v>364.07729931276612</c:v>
                </c:pt>
                <c:pt idx="13">
                  <c:v>283.57955059143063</c:v>
                </c:pt>
                <c:pt idx="14">
                  <c:v>195.72448632441436</c:v>
                </c:pt>
                <c:pt idx="15">
                  <c:v>165.13208636493482</c:v>
                </c:pt>
                <c:pt idx="16">
                  <c:v>140.83688200157792</c:v>
                </c:pt>
                <c:pt idx="17">
                  <c:v>122.87100399770961</c:v>
                </c:pt>
                <c:pt idx="18">
                  <c:v>196.95793241838669</c:v>
                </c:pt>
                <c:pt idx="19">
                  <c:v>277.73908454428442</c:v>
                </c:pt>
                <c:pt idx="20">
                  <c:v>280.39567655079156</c:v>
                </c:pt>
                <c:pt idx="21">
                  <c:v>249.83938880276239</c:v>
                </c:pt>
                <c:pt idx="22">
                  <c:v>203.17260742788247</c:v>
                </c:pt>
                <c:pt idx="23">
                  <c:v>177.48238511916301</c:v>
                </c:pt>
                <c:pt idx="24">
                  <c:v>153.99814835698274</c:v>
                </c:pt>
                <c:pt idx="25" formatCode="0.0">
                  <c:v>120.94290774744007</c:v>
                </c:pt>
                <c:pt idx="26" formatCode="0.0">
                  <c:v>84.171322383052214</c:v>
                </c:pt>
                <c:pt idx="27" formatCode="0.0">
                  <c:v>71.695173688246314</c:v>
                </c:pt>
                <c:pt idx="28" formatCode="0.0">
                  <c:v>61.746622250564862</c:v>
                </c:pt>
                <c:pt idx="29" formatCode="0.0">
                  <c:v>54.383028310866585</c:v>
                </c:pt>
                <c:pt idx="30" formatCode="0.0">
                  <c:v>88.132910206554385</c:v>
                </c:pt>
                <c:pt idx="31" formatCode="0.0">
                  <c:v>125.64246909743669</c:v>
                </c:pt>
                <c:pt idx="32" formatCode="0.0">
                  <c:v>128.38655708568712</c:v>
                </c:pt>
                <c:pt idx="33" formatCode="0.0">
                  <c:v>115.80023716241209</c:v>
                </c:pt>
                <c:pt idx="34" formatCode="0.0">
                  <c:v>95.443011381311607</c:v>
                </c:pt>
                <c:pt idx="35" formatCode="0.0">
                  <c:v>84.522644014068447</c:v>
                </c:pt>
                <c:pt idx="36" formatCode="0.0">
                  <c:v>74.370005861431991</c:v>
                </c:pt>
                <c:pt idx="37" formatCode="0.0">
                  <c:v>59.290516611559006</c:v>
                </c:pt>
                <c:pt idx="38" formatCode="0.0">
                  <c:v>41.890684115058569</c:v>
                </c:pt>
                <c:pt idx="39" formatCode="0.0">
                  <c:v>36.258539228439432</c:v>
                </c:pt>
                <c:pt idx="40" formatCode="0.0">
                  <c:v>31.75156823196</c:v>
                </c:pt>
                <c:pt idx="41" formatCode="0.0">
                  <c:v>28.410449264720903</c:v>
                </c:pt>
                <c:pt idx="42" formatCode="0.0">
                  <c:v>46.836751168825771</c:v>
                </c:pt>
                <c:pt idx="43" formatCode="0.0">
                  <c:v>67.958920667765028</c:v>
                </c:pt>
                <c:pt idx="44" formatCode="0.0">
                  <c:v>70.718425582122151</c:v>
                </c:pt>
                <c:pt idx="45" formatCode="0.0">
                  <c:v>64.961961451884974</c:v>
                </c:pt>
                <c:pt idx="46" formatCode="0.0">
                  <c:v>54.561550506178321</c:v>
                </c:pt>
                <c:pt idx="47" formatCode="0.0">
                  <c:v>49.264015200263266</c:v>
                </c:pt>
                <c:pt idx="48" formatCode="0.0">
                  <c:v>44.173795159562452</c:v>
                </c:pt>
                <c:pt idx="49" formatCode="0.0">
                  <c:v>35.902782535659362</c:v>
                </c:pt>
                <c:pt idx="50" formatCode="0.0">
                  <c:v>25.861805437216546</c:v>
                </c:pt>
                <c:pt idx="51" formatCode="0.0">
                  <c:v>22.819658857563319</c:v>
                </c:pt>
                <c:pt idx="52" formatCode="0.0">
                  <c:v>20.374047773998029</c:v>
                </c:pt>
                <c:pt idx="53" formatCode="0.0">
                  <c:v>18.563841576694696</c:v>
                </c:pt>
                <c:pt idx="54" formatCode="0.0">
                  <c:v>31.16614276726796</c:v>
                </c:pt>
                <c:pt idx="55" formatCode="0.0">
                  <c:v>46.078263987278554</c:v>
                </c:pt>
                <c:pt idx="56" formatCode="0.0">
                  <c:v>48.84490407349692</c:v>
                </c:pt>
                <c:pt idx="57" formatCode="0.0">
                  <c:v>45.690793960444843</c:v>
                </c:pt>
                <c:pt idx="58" formatCode="0.0">
                  <c:v>39.06290724160889</c:v>
                </c:pt>
                <c:pt idx="59" formatCode="0.0">
                  <c:v>35.905835945233399</c:v>
                </c:pt>
                <c:pt idx="60" formatCode="0.0">
                  <c:v>32.737564405648754</c:v>
                </c:pt>
                <c:pt idx="61" formatCode="0.0">
                  <c:v>27.052102388939328</c:v>
                </c:pt>
                <c:pt idx="62" formatCode="0.0">
                  <c:v>19.793455266312456</c:v>
                </c:pt>
                <c:pt idx="63" formatCode="0.0">
                  <c:v>17.738235098015469</c:v>
                </c:pt>
                <c:pt idx="64" formatCode="0.0">
                  <c:v>16.078170481253089</c:v>
                </c:pt>
                <c:pt idx="65" formatCode="0.0">
                  <c:v>14.854413109259795</c:v>
                </c:pt>
                <c:pt idx="66" formatCode="0.0">
                  <c:v>25.278661541823457</c:v>
                </c:pt>
                <c:pt idx="67" formatCode="0.0">
                  <c:v>37.862840438319388</c:v>
                </c:pt>
                <c:pt idx="68" formatCode="0.0">
                  <c:v>40.649955660523617</c:v>
                </c:pt>
                <c:pt idx="69" formatCode="0.0">
                  <c:v>38.468333106828339</c:v>
                </c:pt>
                <c:pt idx="70" formatCode="0.0">
                  <c:v>33.25811475947603</c:v>
                </c:pt>
                <c:pt idx="71" formatCode="0.0">
                  <c:v>30.893708678900222</c:v>
                </c:pt>
                <c:pt idx="72" formatCode="0.0">
                  <c:v>28.458821862613387</c:v>
                </c:pt>
                <c:pt idx="73" formatCode="0.0">
                  <c:v>23.738629465058246</c:v>
                </c:pt>
                <c:pt idx="74" formatCode="0.0">
                  <c:v>17.526678542456096</c:v>
                </c:pt>
                <c:pt idx="75" formatCode="0.0">
                  <c:v>15.840312628154342</c:v>
                </c:pt>
                <c:pt idx="76" formatCode="0.0">
                  <c:v>14.473671749398605</c:v>
                </c:pt>
                <c:pt idx="77" formatCode="0.0">
                  <c:v>13.466778813720504</c:v>
                </c:pt>
                <c:pt idx="78" formatCode="0.0">
                  <c:v>18.066518546321412</c:v>
                </c:pt>
                <c:pt idx="79" formatCode="0.0">
                  <c:v>61.27675486744414</c:v>
                </c:pt>
                <c:pt idx="80" formatCode="0.0">
                  <c:v>20.951367938311318</c:v>
                </c:pt>
                <c:pt idx="81" formatCode="0.0">
                  <c:v>37.728517189168066</c:v>
                </c:pt>
                <c:pt idx="82" formatCode="0.0">
                  <c:v>30.416887038550868</c:v>
                </c:pt>
                <c:pt idx="83" formatCode="0.0">
                  <c:v>35.278875517656758</c:v>
                </c:pt>
                <c:pt idx="84" formatCode="0.0">
                  <c:v>51.579089909480501</c:v>
                </c:pt>
                <c:pt idx="85" formatCode="0.0">
                  <c:v>43.217735653270651</c:v>
                </c:pt>
                <c:pt idx="86" formatCode="0.0">
                  <c:v>32.013839908258674</c:v>
                </c:pt>
                <c:pt idx="87" formatCode="0.0">
                  <c:v>29.040379637757621</c:v>
                </c:pt>
                <c:pt idx="88" formatCode="0.0">
                  <c:v>26.631028332279655</c:v>
                </c:pt>
                <c:pt idx="89" formatCode="0.0">
                  <c:v>8.4144508455842892</c:v>
                </c:pt>
              </c:numCache>
            </c:numRef>
          </c:val>
          <c:smooth val="0"/>
        </c:ser>
        <c:ser>
          <c:idx val="1"/>
          <c:order val="2"/>
          <c:tx>
            <c:strRef>
              <c:f>まとめ!$T$30:$T$31</c:f>
              <c:strCache>
                <c:ptCount val="1"/>
                <c:pt idx="0">
                  <c:v>ぱいじん(飛灰)中濃度 Cs137</c:v>
                </c:pt>
              </c:strCache>
            </c:strRef>
          </c:tx>
          <c:spPr>
            <a:ln w="12700">
              <a:solidFill>
                <a:srgbClr val="008000"/>
              </a:solidFill>
              <a:prstDash val="solid"/>
            </a:ln>
          </c:spPr>
          <c:marker>
            <c:symbol val="circle"/>
            <c:size val="6"/>
            <c:spPr>
              <a:solidFill>
                <a:srgbClr val="FFFFFF"/>
              </a:solidFill>
              <a:ln>
                <a:solidFill>
                  <a:srgbClr val="008000"/>
                </a:solidFill>
                <a:prstDash val="solid"/>
              </a:ln>
            </c:spPr>
          </c:marker>
          <c:cat>
            <c:numRef>
              <c:f>まとめ!$R$32:$R$121</c:f>
              <c:numCache>
                <c:formatCode>[$-411]ge\.m</c:formatCode>
                <c:ptCount val="90"/>
                <c:pt idx="0">
                  <c:v>40614</c:v>
                </c:pt>
                <c:pt idx="1">
                  <c:v>40847</c:v>
                </c:pt>
                <c:pt idx="2">
                  <c:v>40877</c:v>
                </c:pt>
                <c:pt idx="3">
                  <c:v>40908</c:v>
                </c:pt>
                <c:pt idx="4">
                  <c:v>40939</c:v>
                </c:pt>
                <c:pt idx="5">
                  <c:v>40968</c:v>
                </c:pt>
                <c:pt idx="6">
                  <c:v>40999</c:v>
                </c:pt>
                <c:pt idx="7">
                  <c:v>41029</c:v>
                </c:pt>
                <c:pt idx="8">
                  <c:v>41060</c:v>
                </c:pt>
                <c:pt idx="9">
                  <c:v>41090</c:v>
                </c:pt>
                <c:pt idx="10">
                  <c:v>41121</c:v>
                </c:pt>
                <c:pt idx="11">
                  <c:v>41152</c:v>
                </c:pt>
                <c:pt idx="12">
                  <c:v>41182</c:v>
                </c:pt>
                <c:pt idx="13">
                  <c:v>41213</c:v>
                </c:pt>
                <c:pt idx="14">
                  <c:v>41243</c:v>
                </c:pt>
                <c:pt idx="15">
                  <c:v>41274</c:v>
                </c:pt>
                <c:pt idx="16">
                  <c:v>41305</c:v>
                </c:pt>
                <c:pt idx="17">
                  <c:v>41333</c:v>
                </c:pt>
                <c:pt idx="18">
                  <c:v>41364</c:v>
                </c:pt>
                <c:pt idx="19">
                  <c:v>41394</c:v>
                </c:pt>
                <c:pt idx="20">
                  <c:v>41425</c:v>
                </c:pt>
                <c:pt idx="21">
                  <c:v>41455</c:v>
                </c:pt>
                <c:pt idx="22">
                  <c:v>41486</c:v>
                </c:pt>
                <c:pt idx="23">
                  <c:v>41517</c:v>
                </c:pt>
                <c:pt idx="24">
                  <c:v>41547</c:v>
                </c:pt>
                <c:pt idx="25">
                  <c:v>41578</c:v>
                </c:pt>
                <c:pt idx="26">
                  <c:v>41608</c:v>
                </c:pt>
                <c:pt idx="27">
                  <c:v>41639</c:v>
                </c:pt>
                <c:pt idx="28">
                  <c:v>41670</c:v>
                </c:pt>
                <c:pt idx="29">
                  <c:v>41698</c:v>
                </c:pt>
                <c:pt idx="30">
                  <c:v>41729</c:v>
                </c:pt>
                <c:pt idx="31">
                  <c:v>41759</c:v>
                </c:pt>
                <c:pt idx="32">
                  <c:v>41790</c:v>
                </c:pt>
                <c:pt idx="33">
                  <c:v>41820</c:v>
                </c:pt>
                <c:pt idx="34">
                  <c:v>41851</c:v>
                </c:pt>
                <c:pt idx="35">
                  <c:v>41882</c:v>
                </c:pt>
                <c:pt idx="36">
                  <c:v>41912</c:v>
                </c:pt>
                <c:pt idx="37">
                  <c:v>41943</c:v>
                </c:pt>
                <c:pt idx="38">
                  <c:v>41973</c:v>
                </c:pt>
                <c:pt idx="39">
                  <c:v>42004</c:v>
                </c:pt>
                <c:pt idx="40">
                  <c:v>42035</c:v>
                </c:pt>
                <c:pt idx="41">
                  <c:v>42063</c:v>
                </c:pt>
                <c:pt idx="42">
                  <c:v>42094</c:v>
                </c:pt>
                <c:pt idx="43">
                  <c:v>42124</c:v>
                </c:pt>
                <c:pt idx="44">
                  <c:v>42155</c:v>
                </c:pt>
                <c:pt idx="45">
                  <c:v>42185</c:v>
                </c:pt>
                <c:pt idx="46">
                  <c:v>42216</c:v>
                </c:pt>
                <c:pt idx="47">
                  <c:v>42247</c:v>
                </c:pt>
                <c:pt idx="48">
                  <c:v>42277</c:v>
                </c:pt>
                <c:pt idx="49">
                  <c:v>42308</c:v>
                </c:pt>
                <c:pt idx="50">
                  <c:v>42338</c:v>
                </c:pt>
                <c:pt idx="51">
                  <c:v>42369</c:v>
                </c:pt>
                <c:pt idx="52">
                  <c:v>42400</c:v>
                </c:pt>
                <c:pt idx="53">
                  <c:v>42429</c:v>
                </c:pt>
                <c:pt idx="54">
                  <c:v>42460</c:v>
                </c:pt>
                <c:pt idx="55">
                  <c:v>42490</c:v>
                </c:pt>
                <c:pt idx="56">
                  <c:v>42521</c:v>
                </c:pt>
                <c:pt idx="57">
                  <c:v>42551</c:v>
                </c:pt>
                <c:pt idx="58">
                  <c:v>42582</c:v>
                </c:pt>
                <c:pt idx="59">
                  <c:v>42613</c:v>
                </c:pt>
                <c:pt idx="60">
                  <c:v>42643</c:v>
                </c:pt>
                <c:pt idx="61">
                  <c:v>42674</c:v>
                </c:pt>
                <c:pt idx="62">
                  <c:v>42704</c:v>
                </c:pt>
                <c:pt idx="63">
                  <c:v>42735</c:v>
                </c:pt>
                <c:pt idx="64">
                  <c:v>42766</c:v>
                </c:pt>
                <c:pt idx="65">
                  <c:v>42794</c:v>
                </c:pt>
                <c:pt idx="66">
                  <c:v>42825</c:v>
                </c:pt>
                <c:pt idx="67">
                  <c:v>42855</c:v>
                </c:pt>
                <c:pt idx="68">
                  <c:v>42886</c:v>
                </c:pt>
                <c:pt idx="69">
                  <c:v>42916</c:v>
                </c:pt>
                <c:pt idx="70">
                  <c:v>42947</c:v>
                </c:pt>
                <c:pt idx="71">
                  <c:v>42978</c:v>
                </c:pt>
                <c:pt idx="72">
                  <c:v>43008</c:v>
                </c:pt>
                <c:pt idx="73">
                  <c:v>43039</c:v>
                </c:pt>
                <c:pt idx="74">
                  <c:v>43069</c:v>
                </c:pt>
                <c:pt idx="75">
                  <c:v>43100</c:v>
                </c:pt>
                <c:pt idx="76">
                  <c:v>43131</c:v>
                </c:pt>
                <c:pt idx="77">
                  <c:v>43159</c:v>
                </c:pt>
                <c:pt idx="78">
                  <c:v>43190</c:v>
                </c:pt>
                <c:pt idx="79">
                  <c:v>43220</c:v>
                </c:pt>
                <c:pt idx="80">
                  <c:v>43251</c:v>
                </c:pt>
                <c:pt idx="81">
                  <c:v>43281</c:v>
                </c:pt>
                <c:pt idx="82">
                  <c:v>43312</c:v>
                </c:pt>
                <c:pt idx="83">
                  <c:v>43343</c:v>
                </c:pt>
                <c:pt idx="84">
                  <c:v>43373</c:v>
                </c:pt>
                <c:pt idx="85">
                  <c:v>43404</c:v>
                </c:pt>
                <c:pt idx="86">
                  <c:v>43434</c:v>
                </c:pt>
                <c:pt idx="87">
                  <c:v>43465</c:v>
                </c:pt>
                <c:pt idx="88">
                  <c:v>43496</c:v>
                </c:pt>
                <c:pt idx="89">
                  <c:v>43524</c:v>
                </c:pt>
              </c:numCache>
            </c:numRef>
          </c:cat>
          <c:val>
            <c:numRef>
              <c:f>まとめ!$T$32:$T$121</c:f>
              <c:numCache>
                <c:formatCode>0</c:formatCode>
                <c:ptCount val="90"/>
                <c:pt idx="1">
                  <c:v>914.58910531887318</c:v>
                </c:pt>
                <c:pt idx="2">
                  <c:v>646.76420750109617</c:v>
                </c:pt>
                <c:pt idx="3">
                  <c:v>558.40299470977186</c:v>
                </c:pt>
                <c:pt idx="4">
                  <c:v>487.6891427640615</c:v>
                </c:pt>
                <c:pt idx="5">
                  <c:v>435.29304177975189</c:v>
                </c:pt>
                <c:pt idx="6">
                  <c:v>712.24314379408577</c:v>
                </c:pt>
                <c:pt idx="7">
                  <c:v>1028.0041863058041</c:v>
                </c:pt>
                <c:pt idx="8">
                  <c:v>1060.8703316769111</c:v>
                </c:pt>
                <c:pt idx="9">
                  <c:v>967.23363584903029</c:v>
                </c:pt>
                <c:pt idx="10">
                  <c:v>803.75233942594718</c:v>
                </c:pt>
                <c:pt idx="11">
                  <c:v>717.98477710247107</c:v>
                </c:pt>
                <c:pt idx="12">
                  <c:v>636.88622729644635</c:v>
                </c:pt>
                <c:pt idx="13">
                  <c:v>510.55114315135921</c:v>
                </c:pt>
                <c:pt idx="14">
                  <c:v>363.03100248648281</c:v>
                </c:pt>
                <c:pt idx="15">
                  <c:v>315.2902991040844</c:v>
                </c:pt>
                <c:pt idx="16">
                  <c:v>277.07671485708994</c:v>
                </c:pt>
                <c:pt idx="17">
                  <c:v>249.10542924690489</c:v>
                </c:pt>
                <c:pt idx="18">
                  <c:v>410.23245975317519</c:v>
                </c:pt>
                <c:pt idx="19">
                  <c:v>596.0414178479574</c:v>
                </c:pt>
                <c:pt idx="20">
                  <c:v>619.41350082707004</c:v>
                </c:pt>
                <c:pt idx="21">
                  <c:v>568.68140476369069</c:v>
                </c:pt>
                <c:pt idx="22">
                  <c:v>476.06381862770093</c:v>
                </c:pt>
                <c:pt idx="23">
                  <c:v>428.45739496341622</c:v>
                </c:pt>
                <c:pt idx="24">
                  <c:v>382.91351198561</c:v>
                </c:pt>
                <c:pt idx="25">
                  <c:v>309.44683627690432</c:v>
                </c:pt>
                <c:pt idx="26">
                  <c:v>221.73978667613926</c:v>
                </c:pt>
                <c:pt idx="27">
                  <c:v>194.25122456970036</c:v>
                </c:pt>
                <c:pt idx="28">
                  <c:v>172.18570227346484</c:v>
                </c:pt>
                <c:pt idx="29">
                  <c:v>156.02609069116639</c:v>
                </c:pt>
                <c:pt idx="30">
                  <c:v>259.33778585201696</c:v>
                </c:pt>
                <c:pt idx="31">
                  <c:v>380.04040405227181</c:v>
                </c:pt>
                <c:pt idx="32">
                  <c:v>398.67713700277227</c:v>
                </c:pt>
                <c:pt idx="33">
                  <c:v>369.29210120754243</c:v>
                </c:pt>
                <c:pt idx="34">
                  <c:v>312.18152067933403</c:v>
                </c:pt>
                <c:pt idx="35">
                  <c:v>283.66482061468474</c:v>
                </c:pt>
                <c:pt idx="36">
                  <c:v>255.89002654559187</c:v>
                </c:pt>
                <c:pt idx="37">
                  <c:v>208.86980985832184</c:v>
                </c:pt>
                <c:pt idx="38">
                  <c:v>151.10226480771061</c:v>
                </c:pt>
                <c:pt idx="39">
                  <c:v>133.72159399222977</c:v>
                </c:pt>
                <c:pt idx="40">
                  <c:v>119.72192862585521</c:v>
                </c:pt>
                <c:pt idx="41">
                  <c:v>109.43520518793267</c:v>
                </c:pt>
                <c:pt idx="42">
                  <c:v>183.77726618971994</c:v>
                </c:pt>
                <c:pt idx="43">
                  <c:v>271.94687570884491</c:v>
                </c:pt>
                <c:pt idx="44">
                  <c:v>288.19332522730991</c:v>
                </c:pt>
                <c:pt idx="45">
                  <c:v>269.4990414966594</c:v>
                </c:pt>
                <c:pt idx="46">
                  <c:v>230.13691135114371</c:v>
                </c:pt>
                <c:pt idx="47">
                  <c:v>211.20504251406473</c:v>
                </c:pt>
                <c:pt idx="48">
                  <c:v>192.30633492886756</c:v>
                </c:pt>
                <c:pt idx="49">
                  <c:v>158.4977380016453</c:v>
                </c:pt>
                <c:pt idx="50" formatCode="0.0">
                  <c:v>115.7337674671666</c:v>
                </c:pt>
                <c:pt idx="51" formatCode="0.0">
                  <c:v>103.39126944061142</c:v>
                </c:pt>
                <c:pt idx="52" formatCode="0.0">
                  <c:v>93.413559699830842</c:v>
                </c:pt>
                <c:pt idx="53" formatCode="0.0">
                  <c:v>86.055191366971655</c:v>
                </c:pt>
                <c:pt idx="54" formatCode="0.0">
                  <c:v>145.88560232722139</c:v>
                </c:pt>
                <c:pt idx="55" formatCode="0.0">
                  <c:v>217.70727955215671</c:v>
                </c:pt>
                <c:pt idx="56" formatCode="0.0">
                  <c:v>232.70366645213832</c:v>
                </c:pt>
                <c:pt idx="57" formatCode="0.0">
                  <c:v>219.4263353692331</c:v>
                </c:pt>
                <c:pt idx="58" formatCode="0.0">
                  <c:v>188.93337958594984</c:v>
                </c:pt>
                <c:pt idx="59" formatCode="0.0">
                  <c:v>174.82771844343355</c:v>
                </c:pt>
                <c:pt idx="60" formatCode="0.0">
                  <c:v>160.38968779791185</c:v>
                </c:pt>
                <c:pt idx="61" formatCode="0.0">
                  <c:v>133.23323054997991</c:v>
                </c:pt>
                <c:pt idx="62" formatCode="0.0">
                  <c:v>97.968499835895088</c:v>
                </c:pt>
                <c:pt idx="63" formatCode="0.0">
                  <c:v>88.158048387904543</c:v>
                </c:pt>
                <c:pt idx="64" formatCode="0.0">
                  <c:v>80.227678359226672</c:v>
                </c:pt>
                <c:pt idx="65" formatCode="0.0">
                  <c:v>74.380629419466601</c:v>
                </c:pt>
                <c:pt idx="66" formatCode="0.0">
                  <c:v>126.92503406307198</c:v>
                </c:pt>
                <c:pt idx="67" formatCode="0.0">
                  <c:v>190.57509670963455</c:v>
                </c:pt>
                <c:pt idx="68" formatCode="0.0">
                  <c:v>205.02391829874639</c:v>
                </c:pt>
                <c:pt idx="69" formatCode="0.0">
                  <c:v>194.41168582998219</c:v>
                </c:pt>
                <c:pt idx="70" formatCode="0.0">
                  <c:v>168.35145305396097</c:v>
                </c:pt>
                <c:pt idx="71" formatCode="0.0">
                  <c:v>156.59668020878533</c:v>
                </c:pt>
                <c:pt idx="72" formatCode="0.0">
                  <c:v>144.40779956387993</c:v>
                </c:pt>
                <c:pt idx="73" formatCode="0.0">
                  <c:v>120.56664978628558</c:v>
                </c:pt>
                <c:pt idx="74" formatCode="0.0">
                  <c:v>89.074294464355646</c:v>
                </c:pt>
                <c:pt idx="75" formatCode="0.0">
                  <c:v>80.539639443526355</c:v>
                </c:pt>
                <c:pt idx="76" formatCode="0.0">
                  <c:v>73.63054901452594</c:v>
                </c:pt>
                <c:pt idx="77" formatCode="0.0">
                  <c:v>68.526550608956285</c:v>
                </c:pt>
                <c:pt idx="78" formatCode="0.0">
                  <c:v>91.933481453678596</c:v>
                </c:pt>
                <c:pt idx="79" formatCode="0.0">
                  <c:v>311.72324513255586</c:v>
                </c:pt>
                <c:pt idx="80" formatCode="0.0">
                  <c:v>106.54863206168868</c:v>
                </c:pt>
                <c:pt idx="81" formatCode="0.0">
                  <c:v>191.77148281083194</c:v>
                </c:pt>
                <c:pt idx="82" formatCode="0.0">
                  <c:v>154.58311296144913</c:v>
                </c:pt>
                <c:pt idx="83" formatCode="0.0">
                  <c:v>179.22112448234324</c:v>
                </c:pt>
                <c:pt idx="84" formatCode="0.0">
                  <c:v>261.9209100905195</c:v>
                </c:pt>
                <c:pt idx="85" formatCode="0.0">
                  <c:v>219.3647814320253</c:v>
                </c:pt>
                <c:pt idx="86" formatCode="0.0">
                  <c:v>162.40476964772535</c:v>
                </c:pt>
                <c:pt idx="87" formatCode="0.0">
                  <c:v>147.1835144849787</c:v>
                </c:pt>
                <c:pt idx="88" formatCode="0.0">
                  <c:v>134.86770827228412</c:v>
                </c:pt>
                <c:pt idx="89" formatCode="0.0">
                  <c:v>42.585549154415709</c:v>
                </c:pt>
              </c:numCache>
            </c:numRef>
          </c:val>
          <c:smooth val="0"/>
        </c:ser>
        <c:dLbls>
          <c:showLegendKey val="0"/>
          <c:showVal val="0"/>
          <c:showCatName val="0"/>
          <c:showSerName val="0"/>
          <c:showPercent val="0"/>
          <c:showBubbleSize val="0"/>
        </c:dLbls>
        <c:marker val="1"/>
        <c:smooth val="0"/>
        <c:axId val="134662016"/>
        <c:axId val="134669056"/>
      </c:lineChart>
      <c:dateAx>
        <c:axId val="134662016"/>
        <c:scaling>
          <c:orientation val="minMax"/>
        </c:scaling>
        <c:delete val="0"/>
        <c:axPos val="b"/>
        <c:majorGridlines>
          <c:spPr>
            <a:ln w="3175">
              <a:solidFill>
                <a:sysClr val="window" lastClr="FFFFFF">
                  <a:lumMod val="85000"/>
                </a:sysClr>
              </a:solidFill>
              <a:prstDash val="solid"/>
            </a:ln>
          </c:spPr>
        </c:majorGridlines>
        <c:numFmt formatCode="[$-411]ge\.m" sourceLinked="0"/>
        <c:majorTickMark val="in"/>
        <c:minorTickMark val="none"/>
        <c:tickLblPos val="nextTo"/>
        <c:spPr>
          <a:ln w="3175">
            <a:solidFill>
              <a:srgbClr val="000000"/>
            </a:solidFill>
            <a:prstDash val="solid"/>
          </a:ln>
        </c:spPr>
        <c:txPr>
          <a:bodyPr rot="-5400000" vert="horz"/>
          <a:lstStyle/>
          <a:p>
            <a:pPr>
              <a:defRPr sz="800" b="0" i="0" u="none" strike="noStrike" baseline="0">
                <a:solidFill>
                  <a:srgbClr val="000000"/>
                </a:solidFill>
                <a:latin typeface="Meiryo UI"/>
                <a:ea typeface="Meiryo UI"/>
                <a:cs typeface="Meiryo UI"/>
              </a:defRPr>
            </a:pPr>
            <a:endParaRPr lang="ja-JP"/>
          </a:p>
        </c:txPr>
        <c:crossAx val="134669056"/>
        <c:crossesAt val="1E-3"/>
        <c:auto val="0"/>
        <c:lblOffset val="100"/>
        <c:baseTimeUnit val="days"/>
        <c:majorUnit val="6"/>
        <c:majorTimeUnit val="months"/>
        <c:minorUnit val="2"/>
      </c:dateAx>
      <c:valAx>
        <c:axId val="134669056"/>
        <c:scaling>
          <c:orientation val="minMax"/>
        </c:scaling>
        <c:delete val="0"/>
        <c:axPos val="l"/>
        <c:majorGridlines>
          <c:spPr>
            <a:ln w="3175">
              <a:solidFill>
                <a:sysClr val="window" lastClr="FFFFFF">
                  <a:lumMod val="85000"/>
                </a:sysClr>
              </a:solidFill>
              <a:prstDash val="solid"/>
            </a:ln>
          </c:spPr>
        </c:majorGridlines>
        <c:title>
          <c:tx>
            <c:rich>
              <a:bodyPr rot="0" vert="horz"/>
              <a:lstStyle/>
              <a:p>
                <a:pPr>
                  <a:defRPr sz="900"/>
                </a:pPr>
                <a:r>
                  <a:rPr lang="en-US" altLang="ja-JP" sz="900">
                    <a:latin typeface="Meiryo UI" panose="020B0604030504040204" pitchFamily="50" charset="-128"/>
                    <a:ea typeface="Meiryo UI" panose="020B0604030504040204" pitchFamily="50" charset="-128"/>
                  </a:rPr>
                  <a:t>Bq/kg</a:t>
                </a:r>
                <a:endParaRPr lang="ja-JP" altLang="en-US" sz="900">
                  <a:latin typeface="Meiryo UI" panose="020B0604030504040204" pitchFamily="50" charset="-128"/>
                  <a:ea typeface="Meiryo UI" panose="020B0604030504040204" pitchFamily="50" charset="-128"/>
                </a:endParaRPr>
              </a:p>
            </c:rich>
          </c:tx>
          <c:layout>
            <c:manualLayout>
              <c:xMode val="edge"/>
              <c:yMode val="edge"/>
              <c:x val="1.0081913563071301E-2"/>
              <c:y val="0.455167362883311"/>
            </c:manualLayout>
          </c:layout>
          <c:overlay val="0"/>
        </c:title>
        <c:numFmt formatCode="General" sourceLinked="0"/>
        <c:majorTickMark val="in"/>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Meiryo UI"/>
                <a:ea typeface="Meiryo UI"/>
                <a:cs typeface="Meiryo UI"/>
              </a:defRPr>
            </a:pPr>
            <a:endParaRPr lang="ja-JP"/>
          </a:p>
        </c:txPr>
        <c:crossAx val="134662016"/>
        <c:crosses val="autoZero"/>
        <c:crossBetween val="midCat"/>
      </c:valAx>
      <c:spPr>
        <a:solidFill>
          <a:srgbClr val="FFFFFF"/>
        </a:solidFill>
        <a:ln w="12700">
          <a:solidFill>
            <a:srgbClr val="808080"/>
          </a:solidFill>
          <a:prstDash val="solid"/>
        </a:ln>
      </c:spPr>
    </c:plotArea>
    <c:legend>
      <c:legendPos val="r"/>
      <c:layout>
        <c:manualLayout>
          <c:xMode val="edge"/>
          <c:yMode val="edge"/>
          <c:x val="0.26961955513136615"/>
          <c:y val="0.12166120656812317"/>
          <c:w val="0.61638502257924832"/>
          <c:h val="0.15607391873870524"/>
        </c:manualLayout>
      </c:layout>
      <c:overlay val="0"/>
      <c:spPr>
        <a:noFill/>
      </c:spPr>
      <c:txPr>
        <a:bodyPr/>
        <a:lstStyle/>
        <a:p>
          <a:pPr>
            <a:defRPr sz="1000">
              <a:latin typeface="Meiryo UI" panose="020B0604030504040204" pitchFamily="50" charset="-128"/>
              <a:ea typeface="Meiryo UI" panose="020B0604030504040204" pitchFamily="50" charset="-128"/>
            </a:defRPr>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1100" b="0" i="0" u="none" strike="noStrike" baseline="0">
          <a:solidFill>
            <a:srgbClr val="000000"/>
          </a:solidFill>
          <a:latin typeface="明朝"/>
          <a:ea typeface="明朝"/>
          <a:cs typeface="明朝"/>
        </a:defRPr>
      </a:pPr>
      <a:endParaRPr lang="ja-JP"/>
    </a:p>
  </c:txPr>
  <c:printSettings>
    <c:headerFooter alignWithMargins="0"/>
    <c:pageMargins b="1" l="0.75" r="0.75" t="1" header="0.51200000000000001" footer="0.51200000000000001"/>
    <c:pageSetup paperSize="9" orientation="landscape" horizontalDpi="200" verticalDpi="200"/>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1200" b="0" i="0" u="none" strike="noStrike" baseline="0">
                <a:solidFill>
                  <a:srgbClr val="000000"/>
                </a:solidFill>
                <a:latin typeface="Meiryo UI"/>
                <a:ea typeface="Meiryo UI"/>
                <a:cs typeface="Meiryo UI"/>
              </a:defRPr>
            </a:pPr>
            <a:r>
              <a:rPr lang="ja-JP" altLang="en-US" sz="1200"/>
              <a:t>焼却灰</a:t>
            </a:r>
            <a:r>
              <a:rPr lang="en-US" altLang="ja-JP" sz="1200"/>
              <a:t>(</a:t>
            </a:r>
            <a:r>
              <a:rPr lang="ja-JP" altLang="en-US" sz="1200"/>
              <a:t>主灰</a:t>
            </a:r>
            <a:r>
              <a:rPr lang="en-US" altLang="ja-JP" sz="1200"/>
              <a:t>)</a:t>
            </a:r>
            <a:r>
              <a:rPr lang="ja-JP" altLang="en-US" sz="1200"/>
              <a:t>中の</a:t>
            </a:r>
            <a:r>
              <a:rPr lang="en-US" altLang="ja-JP" sz="1200"/>
              <a:t>Cs</a:t>
            </a:r>
            <a:r>
              <a:rPr lang="ja-JP" altLang="en-US" sz="1200"/>
              <a:t>濃度の推移</a:t>
            </a:r>
          </a:p>
        </c:rich>
      </c:tx>
      <c:layout>
        <c:manualLayout>
          <c:xMode val="edge"/>
          <c:yMode val="edge"/>
          <c:x val="0.38475456202759467"/>
          <c:y val="2.8939330214148868E-2"/>
        </c:manualLayout>
      </c:layout>
      <c:overlay val="0"/>
      <c:spPr>
        <a:solidFill>
          <a:srgbClr val="FFFFFF"/>
        </a:solidFill>
        <a:ln w="25400">
          <a:noFill/>
        </a:ln>
      </c:spPr>
    </c:title>
    <c:autoTitleDeleted val="0"/>
    <c:plotArea>
      <c:layout>
        <c:manualLayout>
          <c:layoutTarget val="inner"/>
          <c:xMode val="edge"/>
          <c:yMode val="edge"/>
          <c:x val="8.5115133804150769E-2"/>
          <c:y val="5.189028696994271E-2"/>
          <c:w val="0.88368121510584374"/>
          <c:h val="0.82916263374054988"/>
        </c:manualLayout>
      </c:layout>
      <c:lineChart>
        <c:grouping val="standard"/>
        <c:varyColors val="0"/>
        <c:ser>
          <c:idx val="3"/>
          <c:order val="0"/>
          <c:tx>
            <c:strRef>
              <c:f>まとめ!$X$29:$X$31</c:f>
              <c:strCache>
                <c:ptCount val="1"/>
                <c:pt idx="0">
                  <c:v>環境管理センター 焼却灰(主灰)中濃度 両Cs濃度 (Bq/kg)</c:v>
                </c:pt>
              </c:strCache>
            </c:strRef>
          </c:tx>
          <c:spPr>
            <a:ln w="3175">
              <a:solidFill>
                <a:srgbClr val="0070C0"/>
              </a:solidFill>
              <a:prstDash val="solid"/>
            </a:ln>
          </c:spPr>
          <c:marker>
            <c:symbol val="square"/>
            <c:size val="5"/>
            <c:spPr>
              <a:solidFill>
                <a:sysClr val="window" lastClr="FFFFFF"/>
              </a:solidFill>
              <a:ln>
                <a:solidFill>
                  <a:srgbClr val="0070C0"/>
                </a:solidFill>
              </a:ln>
            </c:spPr>
          </c:marker>
          <c:cat>
            <c:numRef>
              <c:f>まとめ!$R$32:$R$121</c:f>
              <c:numCache>
                <c:formatCode>[$-411]ge\.m</c:formatCode>
                <c:ptCount val="90"/>
                <c:pt idx="0">
                  <c:v>40614</c:v>
                </c:pt>
                <c:pt idx="1">
                  <c:v>40847</c:v>
                </c:pt>
                <c:pt idx="2">
                  <c:v>40877</c:v>
                </c:pt>
                <c:pt idx="3">
                  <c:v>40908</c:v>
                </c:pt>
                <c:pt idx="4">
                  <c:v>40939</c:v>
                </c:pt>
                <c:pt idx="5">
                  <c:v>40968</c:v>
                </c:pt>
                <c:pt idx="6">
                  <c:v>40999</c:v>
                </c:pt>
                <c:pt idx="7">
                  <c:v>41029</c:v>
                </c:pt>
                <c:pt idx="8">
                  <c:v>41060</c:v>
                </c:pt>
                <c:pt idx="9">
                  <c:v>41090</c:v>
                </c:pt>
                <c:pt idx="10">
                  <c:v>41121</c:v>
                </c:pt>
                <c:pt idx="11">
                  <c:v>41152</c:v>
                </c:pt>
                <c:pt idx="12">
                  <c:v>41182</c:v>
                </c:pt>
                <c:pt idx="13">
                  <c:v>41213</c:v>
                </c:pt>
                <c:pt idx="14">
                  <c:v>41243</c:v>
                </c:pt>
                <c:pt idx="15">
                  <c:v>41274</c:v>
                </c:pt>
                <c:pt idx="16">
                  <c:v>41305</c:v>
                </c:pt>
                <c:pt idx="17">
                  <c:v>41333</c:v>
                </c:pt>
                <c:pt idx="18">
                  <c:v>41364</c:v>
                </c:pt>
                <c:pt idx="19">
                  <c:v>41394</c:v>
                </c:pt>
                <c:pt idx="20">
                  <c:v>41425</c:v>
                </c:pt>
                <c:pt idx="21">
                  <c:v>41455</c:v>
                </c:pt>
                <c:pt idx="22">
                  <c:v>41486</c:v>
                </c:pt>
                <c:pt idx="23">
                  <c:v>41517</c:v>
                </c:pt>
                <c:pt idx="24">
                  <c:v>41547</c:v>
                </c:pt>
                <c:pt idx="25">
                  <c:v>41578</c:v>
                </c:pt>
                <c:pt idx="26">
                  <c:v>41608</c:v>
                </c:pt>
                <c:pt idx="27">
                  <c:v>41639</c:v>
                </c:pt>
                <c:pt idx="28">
                  <c:v>41670</c:v>
                </c:pt>
                <c:pt idx="29">
                  <c:v>41698</c:v>
                </c:pt>
                <c:pt idx="30">
                  <c:v>41729</c:v>
                </c:pt>
                <c:pt idx="31">
                  <c:v>41759</c:v>
                </c:pt>
                <c:pt idx="32">
                  <c:v>41790</c:v>
                </c:pt>
                <c:pt idx="33">
                  <c:v>41820</c:v>
                </c:pt>
                <c:pt idx="34">
                  <c:v>41851</c:v>
                </c:pt>
                <c:pt idx="35">
                  <c:v>41882</c:v>
                </c:pt>
                <c:pt idx="36">
                  <c:v>41912</c:v>
                </c:pt>
                <c:pt idx="37">
                  <c:v>41943</c:v>
                </c:pt>
                <c:pt idx="38">
                  <c:v>41973</c:v>
                </c:pt>
                <c:pt idx="39">
                  <c:v>42004</c:v>
                </c:pt>
                <c:pt idx="40">
                  <c:v>42035</c:v>
                </c:pt>
                <c:pt idx="41">
                  <c:v>42063</c:v>
                </c:pt>
                <c:pt idx="42">
                  <c:v>42094</c:v>
                </c:pt>
                <c:pt idx="43">
                  <c:v>42124</c:v>
                </c:pt>
                <c:pt idx="44">
                  <c:v>42155</c:v>
                </c:pt>
                <c:pt idx="45">
                  <c:v>42185</c:v>
                </c:pt>
                <c:pt idx="46">
                  <c:v>42216</c:v>
                </c:pt>
                <c:pt idx="47">
                  <c:v>42247</c:v>
                </c:pt>
                <c:pt idx="48">
                  <c:v>42277</c:v>
                </c:pt>
                <c:pt idx="49">
                  <c:v>42308</c:v>
                </c:pt>
                <c:pt idx="50">
                  <c:v>42338</c:v>
                </c:pt>
                <c:pt idx="51">
                  <c:v>42369</c:v>
                </c:pt>
                <c:pt idx="52">
                  <c:v>42400</c:v>
                </c:pt>
                <c:pt idx="53">
                  <c:v>42429</c:v>
                </c:pt>
                <c:pt idx="54">
                  <c:v>42460</c:v>
                </c:pt>
                <c:pt idx="55">
                  <c:v>42490</c:v>
                </c:pt>
                <c:pt idx="56">
                  <c:v>42521</c:v>
                </c:pt>
                <c:pt idx="57">
                  <c:v>42551</c:v>
                </c:pt>
                <c:pt idx="58">
                  <c:v>42582</c:v>
                </c:pt>
                <c:pt idx="59">
                  <c:v>42613</c:v>
                </c:pt>
                <c:pt idx="60">
                  <c:v>42643</c:v>
                </c:pt>
                <c:pt idx="61">
                  <c:v>42674</c:v>
                </c:pt>
                <c:pt idx="62">
                  <c:v>42704</c:v>
                </c:pt>
                <c:pt idx="63">
                  <c:v>42735</c:v>
                </c:pt>
                <c:pt idx="64">
                  <c:v>42766</c:v>
                </c:pt>
                <c:pt idx="65">
                  <c:v>42794</c:v>
                </c:pt>
                <c:pt idx="66">
                  <c:v>42825</c:v>
                </c:pt>
                <c:pt idx="67">
                  <c:v>42855</c:v>
                </c:pt>
                <c:pt idx="68">
                  <c:v>42886</c:v>
                </c:pt>
                <c:pt idx="69">
                  <c:v>42916</c:v>
                </c:pt>
                <c:pt idx="70">
                  <c:v>42947</c:v>
                </c:pt>
                <c:pt idx="71">
                  <c:v>42978</c:v>
                </c:pt>
                <c:pt idx="72">
                  <c:v>43008</c:v>
                </c:pt>
                <c:pt idx="73">
                  <c:v>43039</c:v>
                </c:pt>
                <c:pt idx="74">
                  <c:v>43069</c:v>
                </c:pt>
                <c:pt idx="75">
                  <c:v>43100</c:v>
                </c:pt>
                <c:pt idx="76">
                  <c:v>43131</c:v>
                </c:pt>
                <c:pt idx="77">
                  <c:v>43159</c:v>
                </c:pt>
                <c:pt idx="78">
                  <c:v>43190</c:v>
                </c:pt>
                <c:pt idx="79">
                  <c:v>43220</c:v>
                </c:pt>
                <c:pt idx="80">
                  <c:v>43251</c:v>
                </c:pt>
                <c:pt idx="81">
                  <c:v>43281</c:v>
                </c:pt>
                <c:pt idx="82">
                  <c:v>43312</c:v>
                </c:pt>
                <c:pt idx="83">
                  <c:v>43343</c:v>
                </c:pt>
                <c:pt idx="84">
                  <c:v>43373</c:v>
                </c:pt>
                <c:pt idx="85">
                  <c:v>43404</c:v>
                </c:pt>
                <c:pt idx="86">
                  <c:v>43434</c:v>
                </c:pt>
                <c:pt idx="87">
                  <c:v>43465</c:v>
                </c:pt>
                <c:pt idx="88">
                  <c:v>43496</c:v>
                </c:pt>
                <c:pt idx="89">
                  <c:v>43524</c:v>
                </c:pt>
              </c:numCache>
            </c:numRef>
          </c:cat>
          <c:val>
            <c:numRef>
              <c:f>まとめ!$X$32:$X$121</c:f>
              <c:numCache>
                <c:formatCode>0.0</c:formatCode>
                <c:ptCount val="90"/>
                <c:pt idx="1">
                  <c:v>266.61392708561146</c:v>
                </c:pt>
                <c:pt idx="2">
                  <c:v>186.23498775014022</c:v>
                </c:pt>
                <c:pt idx="3">
                  <c:v>158.90894091169105</c:v>
                </c:pt>
                <c:pt idx="4">
                  <c:v>137.1247486003856</c:v>
                </c:pt>
                <c:pt idx="5">
                  <c:v>120.94449082073405</c:v>
                </c:pt>
                <c:pt idx="6">
                  <c:v>195.72785162023121</c:v>
                </c:pt>
                <c:pt idx="7">
                  <c:v>279.25694060949468</c:v>
                </c:pt>
                <c:pt idx="8">
                  <c:v>285.01648748596619</c:v>
                </c:pt>
                <c:pt idx="9">
                  <c:v>256.93457838723441</c:v>
                </c:pt>
                <c:pt idx="10">
                  <c:v>211.20469352315038</c:v>
                </c:pt>
                <c:pt idx="11">
                  <c:v>186.59477343246854</c:v>
                </c:pt>
                <c:pt idx="12">
                  <c:v>163.72442742254302</c:v>
                </c:pt>
                <c:pt idx="13">
                  <c:v>129.89343734845784</c:v>
                </c:pt>
                <c:pt idx="14">
                  <c:v>91.393862056756902</c:v>
                </c:pt>
                <c:pt idx="15">
                  <c:v>78.581164938486282</c:v>
                </c:pt>
                <c:pt idx="16">
                  <c:v>68.356800761326696</c:v>
                </c:pt>
                <c:pt idx="17">
                  <c:v>60.843004693647536</c:v>
                </c:pt>
                <c:pt idx="18">
                  <c:v>99.316205488044574</c:v>
                </c:pt>
                <c:pt idx="19">
                  <c:v>142.92150377523566</c:v>
                </c:pt>
                <c:pt idx="20">
                  <c:v>147.17893153888667</c:v>
                </c:pt>
                <c:pt idx="21">
                  <c:v>133.88284857299581</c:v>
                </c:pt>
                <c:pt idx="22">
                  <c:v>111.10054660753048</c:v>
                </c:pt>
                <c:pt idx="23">
                  <c:v>99.111646837551064</c:v>
                </c:pt>
                <c:pt idx="24">
                  <c:v>87.82093635705192</c:v>
                </c:pt>
                <c:pt idx="25">
                  <c:v>70.397484559326102</c:v>
                </c:pt>
                <c:pt idx="26">
                  <c:v>50.036909279377809</c:v>
                </c:pt>
                <c:pt idx="27">
                  <c:v>43.500008364309934</c:v>
                </c:pt>
                <c:pt idx="28">
                  <c:v>38.263567922464574</c:v>
                </c:pt>
                <c:pt idx="29">
                  <c:v>34.415951847702928</c:v>
                </c:pt>
                <c:pt idx="30">
                  <c:v>56.834679032727983</c:v>
                </c:pt>
                <c:pt idx="31">
                  <c:v>82.71294274256374</c:v>
                </c:pt>
                <c:pt idx="32">
                  <c:v>86.210135770045127</c:v>
                </c:pt>
                <c:pt idx="33">
                  <c:v>79.345014314083329</c:v>
                </c:pt>
                <c:pt idx="34">
                  <c:v>66.673851085351828</c:v>
                </c:pt>
                <c:pt idx="35">
                  <c:v>60.223255121697278</c:v>
                </c:pt>
                <c:pt idx="36">
                  <c:v>54.019585398440462</c:v>
                </c:pt>
                <c:pt idx="37">
                  <c:v>43.862133575886247</c:v>
                </c:pt>
                <c:pt idx="38">
                  <c:v>31.567244179222286</c:v>
                </c:pt>
                <c:pt idx="39">
                  <c:v>27.803110947544802</c:v>
                </c:pt>
                <c:pt idx="40">
                  <c:v>24.776039169725244</c:v>
                </c:pt>
                <c:pt idx="41">
                  <c:v>22.546976236385383</c:v>
                </c:pt>
                <c:pt idx="42">
                  <c:v>37.720802950276841</c:v>
                </c:pt>
                <c:pt idx="43">
                  <c:v>55.597312399466375</c:v>
                </c:pt>
                <c:pt idx="44">
                  <c:v>58.706056049371213</c:v>
                </c:pt>
                <c:pt idx="45">
                  <c:v>54.706724817855033</c:v>
                </c:pt>
                <c:pt idx="46">
                  <c:v>46.567223896327484</c:v>
                </c:pt>
                <c:pt idx="47">
                  <c:v>42.604097154298017</c:v>
                </c:pt>
                <c:pt idx="48">
                  <c:v>38.680304393001592</c:v>
                </c:pt>
                <c:pt idx="49">
                  <c:v>31.797476201188875</c:v>
                </c:pt>
                <c:pt idx="50">
                  <c:v>23.160338496916928</c:v>
                </c:pt>
                <c:pt idx="51">
                  <c:v>20.643921002881534</c:v>
                </c:pt>
                <c:pt idx="52">
                  <c:v>18.61187784188564</c:v>
                </c:pt>
                <c:pt idx="53">
                  <c:v>17.112203203073527</c:v>
                </c:pt>
                <c:pt idx="54">
                  <c:v>28.959792059510711</c:v>
                </c:pt>
                <c:pt idx="55">
                  <c:v>43.146564215620486</c:v>
                </c:pt>
                <c:pt idx="56">
                  <c:v>46.05200616759501</c:v>
                </c:pt>
                <c:pt idx="57">
                  <c:v>43.364367477453612</c:v>
                </c:pt>
                <c:pt idx="58">
                  <c:v>37.292629074866817</c:v>
                </c:pt>
                <c:pt idx="59">
                  <c:v>34.469018714277176</c:v>
                </c:pt>
                <c:pt idx="60">
                  <c:v>31.589211740640863</c:v>
                </c:pt>
                <c:pt idx="61">
                  <c:v>26.217363232558267</c:v>
                </c:pt>
                <c:pt idx="62">
                  <c:v>19.261949270600624</c:v>
                </c:pt>
                <c:pt idx="63">
                  <c:v>17.321119020829645</c:v>
                </c:pt>
                <c:pt idx="64">
                  <c:v>15.752442061762942</c:v>
                </c:pt>
                <c:pt idx="65">
                  <c:v>14.595892713027791</c:v>
                </c:pt>
                <c:pt idx="66">
                  <c:v>24.895475461450431</c:v>
                </c:pt>
                <c:pt idx="67">
                  <c:v>37.364868416166928</c:v>
                </c:pt>
                <c:pt idx="68">
                  <c:v>40.184095900991736</c:v>
                </c:pt>
                <c:pt idx="69">
                  <c:v>38.091445637125538</c:v>
                </c:pt>
                <c:pt idx="70">
                  <c:v>32.976637185750512</c:v>
                </c:pt>
                <c:pt idx="71">
                  <c:v>30.6672078970272</c:v>
                </c:pt>
                <c:pt idx="72">
                  <c:v>28.275244662907422</c:v>
                </c:pt>
                <c:pt idx="73">
                  <c:v>23.603556564654351</c:v>
                </c:pt>
                <c:pt idx="74">
                  <c:v>17.436382849382419</c:v>
                </c:pt>
                <c:pt idx="75">
                  <c:v>15.764562892118899</c:v>
                </c:pt>
                <c:pt idx="76">
                  <c:v>14.410927785697911</c:v>
                </c:pt>
                <c:pt idx="77">
                  <c:v>13.411388682333786</c:v>
                </c:pt>
                <c:pt idx="78" formatCode="General">
                  <c:v>32</c:v>
                </c:pt>
                <c:pt idx="79" formatCode="General">
                  <c:v>110</c:v>
                </c:pt>
                <c:pt idx="80" formatCode="General">
                  <c:v>44</c:v>
                </c:pt>
                <c:pt idx="81" formatCode="General">
                  <c:v>60.5</c:v>
                </c:pt>
                <c:pt idx="82" formatCode="General">
                  <c:v>57.5</c:v>
                </c:pt>
                <c:pt idx="83" formatCode="General">
                  <c:v>44.5</c:v>
                </c:pt>
                <c:pt idx="84" formatCode="General">
                  <c:v>73.5</c:v>
                </c:pt>
                <c:pt idx="85">
                  <c:v>42.949788996402098</c:v>
                </c:pt>
                <c:pt idx="86">
                  <c:v>31.800434964567543</c:v>
                </c:pt>
                <c:pt idx="87">
                  <c:v>28.824383103301685</c:v>
                </c:pt>
                <c:pt idx="88">
                  <c:v>26.415835819329779</c:v>
                </c:pt>
                <c:pt idx="89" formatCode="General">
                  <c:v>9.5</c:v>
                </c:pt>
              </c:numCache>
            </c:numRef>
          </c:val>
          <c:smooth val="0"/>
        </c:ser>
        <c:ser>
          <c:idx val="11"/>
          <c:order val="1"/>
          <c:tx>
            <c:strRef>
              <c:f>まとめ!$V$30:$V$31</c:f>
              <c:strCache>
                <c:ptCount val="1"/>
                <c:pt idx="0">
                  <c:v>焼却灰(主灰)中濃度 Cs134</c:v>
                </c:pt>
              </c:strCache>
            </c:strRef>
          </c:tx>
          <c:spPr>
            <a:ln w="12700">
              <a:solidFill>
                <a:srgbClr val="FF0000"/>
              </a:solidFill>
              <a:prstDash val="solid"/>
            </a:ln>
          </c:spPr>
          <c:marker>
            <c:symbol val="square"/>
            <c:size val="5"/>
            <c:spPr>
              <a:solidFill>
                <a:sysClr val="window" lastClr="FFFFFF"/>
              </a:solidFill>
              <a:ln>
                <a:solidFill>
                  <a:srgbClr val="FF0000"/>
                </a:solidFill>
                <a:prstDash val="solid"/>
              </a:ln>
            </c:spPr>
          </c:marker>
          <c:cat>
            <c:numRef>
              <c:f>まとめ!$R$32:$R$121</c:f>
              <c:numCache>
                <c:formatCode>[$-411]ge\.m</c:formatCode>
                <c:ptCount val="90"/>
                <c:pt idx="0">
                  <c:v>40614</c:v>
                </c:pt>
                <c:pt idx="1">
                  <c:v>40847</c:v>
                </c:pt>
                <c:pt idx="2">
                  <c:v>40877</c:v>
                </c:pt>
                <c:pt idx="3">
                  <c:v>40908</c:v>
                </c:pt>
                <c:pt idx="4">
                  <c:v>40939</c:v>
                </c:pt>
                <c:pt idx="5">
                  <c:v>40968</c:v>
                </c:pt>
                <c:pt idx="6">
                  <c:v>40999</c:v>
                </c:pt>
                <c:pt idx="7">
                  <c:v>41029</c:v>
                </c:pt>
                <c:pt idx="8">
                  <c:v>41060</c:v>
                </c:pt>
                <c:pt idx="9">
                  <c:v>41090</c:v>
                </c:pt>
                <c:pt idx="10">
                  <c:v>41121</c:v>
                </c:pt>
                <c:pt idx="11">
                  <c:v>41152</c:v>
                </c:pt>
                <c:pt idx="12">
                  <c:v>41182</c:v>
                </c:pt>
                <c:pt idx="13">
                  <c:v>41213</c:v>
                </c:pt>
                <c:pt idx="14">
                  <c:v>41243</c:v>
                </c:pt>
                <c:pt idx="15">
                  <c:v>41274</c:v>
                </c:pt>
                <c:pt idx="16">
                  <c:v>41305</c:v>
                </c:pt>
                <c:pt idx="17">
                  <c:v>41333</c:v>
                </c:pt>
                <c:pt idx="18">
                  <c:v>41364</c:v>
                </c:pt>
                <c:pt idx="19">
                  <c:v>41394</c:v>
                </c:pt>
                <c:pt idx="20">
                  <c:v>41425</c:v>
                </c:pt>
                <c:pt idx="21">
                  <c:v>41455</c:v>
                </c:pt>
                <c:pt idx="22">
                  <c:v>41486</c:v>
                </c:pt>
                <c:pt idx="23">
                  <c:v>41517</c:v>
                </c:pt>
                <c:pt idx="24">
                  <c:v>41547</c:v>
                </c:pt>
                <c:pt idx="25">
                  <c:v>41578</c:v>
                </c:pt>
                <c:pt idx="26">
                  <c:v>41608</c:v>
                </c:pt>
                <c:pt idx="27">
                  <c:v>41639</c:v>
                </c:pt>
                <c:pt idx="28">
                  <c:v>41670</c:v>
                </c:pt>
                <c:pt idx="29">
                  <c:v>41698</c:v>
                </c:pt>
                <c:pt idx="30">
                  <c:v>41729</c:v>
                </c:pt>
                <c:pt idx="31">
                  <c:v>41759</c:v>
                </c:pt>
                <c:pt idx="32">
                  <c:v>41790</c:v>
                </c:pt>
                <c:pt idx="33">
                  <c:v>41820</c:v>
                </c:pt>
                <c:pt idx="34">
                  <c:v>41851</c:v>
                </c:pt>
                <c:pt idx="35">
                  <c:v>41882</c:v>
                </c:pt>
                <c:pt idx="36">
                  <c:v>41912</c:v>
                </c:pt>
                <c:pt idx="37">
                  <c:v>41943</c:v>
                </c:pt>
                <c:pt idx="38">
                  <c:v>41973</c:v>
                </c:pt>
                <c:pt idx="39">
                  <c:v>42004</c:v>
                </c:pt>
                <c:pt idx="40">
                  <c:v>42035</c:v>
                </c:pt>
                <c:pt idx="41">
                  <c:v>42063</c:v>
                </c:pt>
                <c:pt idx="42">
                  <c:v>42094</c:v>
                </c:pt>
                <c:pt idx="43">
                  <c:v>42124</c:v>
                </c:pt>
                <c:pt idx="44">
                  <c:v>42155</c:v>
                </c:pt>
                <c:pt idx="45">
                  <c:v>42185</c:v>
                </c:pt>
                <c:pt idx="46">
                  <c:v>42216</c:v>
                </c:pt>
                <c:pt idx="47">
                  <c:v>42247</c:v>
                </c:pt>
                <c:pt idx="48">
                  <c:v>42277</c:v>
                </c:pt>
                <c:pt idx="49">
                  <c:v>42308</c:v>
                </c:pt>
                <c:pt idx="50">
                  <c:v>42338</c:v>
                </c:pt>
                <c:pt idx="51">
                  <c:v>42369</c:v>
                </c:pt>
                <c:pt idx="52">
                  <c:v>42400</c:v>
                </c:pt>
                <c:pt idx="53">
                  <c:v>42429</c:v>
                </c:pt>
                <c:pt idx="54">
                  <c:v>42460</c:v>
                </c:pt>
                <c:pt idx="55">
                  <c:v>42490</c:v>
                </c:pt>
                <c:pt idx="56">
                  <c:v>42521</c:v>
                </c:pt>
                <c:pt idx="57">
                  <c:v>42551</c:v>
                </c:pt>
                <c:pt idx="58">
                  <c:v>42582</c:v>
                </c:pt>
                <c:pt idx="59">
                  <c:v>42613</c:v>
                </c:pt>
                <c:pt idx="60">
                  <c:v>42643</c:v>
                </c:pt>
                <c:pt idx="61">
                  <c:v>42674</c:v>
                </c:pt>
                <c:pt idx="62">
                  <c:v>42704</c:v>
                </c:pt>
                <c:pt idx="63">
                  <c:v>42735</c:v>
                </c:pt>
                <c:pt idx="64">
                  <c:v>42766</c:v>
                </c:pt>
                <c:pt idx="65">
                  <c:v>42794</c:v>
                </c:pt>
                <c:pt idx="66">
                  <c:v>42825</c:v>
                </c:pt>
                <c:pt idx="67">
                  <c:v>42855</c:v>
                </c:pt>
                <c:pt idx="68">
                  <c:v>42886</c:v>
                </c:pt>
                <c:pt idx="69">
                  <c:v>42916</c:v>
                </c:pt>
                <c:pt idx="70">
                  <c:v>42947</c:v>
                </c:pt>
                <c:pt idx="71">
                  <c:v>42978</c:v>
                </c:pt>
                <c:pt idx="72">
                  <c:v>43008</c:v>
                </c:pt>
                <c:pt idx="73">
                  <c:v>43039</c:v>
                </c:pt>
                <c:pt idx="74">
                  <c:v>43069</c:v>
                </c:pt>
                <c:pt idx="75">
                  <c:v>43100</c:v>
                </c:pt>
                <c:pt idx="76">
                  <c:v>43131</c:v>
                </c:pt>
                <c:pt idx="77">
                  <c:v>43159</c:v>
                </c:pt>
                <c:pt idx="78">
                  <c:v>43190</c:v>
                </c:pt>
                <c:pt idx="79">
                  <c:v>43220</c:v>
                </c:pt>
                <c:pt idx="80">
                  <c:v>43251</c:v>
                </c:pt>
                <c:pt idx="81">
                  <c:v>43281</c:v>
                </c:pt>
                <c:pt idx="82">
                  <c:v>43312</c:v>
                </c:pt>
                <c:pt idx="83">
                  <c:v>43343</c:v>
                </c:pt>
                <c:pt idx="84">
                  <c:v>43373</c:v>
                </c:pt>
                <c:pt idx="85">
                  <c:v>43404</c:v>
                </c:pt>
                <c:pt idx="86">
                  <c:v>43434</c:v>
                </c:pt>
                <c:pt idx="87">
                  <c:v>43465</c:v>
                </c:pt>
                <c:pt idx="88">
                  <c:v>43496</c:v>
                </c:pt>
                <c:pt idx="89">
                  <c:v>43524</c:v>
                </c:pt>
              </c:numCache>
            </c:numRef>
          </c:cat>
          <c:val>
            <c:numRef>
              <c:f>まとめ!$V$32:$V$121</c:f>
              <c:numCache>
                <c:formatCode>0.0</c:formatCode>
                <c:ptCount val="90"/>
                <c:pt idx="1">
                  <c:v>117.01748963850675</c:v>
                </c:pt>
                <c:pt idx="2">
                  <c:v>80.445818878802456</c:v>
                </c:pt>
                <c:pt idx="3">
                  <c:v>67.572735196391534</c:v>
                </c:pt>
                <c:pt idx="4">
                  <c:v>57.354983232691197</c:v>
                </c:pt>
                <c:pt idx="5">
                  <c:v>49.744989408500416</c:v>
                </c:pt>
                <c:pt idx="6">
                  <c:v>79.228500941247717</c:v>
                </c:pt>
                <c:pt idx="7">
                  <c:v>111.10955829572839</c:v>
                </c:pt>
                <c:pt idx="8">
                  <c:v>111.49329407676595</c:v>
                </c:pt>
                <c:pt idx="9">
                  <c:v>98.727242152262463</c:v>
                </c:pt>
                <c:pt idx="10">
                  <c:v>79.737474125236787</c:v>
                </c:pt>
                <c:pt idx="11">
                  <c:v>69.156282014691087</c:v>
                </c:pt>
                <c:pt idx="12">
                  <c:v>59.550968424846737</c:v>
                </c:pt>
                <c:pt idx="13">
                  <c:v>46.384207131505619</c:v>
                </c:pt>
                <c:pt idx="14">
                  <c:v>32.014033083292134</c:v>
                </c:pt>
                <c:pt idx="15">
                  <c:v>27.010131308954374</c:v>
                </c:pt>
                <c:pt idx="16">
                  <c:v>23.036241833701574</c:v>
                </c:pt>
                <c:pt idx="17">
                  <c:v>20.09762018452836</c:v>
                </c:pt>
                <c:pt idx="18">
                  <c:v>32.215783946459233</c:v>
                </c:pt>
                <c:pt idx="19">
                  <c:v>45.428900635284869</c:v>
                </c:pt>
                <c:pt idx="20">
                  <c:v>45.863430958916226</c:v>
                </c:pt>
                <c:pt idx="21">
                  <c:v>40.865435944400879</c:v>
                </c:pt>
                <c:pt idx="22">
                  <c:v>33.232298615074249</c:v>
                </c:pt>
                <c:pt idx="23">
                  <c:v>29.030230481681564</c:v>
                </c:pt>
                <c:pt idx="24">
                  <c:v>25.188988403293116</c:v>
                </c:pt>
                <c:pt idx="25">
                  <c:v>19.782247599814617</c:v>
                </c:pt>
                <c:pt idx="26">
                  <c:v>13.767636078855572</c:v>
                </c:pt>
                <c:pt idx="27">
                  <c:v>11.726952030741321</c:v>
                </c:pt>
                <c:pt idx="28">
                  <c:v>10.099699044475397</c:v>
                </c:pt>
                <c:pt idx="29">
                  <c:v>8.8952593526184849</c:v>
                </c:pt>
                <c:pt idx="30">
                  <c:v>14.415620426781004</c:v>
                </c:pt>
                <c:pt idx="31">
                  <c:v>20.550939935460235</c:v>
                </c:pt>
                <c:pt idx="32">
                  <c:v>20.999781699150972</c:v>
                </c:pt>
                <c:pt idx="33">
                  <c:v>18.941077292831814</c:v>
                </c:pt>
                <c:pt idx="34">
                  <c:v>15.611310476839387</c:v>
                </c:pt>
                <c:pt idx="35">
                  <c:v>13.825100643098123</c:v>
                </c:pt>
                <c:pt idx="36" formatCode="0.00">
                  <c:v>12.164465840549894</c:v>
                </c:pt>
                <c:pt idx="37" formatCode="0.00">
                  <c:v>9.6979616397192832</c:v>
                </c:pt>
                <c:pt idx="38" formatCode="0.00">
                  <c:v>6.8519262578028277</c:v>
                </c:pt>
                <c:pt idx="39" formatCode="0.00">
                  <c:v>5.9306941926883034</c:v>
                </c:pt>
                <c:pt idx="40" formatCode="0.00">
                  <c:v>5.1935032499690807</c:v>
                </c:pt>
                <c:pt idx="41" formatCode="0.00">
                  <c:v>4.6470070237630452</c:v>
                </c:pt>
                <c:pt idx="42" formatCode="0.00">
                  <c:v>7.6609387491118053</c:v>
                </c:pt>
                <c:pt idx="43" formatCode="0.00">
                  <c:v>11.115824981430897</c:v>
                </c:pt>
                <c:pt idx="44" formatCode="0.00">
                  <c:v>11.567188442798257</c:v>
                </c:pt>
                <c:pt idx="45" formatCode="0.00">
                  <c:v>10.625621873540592</c:v>
                </c:pt>
                <c:pt idx="46" formatCode="0.00">
                  <c:v>8.9244596615534579</c:v>
                </c:pt>
                <c:pt idx="47" formatCode="0.00">
                  <c:v>8.0579586236487408</c:v>
                </c:pt>
                <c:pt idx="48" formatCode="0.00">
                  <c:v>7.2253674857462098</c:v>
                </c:pt>
                <c:pt idx="49" formatCode="0.00">
                  <c:v>5.8725041994680067</c:v>
                </c:pt>
                <c:pt idx="50" formatCode="0.00">
                  <c:v>4.2301334411903824</c:v>
                </c:pt>
                <c:pt idx="51" formatCode="0.00">
                  <c:v>3.7325391796128313</c:v>
                </c:pt>
                <c:pt idx="52" formatCode="0.00">
                  <c:v>3.3325183359849544</c:v>
                </c:pt>
                <c:pt idx="53" formatCode="0.00">
                  <c:v>3.0364286531028974</c:v>
                </c:pt>
                <c:pt idx="54" formatCode="0.00">
                  <c:v>5.0977470645964038</c:v>
                </c:pt>
                <c:pt idx="55" formatCode="0.00">
                  <c:v>7.5368754079360993</c:v>
                </c:pt>
                <c:pt idx="56" formatCode="0.00">
                  <c:v>7.989405946720856</c:v>
                </c:pt>
                <c:pt idx="57" formatCode="0.00">
                  <c:v>7.4734981653090431</c:v>
                </c:pt>
                <c:pt idx="58" formatCode="0.00">
                  <c:v>6.3893957687523422</c:v>
                </c:pt>
                <c:pt idx="59" formatCode="0.00">
                  <c:v>5.8730036359818314</c:v>
                </c:pt>
                <c:pt idx="60" formatCode="0.00">
                  <c:v>5.3547795149743234</c:v>
                </c:pt>
                <c:pt idx="61" formatCode="0.00">
                  <c:v>4.424826536096421</c:v>
                </c:pt>
                <c:pt idx="62" formatCode="0.00">
                  <c:v>3.2375526620521118</c:v>
                </c:pt>
                <c:pt idx="63" formatCode="0.00">
                  <c:v>2.9013868215029026</c:v>
                </c:pt>
                <c:pt idx="64" formatCode="0.00">
                  <c:v>2.6298553204655475</c:v>
                </c:pt>
                <c:pt idx="65" formatCode="0.00">
                  <c:v>2.4296892108047499</c:v>
                </c:pt>
                <c:pt idx="66" formatCode="0.00">
                  <c:v>4.1347504448672217</c:v>
                </c:pt>
                <c:pt idx="67" formatCode="0.00">
                  <c:v>6.1931046502308149</c:v>
                </c:pt>
                <c:pt idx="68" formatCode="0.00">
                  <c:v>6.6489842420295604</c:v>
                </c:pt>
                <c:pt idx="69" formatCode="0.00">
                  <c:v>6.2921431644472063</c:v>
                </c:pt>
                <c:pt idx="70" formatCode="0.00">
                  <c:v>5.4399242843483693</c:v>
                </c:pt>
                <c:pt idx="71" formatCode="0.00">
                  <c:v>5.0531858853499552</c:v>
                </c:pt>
                <c:pt idx="72" formatCode="0.00">
                  <c:v>4.6549191760866329</c:v>
                </c:pt>
                <c:pt idx="73" formatCode="0.00">
                  <c:v>3.8828522854658822</c:v>
                </c:pt>
                <c:pt idx="74" formatCode="0.00">
                  <c:v>2.8667831870989824</c:v>
                </c:pt>
                <c:pt idx="75" formatCode="0.00">
                  <c:v>2.5909496662920448</c:v>
                </c:pt>
                <c:pt idx="76" formatCode="0.00">
                  <c:v>2.3674125548805121</c:v>
                </c:pt>
                <c:pt idx="77" formatCode="0.00">
                  <c:v>2.2027182728339487</c:v>
                </c:pt>
                <c:pt idx="78" formatCode="0.00">
                  <c:v>2.9550831033127514</c:v>
                </c:pt>
                <c:pt idx="79" formatCode="0.00">
                  <c:v>10.022844327774013</c:v>
                </c:pt>
                <c:pt idx="80" formatCode="0.00">
                  <c:v>3.426948763097394</c:v>
                </c:pt>
                <c:pt idx="81" formatCode="0.00">
                  <c:v>6.1711338226509787</c:v>
                </c:pt>
                <c:pt idx="82" formatCode="0.00">
                  <c:v>4.9751936828634866</c:v>
                </c:pt>
                <c:pt idx="83" formatCode="0.00">
                  <c:v>5.7704537085441121</c:v>
                </c:pt>
                <c:pt idx="84" formatCode="0.00">
                  <c:v>8.4366280467904495</c:v>
                </c:pt>
                <c:pt idx="85" formatCode="0.00">
                  <c:v>7.0689878664210637</c:v>
                </c:pt>
                <c:pt idx="86" formatCode="0.00">
                  <c:v>5.2364021957244891</c:v>
                </c:pt>
                <c:pt idx="87" formatCode="0.00">
                  <c:v>4.7500427357543478</c:v>
                </c:pt>
                <c:pt idx="88" formatCode="0.00">
                  <c:v>4.3559527889553751</c:v>
                </c:pt>
                <c:pt idx="89" formatCode="0.00">
                  <c:v>1.376325020987774</c:v>
                </c:pt>
              </c:numCache>
            </c:numRef>
          </c:val>
          <c:smooth val="0"/>
        </c:ser>
        <c:ser>
          <c:idx val="1"/>
          <c:order val="2"/>
          <c:tx>
            <c:strRef>
              <c:f>まとめ!$W$30:$W$31</c:f>
              <c:strCache>
                <c:ptCount val="1"/>
                <c:pt idx="0">
                  <c:v>焼却灰(主灰)中濃度 Cs137</c:v>
                </c:pt>
              </c:strCache>
            </c:strRef>
          </c:tx>
          <c:spPr>
            <a:ln w="12700">
              <a:solidFill>
                <a:srgbClr val="008000"/>
              </a:solidFill>
              <a:prstDash val="solid"/>
            </a:ln>
          </c:spPr>
          <c:marker>
            <c:symbol val="circle"/>
            <c:size val="6"/>
            <c:spPr>
              <a:solidFill>
                <a:srgbClr val="FFFFFF"/>
              </a:solidFill>
              <a:ln>
                <a:solidFill>
                  <a:srgbClr val="008000"/>
                </a:solidFill>
                <a:prstDash val="solid"/>
              </a:ln>
            </c:spPr>
          </c:marker>
          <c:cat>
            <c:numRef>
              <c:f>まとめ!$R$32:$R$121</c:f>
              <c:numCache>
                <c:formatCode>[$-411]ge\.m</c:formatCode>
                <c:ptCount val="90"/>
                <c:pt idx="0">
                  <c:v>40614</c:v>
                </c:pt>
                <c:pt idx="1">
                  <c:v>40847</c:v>
                </c:pt>
                <c:pt idx="2">
                  <c:v>40877</c:v>
                </c:pt>
                <c:pt idx="3">
                  <c:v>40908</c:v>
                </c:pt>
                <c:pt idx="4">
                  <c:v>40939</c:v>
                </c:pt>
                <c:pt idx="5">
                  <c:v>40968</c:v>
                </c:pt>
                <c:pt idx="6">
                  <c:v>40999</c:v>
                </c:pt>
                <c:pt idx="7">
                  <c:v>41029</c:v>
                </c:pt>
                <c:pt idx="8">
                  <c:v>41060</c:v>
                </c:pt>
                <c:pt idx="9">
                  <c:v>41090</c:v>
                </c:pt>
                <c:pt idx="10">
                  <c:v>41121</c:v>
                </c:pt>
                <c:pt idx="11">
                  <c:v>41152</c:v>
                </c:pt>
                <c:pt idx="12">
                  <c:v>41182</c:v>
                </c:pt>
                <c:pt idx="13">
                  <c:v>41213</c:v>
                </c:pt>
                <c:pt idx="14">
                  <c:v>41243</c:v>
                </c:pt>
                <c:pt idx="15">
                  <c:v>41274</c:v>
                </c:pt>
                <c:pt idx="16">
                  <c:v>41305</c:v>
                </c:pt>
                <c:pt idx="17">
                  <c:v>41333</c:v>
                </c:pt>
                <c:pt idx="18">
                  <c:v>41364</c:v>
                </c:pt>
                <c:pt idx="19">
                  <c:v>41394</c:v>
                </c:pt>
                <c:pt idx="20">
                  <c:v>41425</c:v>
                </c:pt>
                <c:pt idx="21">
                  <c:v>41455</c:v>
                </c:pt>
                <c:pt idx="22">
                  <c:v>41486</c:v>
                </c:pt>
                <c:pt idx="23">
                  <c:v>41517</c:v>
                </c:pt>
                <c:pt idx="24">
                  <c:v>41547</c:v>
                </c:pt>
                <c:pt idx="25">
                  <c:v>41578</c:v>
                </c:pt>
                <c:pt idx="26">
                  <c:v>41608</c:v>
                </c:pt>
                <c:pt idx="27">
                  <c:v>41639</c:v>
                </c:pt>
                <c:pt idx="28">
                  <c:v>41670</c:v>
                </c:pt>
                <c:pt idx="29">
                  <c:v>41698</c:v>
                </c:pt>
                <c:pt idx="30">
                  <c:v>41729</c:v>
                </c:pt>
                <c:pt idx="31">
                  <c:v>41759</c:v>
                </c:pt>
                <c:pt idx="32">
                  <c:v>41790</c:v>
                </c:pt>
                <c:pt idx="33">
                  <c:v>41820</c:v>
                </c:pt>
                <c:pt idx="34">
                  <c:v>41851</c:v>
                </c:pt>
                <c:pt idx="35">
                  <c:v>41882</c:v>
                </c:pt>
                <c:pt idx="36">
                  <c:v>41912</c:v>
                </c:pt>
                <c:pt idx="37">
                  <c:v>41943</c:v>
                </c:pt>
                <c:pt idx="38">
                  <c:v>41973</c:v>
                </c:pt>
                <c:pt idx="39">
                  <c:v>42004</c:v>
                </c:pt>
                <c:pt idx="40">
                  <c:v>42035</c:v>
                </c:pt>
                <c:pt idx="41">
                  <c:v>42063</c:v>
                </c:pt>
                <c:pt idx="42">
                  <c:v>42094</c:v>
                </c:pt>
                <c:pt idx="43">
                  <c:v>42124</c:v>
                </c:pt>
                <c:pt idx="44">
                  <c:v>42155</c:v>
                </c:pt>
                <c:pt idx="45">
                  <c:v>42185</c:v>
                </c:pt>
                <c:pt idx="46">
                  <c:v>42216</c:v>
                </c:pt>
                <c:pt idx="47">
                  <c:v>42247</c:v>
                </c:pt>
                <c:pt idx="48">
                  <c:v>42277</c:v>
                </c:pt>
                <c:pt idx="49">
                  <c:v>42308</c:v>
                </c:pt>
                <c:pt idx="50">
                  <c:v>42338</c:v>
                </c:pt>
                <c:pt idx="51">
                  <c:v>42369</c:v>
                </c:pt>
                <c:pt idx="52">
                  <c:v>42400</c:v>
                </c:pt>
                <c:pt idx="53">
                  <c:v>42429</c:v>
                </c:pt>
                <c:pt idx="54">
                  <c:v>42460</c:v>
                </c:pt>
                <c:pt idx="55">
                  <c:v>42490</c:v>
                </c:pt>
                <c:pt idx="56">
                  <c:v>42521</c:v>
                </c:pt>
                <c:pt idx="57">
                  <c:v>42551</c:v>
                </c:pt>
                <c:pt idx="58">
                  <c:v>42582</c:v>
                </c:pt>
                <c:pt idx="59">
                  <c:v>42613</c:v>
                </c:pt>
                <c:pt idx="60">
                  <c:v>42643</c:v>
                </c:pt>
                <c:pt idx="61">
                  <c:v>42674</c:v>
                </c:pt>
                <c:pt idx="62">
                  <c:v>42704</c:v>
                </c:pt>
                <c:pt idx="63">
                  <c:v>42735</c:v>
                </c:pt>
                <c:pt idx="64">
                  <c:v>42766</c:v>
                </c:pt>
                <c:pt idx="65">
                  <c:v>42794</c:v>
                </c:pt>
                <c:pt idx="66">
                  <c:v>42825</c:v>
                </c:pt>
                <c:pt idx="67">
                  <c:v>42855</c:v>
                </c:pt>
                <c:pt idx="68">
                  <c:v>42886</c:v>
                </c:pt>
                <c:pt idx="69">
                  <c:v>42916</c:v>
                </c:pt>
                <c:pt idx="70">
                  <c:v>42947</c:v>
                </c:pt>
                <c:pt idx="71">
                  <c:v>42978</c:v>
                </c:pt>
                <c:pt idx="72">
                  <c:v>43008</c:v>
                </c:pt>
                <c:pt idx="73">
                  <c:v>43039</c:v>
                </c:pt>
                <c:pt idx="74">
                  <c:v>43069</c:v>
                </c:pt>
                <c:pt idx="75">
                  <c:v>43100</c:v>
                </c:pt>
                <c:pt idx="76">
                  <c:v>43131</c:v>
                </c:pt>
                <c:pt idx="77">
                  <c:v>43159</c:v>
                </c:pt>
                <c:pt idx="78">
                  <c:v>43190</c:v>
                </c:pt>
                <c:pt idx="79">
                  <c:v>43220</c:v>
                </c:pt>
                <c:pt idx="80">
                  <c:v>43251</c:v>
                </c:pt>
                <c:pt idx="81">
                  <c:v>43281</c:v>
                </c:pt>
                <c:pt idx="82">
                  <c:v>43312</c:v>
                </c:pt>
                <c:pt idx="83">
                  <c:v>43343</c:v>
                </c:pt>
                <c:pt idx="84">
                  <c:v>43373</c:v>
                </c:pt>
                <c:pt idx="85">
                  <c:v>43404</c:v>
                </c:pt>
                <c:pt idx="86">
                  <c:v>43434</c:v>
                </c:pt>
                <c:pt idx="87">
                  <c:v>43465</c:v>
                </c:pt>
                <c:pt idx="88">
                  <c:v>43496</c:v>
                </c:pt>
                <c:pt idx="89">
                  <c:v>43524</c:v>
                </c:pt>
              </c:numCache>
            </c:numRef>
          </c:cat>
          <c:val>
            <c:numRef>
              <c:f>まとめ!$W$32:$W$121</c:f>
              <c:numCache>
                <c:formatCode>0.0</c:formatCode>
                <c:ptCount val="90"/>
                <c:pt idx="1">
                  <c:v>149.59643744710473</c:v>
                </c:pt>
                <c:pt idx="2">
                  <c:v>105.78916887133776</c:v>
                </c:pt>
                <c:pt idx="3">
                  <c:v>91.336205715299513</c:v>
                </c:pt>
                <c:pt idx="4">
                  <c:v>79.769765367694404</c:v>
                </c:pt>
                <c:pt idx="5">
                  <c:v>71.19950141223363</c:v>
                </c:pt>
                <c:pt idx="6">
                  <c:v>116.49935067898349</c:v>
                </c:pt>
                <c:pt idx="7">
                  <c:v>168.14738231376629</c:v>
                </c:pt>
                <c:pt idx="8">
                  <c:v>173.52319340920027</c:v>
                </c:pt>
                <c:pt idx="9">
                  <c:v>158.20733623497193</c:v>
                </c:pt>
                <c:pt idx="10">
                  <c:v>131.4672193979136</c:v>
                </c:pt>
                <c:pt idx="11">
                  <c:v>117.43849141777746</c:v>
                </c:pt>
                <c:pt idx="12">
                  <c:v>104.17345899769629</c:v>
                </c:pt>
                <c:pt idx="13">
                  <c:v>83.509230216952204</c:v>
                </c:pt>
                <c:pt idx="14">
                  <c:v>59.379828973464768</c:v>
                </c:pt>
                <c:pt idx="15">
                  <c:v>51.571033629531904</c:v>
                </c:pt>
                <c:pt idx="16">
                  <c:v>45.320558927625122</c:v>
                </c:pt>
                <c:pt idx="17">
                  <c:v>40.745384509119177</c:v>
                </c:pt>
                <c:pt idx="18">
                  <c:v>67.100421541585334</c:v>
                </c:pt>
                <c:pt idx="19">
                  <c:v>97.492603139950802</c:v>
                </c:pt>
                <c:pt idx="20">
                  <c:v>101.31550057997043</c:v>
                </c:pt>
                <c:pt idx="21">
                  <c:v>93.01741262859494</c:v>
                </c:pt>
                <c:pt idx="22">
                  <c:v>77.868247992456219</c:v>
                </c:pt>
                <c:pt idx="23">
                  <c:v>70.081416355869507</c:v>
                </c:pt>
                <c:pt idx="24">
                  <c:v>62.631947953758804</c:v>
                </c:pt>
                <c:pt idx="25">
                  <c:v>50.615236959511492</c:v>
                </c:pt>
                <c:pt idx="26">
                  <c:v>36.269273200522235</c:v>
                </c:pt>
                <c:pt idx="27">
                  <c:v>31.773056333568611</c:v>
                </c:pt>
                <c:pt idx="28">
                  <c:v>28.163868877989181</c:v>
                </c:pt>
                <c:pt idx="29">
                  <c:v>25.520692495084443</c:v>
                </c:pt>
                <c:pt idx="30">
                  <c:v>42.419058605946979</c:v>
                </c:pt>
                <c:pt idx="31">
                  <c:v>62.162002807103512</c:v>
                </c:pt>
                <c:pt idx="32">
                  <c:v>65.210354070894155</c:v>
                </c:pt>
                <c:pt idx="33">
                  <c:v>60.403937021251522</c:v>
                </c:pt>
                <c:pt idx="34">
                  <c:v>51.062540608512442</c:v>
                </c:pt>
                <c:pt idx="35">
                  <c:v>46.398154478599153</c:v>
                </c:pt>
                <c:pt idx="36">
                  <c:v>41.855119557890568</c:v>
                </c:pt>
                <c:pt idx="37">
                  <c:v>34.164171936166966</c:v>
                </c:pt>
                <c:pt idx="38">
                  <c:v>24.715317921419459</c:v>
                </c:pt>
                <c:pt idx="39">
                  <c:v>21.872416754856498</c:v>
                </c:pt>
                <c:pt idx="40">
                  <c:v>19.582535919756165</c:v>
                </c:pt>
                <c:pt idx="41">
                  <c:v>17.899969212622338</c:v>
                </c:pt>
                <c:pt idx="42">
                  <c:v>30.059864201165034</c:v>
                </c:pt>
                <c:pt idx="43">
                  <c:v>44.481487418035478</c:v>
                </c:pt>
                <c:pt idx="44">
                  <c:v>47.138867606572958</c:v>
                </c:pt>
                <c:pt idx="45">
                  <c:v>44.081102944314438</c:v>
                </c:pt>
                <c:pt idx="46">
                  <c:v>37.642764234774027</c:v>
                </c:pt>
                <c:pt idx="47">
                  <c:v>34.54613853064928</c:v>
                </c:pt>
                <c:pt idx="48">
                  <c:v>31.454936907255384</c:v>
                </c:pt>
                <c:pt idx="49">
                  <c:v>25.924972001720867</c:v>
                </c:pt>
                <c:pt idx="50">
                  <c:v>18.930205055726546</c:v>
                </c:pt>
                <c:pt idx="51">
                  <c:v>16.911381823268702</c:v>
                </c:pt>
                <c:pt idx="52">
                  <c:v>15.279359505900684</c:v>
                </c:pt>
                <c:pt idx="53">
                  <c:v>14.075774549970628</c:v>
                </c:pt>
                <c:pt idx="54">
                  <c:v>23.862044994914307</c:v>
                </c:pt>
                <c:pt idx="55">
                  <c:v>35.609688807684385</c:v>
                </c:pt>
                <c:pt idx="56">
                  <c:v>38.062600220874153</c:v>
                </c:pt>
                <c:pt idx="57">
                  <c:v>35.890869312144567</c:v>
                </c:pt>
                <c:pt idx="58">
                  <c:v>30.903233306114473</c:v>
                </c:pt>
                <c:pt idx="59">
                  <c:v>28.596015078295345</c:v>
                </c:pt>
                <c:pt idx="60">
                  <c:v>26.234432225666541</c:v>
                </c:pt>
                <c:pt idx="61">
                  <c:v>21.792536696461845</c:v>
                </c:pt>
                <c:pt idx="62">
                  <c:v>16.024396608548511</c:v>
                </c:pt>
                <c:pt idx="63">
                  <c:v>14.419732199326743</c:v>
                </c:pt>
                <c:pt idx="64">
                  <c:v>13.122586741297393</c:v>
                </c:pt>
                <c:pt idx="65">
                  <c:v>12.166203502223041</c:v>
                </c:pt>
                <c:pt idx="66">
                  <c:v>20.760725016583208</c:v>
                </c:pt>
                <c:pt idx="67">
                  <c:v>31.171763765936113</c:v>
                </c:pt>
                <c:pt idx="68">
                  <c:v>33.535111658962172</c:v>
                </c:pt>
                <c:pt idx="69">
                  <c:v>31.799302472678331</c:v>
                </c:pt>
                <c:pt idx="70">
                  <c:v>27.536712901402144</c:v>
                </c:pt>
                <c:pt idx="71">
                  <c:v>25.614022011677246</c:v>
                </c:pt>
                <c:pt idx="72">
                  <c:v>23.620325486820789</c:v>
                </c:pt>
                <c:pt idx="73">
                  <c:v>19.720704279188467</c:v>
                </c:pt>
                <c:pt idx="74">
                  <c:v>14.569599662283437</c:v>
                </c:pt>
                <c:pt idx="75">
                  <c:v>13.173613225826855</c:v>
                </c:pt>
                <c:pt idx="76">
                  <c:v>12.0435152308174</c:v>
                </c:pt>
                <c:pt idx="77">
                  <c:v>11.208670409499838</c:v>
                </c:pt>
                <c:pt idx="78">
                  <c:v>15.037267804305204</c:v>
                </c:pt>
                <c:pt idx="79">
                  <c:v>50.987581931694137</c:v>
                </c:pt>
                <c:pt idx="80">
                  <c:v>17.427821607096142</c:v>
                </c:pt>
                <c:pt idx="81">
                  <c:v>31.367452843697389</c:v>
                </c:pt>
                <c:pt idx="82">
                  <c:v>25.284669207221253</c:v>
                </c:pt>
                <c:pt idx="83">
                  <c:v>29.314630561310896</c:v>
                </c:pt>
                <c:pt idx="84">
                  <c:v>42.84157203992072</c:v>
                </c:pt>
                <c:pt idx="85">
                  <c:v>35.880801129981037</c:v>
                </c:pt>
                <c:pt idx="86">
                  <c:v>26.564032768843052</c:v>
                </c:pt>
                <c:pt idx="87">
                  <c:v>24.074340367547336</c:v>
                </c:pt>
                <c:pt idx="88">
                  <c:v>22.059883030374404</c:v>
                </c:pt>
                <c:pt idx="89">
                  <c:v>6.9655831270896407</c:v>
                </c:pt>
              </c:numCache>
            </c:numRef>
          </c:val>
          <c:smooth val="0"/>
        </c:ser>
        <c:dLbls>
          <c:showLegendKey val="0"/>
          <c:showVal val="0"/>
          <c:showCatName val="0"/>
          <c:showSerName val="0"/>
          <c:showPercent val="0"/>
          <c:showBubbleSize val="0"/>
        </c:dLbls>
        <c:marker val="1"/>
        <c:smooth val="0"/>
        <c:axId val="193585152"/>
        <c:axId val="193587840"/>
      </c:lineChart>
      <c:dateAx>
        <c:axId val="193585152"/>
        <c:scaling>
          <c:orientation val="minMax"/>
        </c:scaling>
        <c:delete val="0"/>
        <c:axPos val="b"/>
        <c:majorGridlines>
          <c:spPr>
            <a:ln w="3175">
              <a:solidFill>
                <a:sysClr val="window" lastClr="FFFFFF">
                  <a:lumMod val="85000"/>
                </a:sysClr>
              </a:solidFill>
              <a:prstDash val="solid"/>
            </a:ln>
          </c:spPr>
        </c:majorGridlines>
        <c:numFmt formatCode="[$-411]ge\.m" sourceLinked="0"/>
        <c:majorTickMark val="in"/>
        <c:minorTickMark val="none"/>
        <c:tickLblPos val="nextTo"/>
        <c:spPr>
          <a:ln w="3175">
            <a:solidFill>
              <a:srgbClr val="000000"/>
            </a:solidFill>
            <a:prstDash val="solid"/>
          </a:ln>
        </c:spPr>
        <c:txPr>
          <a:bodyPr rot="-5400000" vert="horz"/>
          <a:lstStyle/>
          <a:p>
            <a:pPr>
              <a:defRPr sz="800" b="0" i="0" u="none" strike="noStrike" baseline="0">
                <a:solidFill>
                  <a:srgbClr val="000000"/>
                </a:solidFill>
                <a:latin typeface="Meiryo UI"/>
                <a:ea typeface="Meiryo UI"/>
                <a:cs typeface="Meiryo UI"/>
              </a:defRPr>
            </a:pPr>
            <a:endParaRPr lang="ja-JP"/>
          </a:p>
        </c:txPr>
        <c:crossAx val="193587840"/>
        <c:crossesAt val="1E-3"/>
        <c:auto val="0"/>
        <c:lblOffset val="100"/>
        <c:baseTimeUnit val="days"/>
        <c:majorUnit val="6"/>
        <c:majorTimeUnit val="months"/>
        <c:minorUnit val="2"/>
      </c:dateAx>
      <c:valAx>
        <c:axId val="193587840"/>
        <c:scaling>
          <c:orientation val="minMax"/>
        </c:scaling>
        <c:delete val="0"/>
        <c:axPos val="l"/>
        <c:majorGridlines>
          <c:spPr>
            <a:ln w="3175">
              <a:solidFill>
                <a:sysClr val="window" lastClr="FFFFFF">
                  <a:lumMod val="85000"/>
                </a:sysClr>
              </a:solidFill>
              <a:prstDash val="solid"/>
            </a:ln>
          </c:spPr>
        </c:majorGridlines>
        <c:title>
          <c:tx>
            <c:rich>
              <a:bodyPr rot="0" vert="horz"/>
              <a:lstStyle/>
              <a:p>
                <a:pPr>
                  <a:defRPr sz="900"/>
                </a:pPr>
                <a:r>
                  <a:rPr lang="en-US" altLang="ja-JP" sz="900">
                    <a:latin typeface="Meiryo UI" panose="020B0604030504040204" pitchFamily="50" charset="-128"/>
                    <a:ea typeface="Meiryo UI" panose="020B0604030504040204" pitchFamily="50" charset="-128"/>
                  </a:rPr>
                  <a:t>Bq/kg</a:t>
                </a:r>
                <a:endParaRPr lang="ja-JP" altLang="en-US" sz="900">
                  <a:latin typeface="Meiryo UI" panose="020B0604030504040204" pitchFamily="50" charset="-128"/>
                  <a:ea typeface="Meiryo UI" panose="020B0604030504040204" pitchFamily="50" charset="-128"/>
                </a:endParaRPr>
              </a:p>
            </c:rich>
          </c:tx>
          <c:layout>
            <c:manualLayout>
              <c:xMode val="edge"/>
              <c:yMode val="edge"/>
              <c:x val="1.0081913563071301E-2"/>
              <c:y val="0.455167362883311"/>
            </c:manualLayout>
          </c:layout>
          <c:overlay val="0"/>
        </c:title>
        <c:numFmt formatCode="General" sourceLinked="0"/>
        <c:majorTickMark val="in"/>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Meiryo UI"/>
                <a:ea typeface="Meiryo UI"/>
                <a:cs typeface="Meiryo UI"/>
              </a:defRPr>
            </a:pPr>
            <a:endParaRPr lang="ja-JP"/>
          </a:p>
        </c:txPr>
        <c:crossAx val="193585152"/>
        <c:crosses val="autoZero"/>
        <c:crossBetween val="midCat"/>
      </c:valAx>
      <c:spPr>
        <a:solidFill>
          <a:srgbClr val="FFFFFF"/>
        </a:solidFill>
        <a:ln w="12700">
          <a:solidFill>
            <a:srgbClr val="808080"/>
          </a:solidFill>
          <a:prstDash val="solid"/>
        </a:ln>
      </c:spPr>
    </c:plotArea>
    <c:legend>
      <c:legendPos val="r"/>
      <c:layout>
        <c:manualLayout>
          <c:xMode val="edge"/>
          <c:yMode val="edge"/>
          <c:x val="0.26961955513136615"/>
          <c:y val="0.12166120656812317"/>
          <c:w val="0.61638502257924832"/>
          <c:h val="0.15607391873870524"/>
        </c:manualLayout>
      </c:layout>
      <c:overlay val="0"/>
      <c:spPr>
        <a:noFill/>
      </c:spPr>
      <c:txPr>
        <a:bodyPr/>
        <a:lstStyle/>
        <a:p>
          <a:pPr>
            <a:defRPr sz="1000">
              <a:latin typeface="Meiryo UI" panose="020B0604030504040204" pitchFamily="50" charset="-128"/>
              <a:ea typeface="Meiryo UI" panose="020B0604030504040204" pitchFamily="50" charset="-128"/>
            </a:defRPr>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1100" b="0" i="0" u="none" strike="noStrike" baseline="0">
          <a:solidFill>
            <a:srgbClr val="000000"/>
          </a:solidFill>
          <a:latin typeface="明朝"/>
          <a:ea typeface="明朝"/>
          <a:cs typeface="明朝"/>
        </a:defRPr>
      </a:pPr>
      <a:endParaRPr lang="ja-JP"/>
    </a:p>
  </c:txPr>
  <c:printSettings>
    <c:headerFooter alignWithMargins="0"/>
    <c:pageMargins b="1" l="0.75" r="0.75" t="1" header="0.51200000000000001" footer="0.51200000000000001"/>
    <c:pageSetup paperSize="9" orientation="landscape" horizontalDpi="200" verticalDpi="200"/>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0.18758699517399036"/>
          <c:y val="3.439763779527559E-2"/>
          <c:w val="0.82910673665791768"/>
          <c:h val="0.81614391951006127"/>
        </c:manualLayout>
      </c:layout>
      <c:lineChart>
        <c:grouping val="standard"/>
        <c:varyColors val="0"/>
        <c:ser>
          <c:idx val="1"/>
          <c:order val="0"/>
          <c:tx>
            <c:strRef>
              <c:f>まとめ!$X$7</c:f>
              <c:strCache>
                <c:ptCount val="1"/>
                <c:pt idx="0">
                  <c:v>焼却 t/年</c:v>
                </c:pt>
              </c:strCache>
            </c:strRef>
          </c:tx>
          <c:spPr>
            <a:ln w="12700">
              <a:solidFill>
                <a:srgbClr val="CC00FF"/>
              </a:solidFill>
              <a:prstDash val="solid"/>
            </a:ln>
          </c:spPr>
          <c:marker>
            <c:symbol val="square"/>
            <c:size val="5"/>
          </c:marker>
          <c:trendline>
            <c:trendlineType val="poly"/>
            <c:order val="2"/>
            <c:dispRSqr val="0"/>
            <c:dispEq val="1"/>
            <c:trendlineLbl>
              <c:layout>
                <c:manualLayout>
                  <c:x val="-3.7111198204296861E-3"/>
                  <c:y val="0.299705798138869"/>
                </c:manualLayout>
              </c:layout>
              <c:numFmt formatCode="General" sourceLinked="0"/>
              <c:txPr>
                <a:bodyPr/>
                <a:lstStyle/>
                <a:p>
                  <a:pPr>
                    <a:defRPr sz="1050"/>
                  </a:pPr>
                  <a:endParaRPr lang="ja-JP"/>
                </a:p>
              </c:txPr>
            </c:trendlineLbl>
          </c:trendline>
          <c:cat>
            <c:numRef>
              <c:f>まとめ!$W$8:$W$15</c:f>
              <c:numCache>
                <c:formatCode>General</c:formatCode>
                <c:ptCount val="8"/>
                <c:pt idx="0">
                  <c:v>2011</c:v>
                </c:pt>
                <c:pt idx="1">
                  <c:v>2012</c:v>
                </c:pt>
                <c:pt idx="2">
                  <c:v>2013</c:v>
                </c:pt>
                <c:pt idx="3">
                  <c:v>2014</c:v>
                </c:pt>
                <c:pt idx="4">
                  <c:v>2015</c:v>
                </c:pt>
                <c:pt idx="5">
                  <c:v>2016</c:v>
                </c:pt>
                <c:pt idx="6">
                  <c:v>2017</c:v>
                </c:pt>
                <c:pt idx="7">
                  <c:v>2018</c:v>
                </c:pt>
              </c:numCache>
            </c:numRef>
          </c:cat>
          <c:val>
            <c:numRef>
              <c:f>まとめ!$X$8:$X$15</c:f>
              <c:numCache>
                <c:formatCode>General</c:formatCode>
                <c:ptCount val="8"/>
                <c:pt idx="0">
                  <c:v>12463</c:v>
                </c:pt>
                <c:pt idx="1">
                  <c:v>12956</c:v>
                </c:pt>
                <c:pt idx="2">
                  <c:v>12868</c:v>
                </c:pt>
                <c:pt idx="3">
                  <c:v>13563</c:v>
                </c:pt>
                <c:pt idx="4">
                  <c:v>13695</c:v>
                </c:pt>
                <c:pt idx="5">
                  <c:v>13314</c:v>
                </c:pt>
                <c:pt idx="6">
                  <c:v>13196</c:v>
                </c:pt>
                <c:pt idx="7" formatCode="0">
                  <c:v>12880.4</c:v>
                </c:pt>
              </c:numCache>
            </c:numRef>
          </c:val>
          <c:smooth val="0"/>
        </c:ser>
        <c:dLbls>
          <c:showLegendKey val="0"/>
          <c:showVal val="0"/>
          <c:showCatName val="0"/>
          <c:showSerName val="0"/>
          <c:showPercent val="0"/>
          <c:showBubbleSize val="0"/>
        </c:dLbls>
        <c:marker val="1"/>
        <c:smooth val="0"/>
        <c:axId val="134778880"/>
        <c:axId val="134780416"/>
      </c:lineChart>
      <c:catAx>
        <c:axId val="134778880"/>
        <c:scaling>
          <c:orientation val="minMax"/>
        </c:scaling>
        <c:delete val="0"/>
        <c:axPos val="b"/>
        <c:numFmt formatCode="General" sourceLinked="0"/>
        <c:majorTickMark val="in"/>
        <c:minorTickMark val="in"/>
        <c:tickLblPos val="nextTo"/>
        <c:txPr>
          <a:bodyPr rot="-5400000" vert="horz"/>
          <a:lstStyle/>
          <a:p>
            <a:pPr>
              <a:defRPr sz="1000"/>
            </a:pPr>
            <a:endParaRPr lang="ja-JP"/>
          </a:p>
        </c:txPr>
        <c:crossAx val="134780416"/>
        <c:crosses val="autoZero"/>
        <c:auto val="0"/>
        <c:lblAlgn val="ctr"/>
        <c:lblOffset val="5"/>
        <c:noMultiLvlLbl val="0"/>
      </c:catAx>
      <c:valAx>
        <c:axId val="134780416"/>
        <c:scaling>
          <c:orientation val="minMax"/>
          <c:min val="10000"/>
        </c:scaling>
        <c:delete val="0"/>
        <c:axPos val="l"/>
        <c:majorGridlines/>
        <c:numFmt formatCode="General" sourceLinked="0"/>
        <c:majorTickMark val="none"/>
        <c:minorTickMark val="none"/>
        <c:tickLblPos val="nextTo"/>
        <c:txPr>
          <a:bodyPr/>
          <a:lstStyle/>
          <a:p>
            <a:pPr>
              <a:defRPr sz="900"/>
            </a:pPr>
            <a:endParaRPr lang="ja-JP"/>
          </a:p>
        </c:txPr>
        <c:crossAx val="134778880"/>
        <c:crosses val="autoZero"/>
        <c:crossBetween val="between"/>
      </c:valAx>
    </c:plotArea>
    <c:legend>
      <c:legendPos val="t"/>
      <c:layout>
        <c:manualLayout>
          <c:xMode val="edge"/>
          <c:yMode val="edge"/>
          <c:x val="0.54377062030142165"/>
          <c:y val="0.29455583392984969"/>
          <c:w val="0.45430784861569723"/>
          <c:h val="0.11093342877594846"/>
        </c:manualLayout>
      </c:layout>
      <c:overlay val="1"/>
      <c:spPr>
        <a:solidFill>
          <a:sysClr val="window" lastClr="FFFFFF"/>
        </a:solidFill>
      </c:spPr>
      <c:txPr>
        <a:bodyPr/>
        <a:lstStyle/>
        <a:p>
          <a:pPr>
            <a:defRPr sz="1200"/>
          </a:pPr>
          <a:endParaRPr lang="ja-JP"/>
        </a:p>
      </c:txPr>
    </c:legend>
    <c:plotVisOnly val="1"/>
    <c:dispBlanksAs val="gap"/>
    <c:showDLblsOverMax val="0"/>
  </c:chart>
  <c:txPr>
    <a:bodyPr/>
    <a:lstStyle/>
    <a:p>
      <a:pPr>
        <a:defRPr sz="900">
          <a:solidFill>
            <a:sysClr val="windowText" lastClr="000000"/>
          </a:solidFill>
          <a:latin typeface="Meiryo UI" panose="020B0604030504040204" pitchFamily="50" charset="-128"/>
          <a:ea typeface="Meiryo UI" panose="020B0604030504040204" pitchFamily="50" charset="-128"/>
          <a:cs typeface="Meiryo UI" panose="020B0604030504040204" pitchFamily="50" charset="-128"/>
        </a:defRPr>
      </a:pPr>
      <a:endParaRPr lang="ja-JP"/>
    </a:p>
  </c:txPr>
  <c:printSettings>
    <c:headerFooter/>
    <c:pageMargins b="0.75" l="0.7" r="0.7" t="0.75" header="0.3" footer="0.3"/>
    <c:pageSetup/>
  </c:printSettings>
  <c:userShapes r:id="rId2"/>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0"/>
    <c:plotArea>
      <c:layout>
        <c:manualLayout>
          <c:layoutTarget val="inner"/>
          <c:xMode val="edge"/>
          <c:yMode val="edge"/>
          <c:x val="0.10791361680844573"/>
          <c:y val="5.2000723525951094E-2"/>
          <c:w val="0.95066327003242246"/>
          <c:h val="0.82683512899825828"/>
        </c:manualLayout>
      </c:layout>
      <c:areaChart>
        <c:grouping val="stacked"/>
        <c:varyColors val="0"/>
        <c:ser>
          <c:idx val="0"/>
          <c:order val="0"/>
          <c:tx>
            <c:strRef>
              <c:f>集計表!$S$81</c:f>
              <c:strCache>
                <c:ptCount val="1"/>
                <c:pt idx="0">
                  <c:v>稲わら焼却量(kg)</c:v>
                </c:pt>
              </c:strCache>
            </c:strRef>
          </c:tx>
          <c:spPr>
            <a:pattFill prst="ltDnDiag">
              <a:fgClr>
                <a:sysClr val="window" lastClr="FFFFFF">
                  <a:lumMod val="85000"/>
                </a:sysClr>
              </a:fgClr>
              <a:bgClr>
                <a:sysClr val="window" lastClr="FFFFFF">
                  <a:lumMod val="95000"/>
                </a:sysClr>
              </a:bgClr>
            </a:pattFill>
            <a:ln w="0">
              <a:solidFill>
                <a:srgbClr val="0000FF"/>
              </a:solidFill>
              <a:prstDash val="solid"/>
            </a:ln>
          </c:spPr>
          <c:cat>
            <c:strRef>
              <c:f>集計表!$O$93:$O$265</c:f>
              <c:strCache>
                <c:ptCount val="169"/>
                <c:pt idx="0">
                  <c:v>H30.5.26</c:v>
                </c:pt>
                <c:pt idx="1">
                  <c:v>H30.5.28</c:v>
                </c:pt>
                <c:pt idx="2">
                  <c:v>H30.5.29</c:v>
                </c:pt>
                <c:pt idx="3">
                  <c:v>H30.5.30</c:v>
                </c:pt>
                <c:pt idx="4">
                  <c:v>H30.5.31</c:v>
                </c:pt>
                <c:pt idx="5">
                  <c:v>H30.6.1</c:v>
                </c:pt>
                <c:pt idx="6">
                  <c:v>H30.6.2</c:v>
                </c:pt>
                <c:pt idx="7">
                  <c:v>H30.6.3</c:v>
                </c:pt>
                <c:pt idx="8">
                  <c:v>H30.6.4</c:v>
                </c:pt>
                <c:pt idx="9">
                  <c:v>H30.6.5</c:v>
                </c:pt>
                <c:pt idx="10">
                  <c:v>H30.6.6</c:v>
                </c:pt>
                <c:pt idx="11">
                  <c:v>H30.6.7</c:v>
                </c:pt>
                <c:pt idx="12">
                  <c:v>H30.6.8</c:v>
                </c:pt>
                <c:pt idx="13">
                  <c:v>H30.6.9</c:v>
                </c:pt>
                <c:pt idx="14">
                  <c:v>H30.6.10</c:v>
                </c:pt>
                <c:pt idx="15">
                  <c:v>H30.6.11</c:v>
                </c:pt>
                <c:pt idx="16">
                  <c:v>H30.6.13</c:v>
                </c:pt>
                <c:pt idx="17">
                  <c:v>H30.6.18</c:v>
                </c:pt>
                <c:pt idx="18">
                  <c:v>H30.6.19</c:v>
                </c:pt>
                <c:pt idx="19">
                  <c:v>H30.6.20</c:v>
                </c:pt>
                <c:pt idx="20">
                  <c:v>H30.6.21</c:v>
                </c:pt>
                <c:pt idx="21">
                  <c:v>H30.6.22</c:v>
                </c:pt>
                <c:pt idx="22">
                  <c:v>H30.6.23</c:v>
                </c:pt>
                <c:pt idx="23">
                  <c:v>H30.6.25</c:v>
                </c:pt>
                <c:pt idx="24">
                  <c:v>H30.6.26</c:v>
                </c:pt>
                <c:pt idx="25">
                  <c:v>H30.6.27</c:v>
                </c:pt>
                <c:pt idx="26">
                  <c:v>H30.6.28</c:v>
                </c:pt>
                <c:pt idx="27">
                  <c:v>H30.6.29</c:v>
                </c:pt>
                <c:pt idx="28">
                  <c:v>H30.7.2</c:v>
                </c:pt>
                <c:pt idx="29">
                  <c:v>H30.7.3</c:v>
                </c:pt>
                <c:pt idx="30">
                  <c:v>H30.7.4</c:v>
                </c:pt>
                <c:pt idx="31">
                  <c:v>H30.7.5</c:v>
                </c:pt>
                <c:pt idx="32">
                  <c:v>H30.7.6</c:v>
                </c:pt>
                <c:pt idx="33">
                  <c:v>H30.7.9</c:v>
                </c:pt>
                <c:pt idx="34">
                  <c:v>H30.7.10</c:v>
                </c:pt>
                <c:pt idx="35">
                  <c:v>H30.7.11</c:v>
                </c:pt>
                <c:pt idx="36">
                  <c:v>H30.7.12</c:v>
                </c:pt>
                <c:pt idx="37">
                  <c:v>H30.7.13</c:v>
                </c:pt>
                <c:pt idx="38">
                  <c:v>H30.7.16</c:v>
                </c:pt>
                <c:pt idx="39">
                  <c:v>H30.7.17</c:v>
                </c:pt>
                <c:pt idx="40">
                  <c:v>H30.7.18</c:v>
                </c:pt>
                <c:pt idx="41">
                  <c:v>H30.7.19</c:v>
                </c:pt>
                <c:pt idx="42">
                  <c:v>H30.7.20</c:v>
                </c:pt>
                <c:pt idx="43">
                  <c:v>H30.7.23</c:v>
                </c:pt>
                <c:pt idx="44">
                  <c:v>H30.7.24</c:v>
                </c:pt>
                <c:pt idx="45">
                  <c:v>H30.7.25</c:v>
                </c:pt>
                <c:pt idx="46">
                  <c:v>H30.7.26</c:v>
                </c:pt>
                <c:pt idx="47">
                  <c:v>H30.7.27</c:v>
                </c:pt>
                <c:pt idx="48">
                  <c:v>H30.7.28</c:v>
                </c:pt>
                <c:pt idx="49">
                  <c:v>H30.7.30</c:v>
                </c:pt>
                <c:pt idx="50">
                  <c:v>H30.7.31</c:v>
                </c:pt>
                <c:pt idx="51">
                  <c:v>H30.8.1</c:v>
                </c:pt>
                <c:pt idx="52">
                  <c:v>H30.8.2</c:v>
                </c:pt>
                <c:pt idx="53">
                  <c:v>H30.8.3</c:v>
                </c:pt>
                <c:pt idx="54">
                  <c:v>H30.8.6</c:v>
                </c:pt>
                <c:pt idx="55">
                  <c:v>H30.8.7</c:v>
                </c:pt>
                <c:pt idx="56">
                  <c:v>H30.8.8</c:v>
                </c:pt>
                <c:pt idx="57">
                  <c:v>H30.8.9</c:v>
                </c:pt>
                <c:pt idx="58">
                  <c:v>H30.8.10</c:v>
                </c:pt>
                <c:pt idx="59">
                  <c:v>H30.8.13</c:v>
                </c:pt>
                <c:pt idx="60">
                  <c:v>H30.8.14</c:v>
                </c:pt>
                <c:pt idx="61">
                  <c:v>H30.8.15</c:v>
                </c:pt>
                <c:pt idx="62">
                  <c:v>H30.8.16</c:v>
                </c:pt>
                <c:pt idx="63">
                  <c:v>H30.8.17</c:v>
                </c:pt>
                <c:pt idx="64">
                  <c:v>H30.8.20</c:v>
                </c:pt>
                <c:pt idx="65">
                  <c:v>H30.8.21</c:v>
                </c:pt>
                <c:pt idx="66">
                  <c:v>H30.8.22</c:v>
                </c:pt>
                <c:pt idx="67">
                  <c:v>H30.8.23</c:v>
                </c:pt>
                <c:pt idx="68">
                  <c:v>H30.8.24</c:v>
                </c:pt>
                <c:pt idx="69">
                  <c:v>H30.8.25</c:v>
                </c:pt>
                <c:pt idx="70">
                  <c:v>H30.8.27</c:v>
                </c:pt>
                <c:pt idx="71">
                  <c:v>H30.8.28</c:v>
                </c:pt>
                <c:pt idx="72">
                  <c:v>H30.8.29</c:v>
                </c:pt>
                <c:pt idx="73">
                  <c:v>H30.8.30</c:v>
                </c:pt>
                <c:pt idx="74">
                  <c:v>H30.8.31</c:v>
                </c:pt>
                <c:pt idx="75">
                  <c:v>H30.9.3</c:v>
                </c:pt>
                <c:pt idx="76">
                  <c:v>H30.9.4</c:v>
                </c:pt>
                <c:pt idx="77">
                  <c:v>H30.9.5</c:v>
                </c:pt>
                <c:pt idx="78">
                  <c:v>H30.9.6</c:v>
                </c:pt>
                <c:pt idx="79">
                  <c:v>H30.9.7</c:v>
                </c:pt>
                <c:pt idx="80">
                  <c:v>H30.9.10</c:v>
                </c:pt>
                <c:pt idx="81">
                  <c:v>H30.9.11</c:v>
                </c:pt>
                <c:pt idx="82">
                  <c:v>H30.9.12</c:v>
                </c:pt>
                <c:pt idx="83">
                  <c:v>H30.9.13</c:v>
                </c:pt>
                <c:pt idx="84">
                  <c:v>H30.9.14</c:v>
                </c:pt>
                <c:pt idx="85">
                  <c:v>H30.9.17</c:v>
                </c:pt>
                <c:pt idx="86">
                  <c:v>H30.9.18</c:v>
                </c:pt>
                <c:pt idx="87">
                  <c:v>H30.9.19</c:v>
                </c:pt>
                <c:pt idx="88">
                  <c:v>H30.9.20</c:v>
                </c:pt>
                <c:pt idx="89">
                  <c:v>H30.9.21</c:v>
                </c:pt>
                <c:pt idx="90">
                  <c:v>H30.9.22</c:v>
                </c:pt>
                <c:pt idx="91">
                  <c:v>H30.9.24</c:v>
                </c:pt>
                <c:pt idx="92">
                  <c:v>H30.9.25</c:v>
                </c:pt>
                <c:pt idx="93">
                  <c:v>H30.9.26</c:v>
                </c:pt>
                <c:pt idx="94">
                  <c:v>H30.9.27</c:v>
                </c:pt>
                <c:pt idx="95">
                  <c:v>H30.9.28</c:v>
                </c:pt>
                <c:pt idx="96">
                  <c:v>H30.10.1</c:v>
                </c:pt>
                <c:pt idx="97">
                  <c:v>H30.10.2</c:v>
                </c:pt>
                <c:pt idx="98">
                  <c:v>H30.10.3</c:v>
                </c:pt>
                <c:pt idx="99">
                  <c:v>H30.10.4</c:v>
                </c:pt>
                <c:pt idx="100">
                  <c:v>H30.10.5</c:v>
                </c:pt>
                <c:pt idx="101">
                  <c:v>H30.10.8</c:v>
                </c:pt>
                <c:pt idx="102">
                  <c:v>H30.10.9</c:v>
                </c:pt>
                <c:pt idx="103">
                  <c:v>H30.10.10</c:v>
                </c:pt>
                <c:pt idx="104">
                  <c:v>H30.10.11</c:v>
                </c:pt>
                <c:pt idx="105">
                  <c:v>H30.10.12</c:v>
                </c:pt>
                <c:pt idx="106">
                  <c:v>H30.10.15</c:v>
                </c:pt>
                <c:pt idx="107">
                  <c:v>H30.10.16</c:v>
                </c:pt>
                <c:pt idx="108">
                  <c:v>H30.10.17</c:v>
                </c:pt>
                <c:pt idx="109">
                  <c:v>H30.10.18</c:v>
                </c:pt>
                <c:pt idx="110">
                  <c:v>H30.10.19</c:v>
                </c:pt>
                <c:pt idx="111">
                  <c:v>H30.10.20</c:v>
                </c:pt>
                <c:pt idx="112">
                  <c:v>H30.10.22</c:v>
                </c:pt>
                <c:pt idx="113">
                  <c:v>H30.10.23</c:v>
                </c:pt>
                <c:pt idx="114">
                  <c:v>H30.10.24</c:v>
                </c:pt>
                <c:pt idx="115">
                  <c:v>H30.10.25</c:v>
                </c:pt>
                <c:pt idx="116">
                  <c:v>H30.10.26</c:v>
                </c:pt>
                <c:pt idx="117">
                  <c:v>H30.10.27</c:v>
                </c:pt>
                <c:pt idx="118">
                  <c:v>H30.10.29</c:v>
                </c:pt>
                <c:pt idx="119">
                  <c:v>H30.10.30</c:v>
                </c:pt>
                <c:pt idx="120">
                  <c:v>H30.10.31</c:v>
                </c:pt>
                <c:pt idx="121">
                  <c:v>H30.11.1</c:v>
                </c:pt>
                <c:pt idx="122">
                  <c:v>H30.11.2</c:v>
                </c:pt>
                <c:pt idx="123">
                  <c:v>H30.11.5</c:v>
                </c:pt>
                <c:pt idx="124">
                  <c:v>H30.11.6</c:v>
                </c:pt>
                <c:pt idx="125">
                  <c:v>H30.11.7</c:v>
                </c:pt>
                <c:pt idx="126">
                  <c:v>H30.11.8</c:v>
                </c:pt>
                <c:pt idx="127">
                  <c:v>H30.11.9</c:v>
                </c:pt>
                <c:pt idx="128">
                  <c:v>H30.11.12</c:v>
                </c:pt>
                <c:pt idx="129">
                  <c:v>H30.11.13</c:v>
                </c:pt>
                <c:pt idx="130">
                  <c:v>H30.11.14</c:v>
                </c:pt>
                <c:pt idx="131">
                  <c:v>H30.11.15</c:v>
                </c:pt>
                <c:pt idx="132">
                  <c:v>H30.11.16</c:v>
                </c:pt>
                <c:pt idx="133">
                  <c:v>H30.11.19</c:v>
                </c:pt>
                <c:pt idx="134">
                  <c:v>H30.11.20</c:v>
                </c:pt>
                <c:pt idx="135">
                  <c:v>H30.11.21</c:v>
                </c:pt>
                <c:pt idx="136">
                  <c:v>H30.11.22</c:v>
                </c:pt>
                <c:pt idx="137">
                  <c:v>H30.11.23</c:v>
                </c:pt>
                <c:pt idx="138">
                  <c:v>H30.11.26</c:v>
                </c:pt>
                <c:pt idx="139">
                  <c:v>H30.11.29</c:v>
                </c:pt>
                <c:pt idx="140">
                  <c:v>H30.12.3</c:v>
                </c:pt>
                <c:pt idx="141">
                  <c:v>H30.12.5</c:v>
                </c:pt>
                <c:pt idx="142">
                  <c:v>H30.12.6</c:v>
                </c:pt>
                <c:pt idx="143">
                  <c:v>H30.12.10</c:v>
                </c:pt>
                <c:pt idx="144">
                  <c:v>H30.12.13</c:v>
                </c:pt>
                <c:pt idx="145">
                  <c:v>H30.12.17</c:v>
                </c:pt>
                <c:pt idx="146">
                  <c:v>H30.12.20</c:v>
                </c:pt>
                <c:pt idx="147">
                  <c:v>H30.12.24</c:v>
                </c:pt>
                <c:pt idx="148">
                  <c:v>H30.12.27</c:v>
                </c:pt>
                <c:pt idx="149">
                  <c:v>H31.1.7</c:v>
                </c:pt>
                <c:pt idx="150">
                  <c:v>H31.1.10</c:v>
                </c:pt>
                <c:pt idx="151">
                  <c:v>H31.1.17</c:v>
                </c:pt>
                <c:pt idx="152">
                  <c:v>H31.1.24</c:v>
                </c:pt>
                <c:pt idx="153">
                  <c:v>H31.1.31</c:v>
                </c:pt>
                <c:pt idx="154">
                  <c:v>H31.2.5</c:v>
                </c:pt>
                <c:pt idx="155">
                  <c:v>H31.2.7</c:v>
                </c:pt>
                <c:pt idx="156">
                  <c:v>H31.2.14</c:v>
                </c:pt>
                <c:pt idx="157">
                  <c:v>H31.2.19</c:v>
                </c:pt>
                <c:pt idx="158">
                  <c:v>H31.2.21</c:v>
                </c:pt>
                <c:pt idx="159">
                  <c:v>H31.2.28</c:v>
                </c:pt>
                <c:pt idx="160">
                  <c:v>H31.3.5</c:v>
                </c:pt>
                <c:pt idx="161">
                  <c:v>H31.3.7</c:v>
                </c:pt>
                <c:pt idx="162">
                  <c:v>H31.3.14</c:v>
                </c:pt>
                <c:pt idx="163">
                  <c:v>H31.3.19</c:v>
                </c:pt>
                <c:pt idx="164">
                  <c:v>H31.3.22</c:v>
                </c:pt>
                <c:pt idx="165">
                  <c:v>H31.3.28</c:v>
                </c:pt>
                <c:pt idx="168">
                  <c:v>年間計</c:v>
                </c:pt>
              </c:strCache>
            </c:strRef>
          </c:cat>
          <c:val>
            <c:numRef>
              <c:f>集計表!$Q$93:$Q$265</c:f>
              <c:numCache>
                <c:formatCode>General</c:formatCode>
                <c:ptCount val="173"/>
                <c:pt idx="0">
                  <c:v>900</c:v>
                </c:pt>
                <c:pt idx="18">
                  <c:v>990</c:v>
                </c:pt>
                <c:pt idx="19">
                  <c:v>980</c:v>
                </c:pt>
                <c:pt idx="20">
                  <c:v>970</c:v>
                </c:pt>
                <c:pt idx="21">
                  <c:v>940</c:v>
                </c:pt>
                <c:pt idx="22">
                  <c:v>870</c:v>
                </c:pt>
                <c:pt idx="65">
                  <c:v>740</c:v>
                </c:pt>
                <c:pt idx="66">
                  <c:v>870</c:v>
                </c:pt>
                <c:pt idx="67">
                  <c:v>820</c:v>
                </c:pt>
                <c:pt idx="86">
                  <c:v>550</c:v>
                </c:pt>
                <c:pt idx="87">
                  <c:v>840</c:v>
                </c:pt>
                <c:pt idx="88">
                  <c:v>760</c:v>
                </c:pt>
                <c:pt idx="89">
                  <c:v>860</c:v>
                </c:pt>
                <c:pt idx="90">
                  <c:v>860</c:v>
                </c:pt>
                <c:pt idx="168">
                  <c:v>15.74</c:v>
                </c:pt>
                <c:pt idx="169">
                  <c:v>0</c:v>
                </c:pt>
              </c:numCache>
            </c:numRef>
          </c:val>
        </c:ser>
        <c:ser>
          <c:idx val="2"/>
          <c:order val="2"/>
          <c:tx>
            <c:strRef>
              <c:f>集計表!$Q$81</c:f>
              <c:strCache>
                <c:ptCount val="1"/>
                <c:pt idx="0">
                  <c:v>牧草焼却量(kg)</c:v>
                </c:pt>
              </c:strCache>
            </c:strRef>
          </c:tx>
          <c:spPr>
            <a:pattFill prst="pct20">
              <a:fgClr>
                <a:srgbClr val="9BBB59">
                  <a:lumMod val="75000"/>
                </a:srgbClr>
              </a:fgClr>
              <a:bgClr>
                <a:sysClr val="window" lastClr="FFFFFF"/>
              </a:bgClr>
            </a:pattFill>
            <a:ln w="0">
              <a:solidFill>
                <a:srgbClr val="008000"/>
              </a:solidFill>
              <a:prstDash val="solid"/>
            </a:ln>
          </c:spPr>
          <c:cat>
            <c:strRef>
              <c:f>集計表!$O$93:$O$265</c:f>
              <c:strCache>
                <c:ptCount val="169"/>
                <c:pt idx="0">
                  <c:v>H30.5.26</c:v>
                </c:pt>
                <c:pt idx="1">
                  <c:v>H30.5.28</c:v>
                </c:pt>
                <c:pt idx="2">
                  <c:v>H30.5.29</c:v>
                </c:pt>
                <c:pt idx="3">
                  <c:v>H30.5.30</c:v>
                </c:pt>
                <c:pt idx="4">
                  <c:v>H30.5.31</c:v>
                </c:pt>
                <c:pt idx="5">
                  <c:v>H30.6.1</c:v>
                </c:pt>
                <c:pt idx="6">
                  <c:v>H30.6.2</c:v>
                </c:pt>
                <c:pt idx="7">
                  <c:v>H30.6.3</c:v>
                </c:pt>
                <c:pt idx="8">
                  <c:v>H30.6.4</c:v>
                </c:pt>
                <c:pt idx="9">
                  <c:v>H30.6.5</c:v>
                </c:pt>
                <c:pt idx="10">
                  <c:v>H30.6.6</c:v>
                </c:pt>
                <c:pt idx="11">
                  <c:v>H30.6.7</c:v>
                </c:pt>
                <c:pt idx="12">
                  <c:v>H30.6.8</c:v>
                </c:pt>
                <c:pt idx="13">
                  <c:v>H30.6.9</c:v>
                </c:pt>
                <c:pt idx="14">
                  <c:v>H30.6.10</c:v>
                </c:pt>
                <c:pt idx="15">
                  <c:v>H30.6.11</c:v>
                </c:pt>
                <c:pt idx="16">
                  <c:v>H30.6.13</c:v>
                </c:pt>
                <c:pt idx="17">
                  <c:v>H30.6.18</c:v>
                </c:pt>
                <c:pt idx="18">
                  <c:v>H30.6.19</c:v>
                </c:pt>
                <c:pt idx="19">
                  <c:v>H30.6.20</c:v>
                </c:pt>
                <c:pt idx="20">
                  <c:v>H30.6.21</c:v>
                </c:pt>
                <c:pt idx="21">
                  <c:v>H30.6.22</c:v>
                </c:pt>
                <c:pt idx="22">
                  <c:v>H30.6.23</c:v>
                </c:pt>
                <c:pt idx="23">
                  <c:v>H30.6.25</c:v>
                </c:pt>
                <c:pt idx="24">
                  <c:v>H30.6.26</c:v>
                </c:pt>
                <c:pt idx="25">
                  <c:v>H30.6.27</c:v>
                </c:pt>
                <c:pt idx="26">
                  <c:v>H30.6.28</c:v>
                </c:pt>
                <c:pt idx="27">
                  <c:v>H30.6.29</c:v>
                </c:pt>
                <c:pt idx="28">
                  <c:v>H30.7.2</c:v>
                </c:pt>
                <c:pt idx="29">
                  <c:v>H30.7.3</c:v>
                </c:pt>
                <c:pt idx="30">
                  <c:v>H30.7.4</c:v>
                </c:pt>
                <c:pt idx="31">
                  <c:v>H30.7.5</c:v>
                </c:pt>
                <c:pt idx="32">
                  <c:v>H30.7.6</c:v>
                </c:pt>
                <c:pt idx="33">
                  <c:v>H30.7.9</c:v>
                </c:pt>
                <c:pt idx="34">
                  <c:v>H30.7.10</c:v>
                </c:pt>
                <c:pt idx="35">
                  <c:v>H30.7.11</c:v>
                </c:pt>
                <c:pt idx="36">
                  <c:v>H30.7.12</c:v>
                </c:pt>
                <c:pt idx="37">
                  <c:v>H30.7.13</c:v>
                </c:pt>
                <c:pt idx="38">
                  <c:v>H30.7.16</c:v>
                </c:pt>
                <c:pt idx="39">
                  <c:v>H30.7.17</c:v>
                </c:pt>
                <c:pt idx="40">
                  <c:v>H30.7.18</c:v>
                </c:pt>
                <c:pt idx="41">
                  <c:v>H30.7.19</c:v>
                </c:pt>
                <c:pt idx="42">
                  <c:v>H30.7.20</c:v>
                </c:pt>
                <c:pt idx="43">
                  <c:v>H30.7.23</c:v>
                </c:pt>
                <c:pt idx="44">
                  <c:v>H30.7.24</c:v>
                </c:pt>
                <c:pt idx="45">
                  <c:v>H30.7.25</c:v>
                </c:pt>
                <c:pt idx="46">
                  <c:v>H30.7.26</c:v>
                </c:pt>
                <c:pt idx="47">
                  <c:v>H30.7.27</c:v>
                </c:pt>
                <c:pt idx="48">
                  <c:v>H30.7.28</c:v>
                </c:pt>
                <c:pt idx="49">
                  <c:v>H30.7.30</c:v>
                </c:pt>
                <c:pt idx="50">
                  <c:v>H30.7.31</c:v>
                </c:pt>
                <c:pt idx="51">
                  <c:v>H30.8.1</c:v>
                </c:pt>
                <c:pt idx="52">
                  <c:v>H30.8.2</c:v>
                </c:pt>
                <c:pt idx="53">
                  <c:v>H30.8.3</c:v>
                </c:pt>
                <c:pt idx="54">
                  <c:v>H30.8.6</c:v>
                </c:pt>
                <c:pt idx="55">
                  <c:v>H30.8.7</c:v>
                </c:pt>
                <c:pt idx="56">
                  <c:v>H30.8.8</c:v>
                </c:pt>
                <c:pt idx="57">
                  <c:v>H30.8.9</c:v>
                </c:pt>
                <c:pt idx="58">
                  <c:v>H30.8.10</c:v>
                </c:pt>
                <c:pt idx="59">
                  <c:v>H30.8.13</c:v>
                </c:pt>
                <c:pt idx="60">
                  <c:v>H30.8.14</c:v>
                </c:pt>
                <c:pt idx="61">
                  <c:v>H30.8.15</c:v>
                </c:pt>
                <c:pt idx="62">
                  <c:v>H30.8.16</c:v>
                </c:pt>
                <c:pt idx="63">
                  <c:v>H30.8.17</c:v>
                </c:pt>
                <c:pt idx="64">
                  <c:v>H30.8.20</c:v>
                </c:pt>
                <c:pt idx="65">
                  <c:v>H30.8.21</c:v>
                </c:pt>
                <c:pt idx="66">
                  <c:v>H30.8.22</c:v>
                </c:pt>
                <c:pt idx="67">
                  <c:v>H30.8.23</c:v>
                </c:pt>
                <c:pt idx="68">
                  <c:v>H30.8.24</c:v>
                </c:pt>
                <c:pt idx="69">
                  <c:v>H30.8.25</c:v>
                </c:pt>
                <c:pt idx="70">
                  <c:v>H30.8.27</c:v>
                </c:pt>
                <c:pt idx="71">
                  <c:v>H30.8.28</c:v>
                </c:pt>
                <c:pt idx="72">
                  <c:v>H30.8.29</c:v>
                </c:pt>
                <c:pt idx="73">
                  <c:v>H30.8.30</c:v>
                </c:pt>
                <c:pt idx="74">
                  <c:v>H30.8.31</c:v>
                </c:pt>
                <c:pt idx="75">
                  <c:v>H30.9.3</c:v>
                </c:pt>
                <c:pt idx="76">
                  <c:v>H30.9.4</c:v>
                </c:pt>
                <c:pt idx="77">
                  <c:v>H30.9.5</c:v>
                </c:pt>
                <c:pt idx="78">
                  <c:v>H30.9.6</c:v>
                </c:pt>
                <c:pt idx="79">
                  <c:v>H30.9.7</c:v>
                </c:pt>
                <c:pt idx="80">
                  <c:v>H30.9.10</c:v>
                </c:pt>
                <c:pt idx="81">
                  <c:v>H30.9.11</c:v>
                </c:pt>
                <c:pt idx="82">
                  <c:v>H30.9.12</c:v>
                </c:pt>
                <c:pt idx="83">
                  <c:v>H30.9.13</c:v>
                </c:pt>
                <c:pt idx="84">
                  <c:v>H30.9.14</c:v>
                </c:pt>
                <c:pt idx="85">
                  <c:v>H30.9.17</c:v>
                </c:pt>
                <c:pt idx="86">
                  <c:v>H30.9.18</c:v>
                </c:pt>
                <c:pt idx="87">
                  <c:v>H30.9.19</c:v>
                </c:pt>
                <c:pt idx="88">
                  <c:v>H30.9.20</c:v>
                </c:pt>
                <c:pt idx="89">
                  <c:v>H30.9.21</c:v>
                </c:pt>
                <c:pt idx="90">
                  <c:v>H30.9.22</c:v>
                </c:pt>
                <c:pt idx="91">
                  <c:v>H30.9.24</c:v>
                </c:pt>
                <c:pt idx="92">
                  <c:v>H30.9.25</c:v>
                </c:pt>
                <c:pt idx="93">
                  <c:v>H30.9.26</c:v>
                </c:pt>
                <c:pt idx="94">
                  <c:v>H30.9.27</c:v>
                </c:pt>
                <c:pt idx="95">
                  <c:v>H30.9.28</c:v>
                </c:pt>
                <c:pt idx="96">
                  <c:v>H30.10.1</c:v>
                </c:pt>
                <c:pt idx="97">
                  <c:v>H30.10.2</c:v>
                </c:pt>
                <c:pt idx="98">
                  <c:v>H30.10.3</c:v>
                </c:pt>
                <c:pt idx="99">
                  <c:v>H30.10.4</c:v>
                </c:pt>
                <c:pt idx="100">
                  <c:v>H30.10.5</c:v>
                </c:pt>
                <c:pt idx="101">
                  <c:v>H30.10.8</c:v>
                </c:pt>
                <c:pt idx="102">
                  <c:v>H30.10.9</c:v>
                </c:pt>
                <c:pt idx="103">
                  <c:v>H30.10.10</c:v>
                </c:pt>
                <c:pt idx="104">
                  <c:v>H30.10.11</c:v>
                </c:pt>
                <c:pt idx="105">
                  <c:v>H30.10.12</c:v>
                </c:pt>
                <c:pt idx="106">
                  <c:v>H30.10.15</c:v>
                </c:pt>
                <c:pt idx="107">
                  <c:v>H30.10.16</c:v>
                </c:pt>
                <c:pt idx="108">
                  <c:v>H30.10.17</c:v>
                </c:pt>
                <c:pt idx="109">
                  <c:v>H30.10.18</c:v>
                </c:pt>
                <c:pt idx="110">
                  <c:v>H30.10.19</c:v>
                </c:pt>
                <c:pt idx="111">
                  <c:v>H30.10.20</c:v>
                </c:pt>
                <c:pt idx="112">
                  <c:v>H30.10.22</c:v>
                </c:pt>
                <c:pt idx="113">
                  <c:v>H30.10.23</c:v>
                </c:pt>
                <c:pt idx="114">
                  <c:v>H30.10.24</c:v>
                </c:pt>
                <c:pt idx="115">
                  <c:v>H30.10.25</c:v>
                </c:pt>
                <c:pt idx="116">
                  <c:v>H30.10.26</c:v>
                </c:pt>
                <c:pt idx="117">
                  <c:v>H30.10.27</c:v>
                </c:pt>
                <c:pt idx="118">
                  <c:v>H30.10.29</c:v>
                </c:pt>
                <c:pt idx="119">
                  <c:v>H30.10.30</c:v>
                </c:pt>
                <c:pt idx="120">
                  <c:v>H30.10.31</c:v>
                </c:pt>
                <c:pt idx="121">
                  <c:v>H30.11.1</c:v>
                </c:pt>
                <c:pt idx="122">
                  <c:v>H30.11.2</c:v>
                </c:pt>
                <c:pt idx="123">
                  <c:v>H30.11.5</c:v>
                </c:pt>
                <c:pt idx="124">
                  <c:v>H30.11.6</c:v>
                </c:pt>
                <c:pt idx="125">
                  <c:v>H30.11.7</c:v>
                </c:pt>
                <c:pt idx="126">
                  <c:v>H30.11.8</c:v>
                </c:pt>
                <c:pt idx="127">
                  <c:v>H30.11.9</c:v>
                </c:pt>
                <c:pt idx="128">
                  <c:v>H30.11.12</c:v>
                </c:pt>
                <c:pt idx="129">
                  <c:v>H30.11.13</c:v>
                </c:pt>
                <c:pt idx="130">
                  <c:v>H30.11.14</c:v>
                </c:pt>
                <c:pt idx="131">
                  <c:v>H30.11.15</c:v>
                </c:pt>
                <c:pt idx="132">
                  <c:v>H30.11.16</c:v>
                </c:pt>
                <c:pt idx="133">
                  <c:v>H30.11.19</c:v>
                </c:pt>
                <c:pt idx="134">
                  <c:v>H30.11.20</c:v>
                </c:pt>
                <c:pt idx="135">
                  <c:v>H30.11.21</c:v>
                </c:pt>
                <c:pt idx="136">
                  <c:v>H30.11.22</c:v>
                </c:pt>
                <c:pt idx="137">
                  <c:v>H30.11.23</c:v>
                </c:pt>
                <c:pt idx="138">
                  <c:v>H30.11.26</c:v>
                </c:pt>
                <c:pt idx="139">
                  <c:v>H30.11.29</c:v>
                </c:pt>
                <c:pt idx="140">
                  <c:v>H30.12.3</c:v>
                </c:pt>
                <c:pt idx="141">
                  <c:v>H30.12.5</c:v>
                </c:pt>
                <c:pt idx="142">
                  <c:v>H30.12.6</c:v>
                </c:pt>
                <c:pt idx="143">
                  <c:v>H30.12.10</c:v>
                </c:pt>
                <c:pt idx="144">
                  <c:v>H30.12.13</c:v>
                </c:pt>
                <c:pt idx="145">
                  <c:v>H30.12.17</c:v>
                </c:pt>
                <c:pt idx="146">
                  <c:v>H30.12.20</c:v>
                </c:pt>
                <c:pt idx="147">
                  <c:v>H30.12.24</c:v>
                </c:pt>
                <c:pt idx="148">
                  <c:v>H30.12.27</c:v>
                </c:pt>
                <c:pt idx="149">
                  <c:v>H31.1.7</c:v>
                </c:pt>
                <c:pt idx="150">
                  <c:v>H31.1.10</c:v>
                </c:pt>
                <c:pt idx="151">
                  <c:v>H31.1.17</c:v>
                </c:pt>
                <c:pt idx="152">
                  <c:v>H31.1.24</c:v>
                </c:pt>
                <c:pt idx="153">
                  <c:v>H31.1.31</c:v>
                </c:pt>
                <c:pt idx="154">
                  <c:v>H31.2.5</c:v>
                </c:pt>
                <c:pt idx="155">
                  <c:v>H31.2.7</c:v>
                </c:pt>
                <c:pt idx="156">
                  <c:v>H31.2.14</c:v>
                </c:pt>
                <c:pt idx="157">
                  <c:v>H31.2.19</c:v>
                </c:pt>
                <c:pt idx="158">
                  <c:v>H31.2.21</c:v>
                </c:pt>
                <c:pt idx="159">
                  <c:v>H31.2.28</c:v>
                </c:pt>
                <c:pt idx="160">
                  <c:v>H31.3.5</c:v>
                </c:pt>
                <c:pt idx="161">
                  <c:v>H31.3.7</c:v>
                </c:pt>
                <c:pt idx="162">
                  <c:v>H31.3.14</c:v>
                </c:pt>
                <c:pt idx="163">
                  <c:v>H31.3.19</c:v>
                </c:pt>
                <c:pt idx="164">
                  <c:v>H31.3.22</c:v>
                </c:pt>
                <c:pt idx="165">
                  <c:v>H31.3.28</c:v>
                </c:pt>
                <c:pt idx="168">
                  <c:v>年間計</c:v>
                </c:pt>
              </c:strCache>
            </c:strRef>
          </c:cat>
          <c:val>
            <c:numRef>
              <c:f>集計表!$S$93:$S$265</c:f>
              <c:numCache>
                <c:formatCode>General</c:formatCode>
                <c:ptCount val="173"/>
                <c:pt idx="44">
                  <c:v>950</c:v>
                </c:pt>
                <c:pt idx="45">
                  <c:v>940</c:v>
                </c:pt>
                <c:pt idx="46">
                  <c:v>920</c:v>
                </c:pt>
                <c:pt idx="47">
                  <c:v>950</c:v>
                </c:pt>
                <c:pt idx="48">
                  <c:v>870</c:v>
                </c:pt>
                <c:pt idx="113">
                  <c:v>940</c:v>
                </c:pt>
                <c:pt idx="114">
                  <c:v>970</c:v>
                </c:pt>
                <c:pt idx="115">
                  <c:v>980</c:v>
                </c:pt>
                <c:pt idx="116">
                  <c:v>950</c:v>
                </c:pt>
                <c:pt idx="117">
                  <c:v>930</c:v>
                </c:pt>
                <c:pt idx="168">
                  <c:v>9.4</c:v>
                </c:pt>
                <c:pt idx="169">
                  <c:v>0</c:v>
                </c:pt>
              </c:numCache>
            </c:numRef>
          </c:val>
        </c:ser>
        <c:dLbls>
          <c:showLegendKey val="0"/>
          <c:showVal val="0"/>
          <c:showCatName val="0"/>
          <c:showSerName val="0"/>
          <c:showPercent val="0"/>
          <c:showBubbleSize val="0"/>
        </c:dLbls>
        <c:axId val="136078848"/>
        <c:axId val="136077312"/>
      </c:areaChart>
      <c:lineChart>
        <c:grouping val="standard"/>
        <c:varyColors val="0"/>
        <c:ser>
          <c:idx val="1"/>
          <c:order val="1"/>
          <c:tx>
            <c:strRef>
              <c:f>集計表!$T$81</c:f>
              <c:strCache>
                <c:ptCount val="1"/>
                <c:pt idx="0">
                  <c:v>稲わら(Bq/kg)</c:v>
                </c:pt>
              </c:strCache>
            </c:strRef>
          </c:tx>
          <c:spPr>
            <a:ln w="0">
              <a:solidFill>
                <a:srgbClr val="FF0000"/>
              </a:solidFill>
              <a:prstDash val="solid"/>
            </a:ln>
          </c:spPr>
          <c:marker>
            <c:symbol val="square"/>
            <c:size val="5"/>
            <c:spPr>
              <a:solidFill>
                <a:srgbClr val="FF0000"/>
              </a:solidFill>
              <a:ln>
                <a:noFill/>
                <a:prstDash val="solid"/>
              </a:ln>
            </c:spPr>
          </c:marker>
          <c:cat>
            <c:strRef>
              <c:f>集計表!$O$93:$O$265</c:f>
              <c:strCache>
                <c:ptCount val="169"/>
                <c:pt idx="0">
                  <c:v>H30.5.26</c:v>
                </c:pt>
                <c:pt idx="1">
                  <c:v>H30.5.28</c:v>
                </c:pt>
                <c:pt idx="2">
                  <c:v>H30.5.29</c:v>
                </c:pt>
                <c:pt idx="3">
                  <c:v>H30.5.30</c:v>
                </c:pt>
                <c:pt idx="4">
                  <c:v>H30.5.31</c:v>
                </c:pt>
                <c:pt idx="5">
                  <c:v>H30.6.1</c:v>
                </c:pt>
                <c:pt idx="6">
                  <c:v>H30.6.2</c:v>
                </c:pt>
                <c:pt idx="7">
                  <c:v>H30.6.3</c:v>
                </c:pt>
                <c:pt idx="8">
                  <c:v>H30.6.4</c:v>
                </c:pt>
                <c:pt idx="9">
                  <c:v>H30.6.5</c:v>
                </c:pt>
                <c:pt idx="10">
                  <c:v>H30.6.6</c:v>
                </c:pt>
                <c:pt idx="11">
                  <c:v>H30.6.7</c:v>
                </c:pt>
                <c:pt idx="12">
                  <c:v>H30.6.8</c:v>
                </c:pt>
                <c:pt idx="13">
                  <c:v>H30.6.9</c:v>
                </c:pt>
                <c:pt idx="14">
                  <c:v>H30.6.10</c:v>
                </c:pt>
                <c:pt idx="15">
                  <c:v>H30.6.11</c:v>
                </c:pt>
                <c:pt idx="16">
                  <c:v>H30.6.13</c:v>
                </c:pt>
                <c:pt idx="17">
                  <c:v>H30.6.18</c:v>
                </c:pt>
                <c:pt idx="18">
                  <c:v>H30.6.19</c:v>
                </c:pt>
                <c:pt idx="19">
                  <c:v>H30.6.20</c:v>
                </c:pt>
                <c:pt idx="20">
                  <c:v>H30.6.21</c:v>
                </c:pt>
                <c:pt idx="21">
                  <c:v>H30.6.22</c:v>
                </c:pt>
                <c:pt idx="22">
                  <c:v>H30.6.23</c:v>
                </c:pt>
                <c:pt idx="23">
                  <c:v>H30.6.25</c:v>
                </c:pt>
                <c:pt idx="24">
                  <c:v>H30.6.26</c:v>
                </c:pt>
                <c:pt idx="25">
                  <c:v>H30.6.27</c:v>
                </c:pt>
                <c:pt idx="26">
                  <c:v>H30.6.28</c:v>
                </c:pt>
                <c:pt idx="27">
                  <c:v>H30.6.29</c:v>
                </c:pt>
                <c:pt idx="28">
                  <c:v>H30.7.2</c:v>
                </c:pt>
                <c:pt idx="29">
                  <c:v>H30.7.3</c:v>
                </c:pt>
                <c:pt idx="30">
                  <c:v>H30.7.4</c:v>
                </c:pt>
                <c:pt idx="31">
                  <c:v>H30.7.5</c:v>
                </c:pt>
                <c:pt idx="32">
                  <c:v>H30.7.6</c:v>
                </c:pt>
                <c:pt idx="33">
                  <c:v>H30.7.9</c:v>
                </c:pt>
                <c:pt idx="34">
                  <c:v>H30.7.10</c:v>
                </c:pt>
                <c:pt idx="35">
                  <c:v>H30.7.11</c:v>
                </c:pt>
                <c:pt idx="36">
                  <c:v>H30.7.12</c:v>
                </c:pt>
                <c:pt idx="37">
                  <c:v>H30.7.13</c:v>
                </c:pt>
                <c:pt idx="38">
                  <c:v>H30.7.16</c:v>
                </c:pt>
                <c:pt idx="39">
                  <c:v>H30.7.17</c:v>
                </c:pt>
                <c:pt idx="40">
                  <c:v>H30.7.18</c:v>
                </c:pt>
                <c:pt idx="41">
                  <c:v>H30.7.19</c:v>
                </c:pt>
                <c:pt idx="42">
                  <c:v>H30.7.20</c:v>
                </c:pt>
                <c:pt idx="43">
                  <c:v>H30.7.23</c:v>
                </c:pt>
                <c:pt idx="44">
                  <c:v>H30.7.24</c:v>
                </c:pt>
                <c:pt idx="45">
                  <c:v>H30.7.25</c:v>
                </c:pt>
                <c:pt idx="46">
                  <c:v>H30.7.26</c:v>
                </c:pt>
                <c:pt idx="47">
                  <c:v>H30.7.27</c:v>
                </c:pt>
                <c:pt idx="48">
                  <c:v>H30.7.28</c:v>
                </c:pt>
                <c:pt idx="49">
                  <c:v>H30.7.30</c:v>
                </c:pt>
                <c:pt idx="50">
                  <c:v>H30.7.31</c:v>
                </c:pt>
                <c:pt idx="51">
                  <c:v>H30.8.1</c:v>
                </c:pt>
                <c:pt idx="52">
                  <c:v>H30.8.2</c:v>
                </c:pt>
                <c:pt idx="53">
                  <c:v>H30.8.3</c:v>
                </c:pt>
                <c:pt idx="54">
                  <c:v>H30.8.6</c:v>
                </c:pt>
                <c:pt idx="55">
                  <c:v>H30.8.7</c:v>
                </c:pt>
                <c:pt idx="56">
                  <c:v>H30.8.8</c:v>
                </c:pt>
                <c:pt idx="57">
                  <c:v>H30.8.9</c:v>
                </c:pt>
                <c:pt idx="58">
                  <c:v>H30.8.10</c:v>
                </c:pt>
                <c:pt idx="59">
                  <c:v>H30.8.13</c:v>
                </c:pt>
                <c:pt idx="60">
                  <c:v>H30.8.14</c:v>
                </c:pt>
                <c:pt idx="61">
                  <c:v>H30.8.15</c:v>
                </c:pt>
                <c:pt idx="62">
                  <c:v>H30.8.16</c:v>
                </c:pt>
                <c:pt idx="63">
                  <c:v>H30.8.17</c:v>
                </c:pt>
                <c:pt idx="64">
                  <c:v>H30.8.20</c:v>
                </c:pt>
                <c:pt idx="65">
                  <c:v>H30.8.21</c:v>
                </c:pt>
                <c:pt idx="66">
                  <c:v>H30.8.22</c:v>
                </c:pt>
                <c:pt idx="67">
                  <c:v>H30.8.23</c:v>
                </c:pt>
                <c:pt idx="68">
                  <c:v>H30.8.24</c:v>
                </c:pt>
                <c:pt idx="69">
                  <c:v>H30.8.25</c:v>
                </c:pt>
                <c:pt idx="70">
                  <c:v>H30.8.27</c:v>
                </c:pt>
                <c:pt idx="71">
                  <c:v>H30.8.28</c:v>
                </c:pt>
                <c:pt idx="72">
                  <c:v>H30.8.29</c:v>
                </c:pt>
                <c:pt idx="73">
                  <c:v>H30.8.30</c:v>
                </c:pt>
                <c:pt idx="74">
                  <c:v>H30.8.31</c:v>
                </c:pt>
                <c:pt idx="75">
                  <c:v>H30.9.3</c:v>
                </c:pt>
                <c:pt idx="76">
                  <c:v>H30.9.4</c:v>
                </c:pt>
                <c:pt idx="77">
                  <c:v>H30.9.5</c:v>
                </c:pt>
                <c:pt idx="78">
                  <c:v>H30.9.6</c:v>
                </c:pt>
                <c:pt idx="79">
                  <c:v>H30.9.7</c:v>
                </c:pt>
                <c:pt idx="80">
                  <c:v>H30.9.10</c:v>
                </c:pt>
                <c:pt idx="81">
                  <c:v>H30.9.11</c:v>
                </c:pt>
                <c:pt idx="82">
                  <c:v>H30.9.12</c:v>
                </c:pt>
                <c:pt idx="83">
                  <c:v>H30.9.13</c:v>
                </c:pt>
                <c:pt idx="84">
                  <c:v>H30.9.14</c:v>
                </c:pt>
                <c:pt idx="85">
                  <c:v>H30.9.17</c:v>
                </c:pt>
                <c:pt idx="86">
                  <c:v>H30.9.18</c:v>
                </c:pt>
                <c:pt idx="87">
                  <c:v>H30.9.19</c:v>
                </c:pt>
                <c:pt idx="88">
                  <c:v>H30.9.20</c:v>
                </c:pt>
                <c:pt idx="89">
                  <c:v>H30.9.21</c:v>
                </c:pt>
                <c:pt idx="90">
                  <c:v>H30.9.22</c:v>
                </c:pt>
                <c:pt idx="91">
                  <c:v>H30.9.24</c:v>
                </c:pt>
                <c:pt idx="92">
                  <c:v>H30.9.25</c:v>
                </c:pt>
                <c:pt idx="93">
                  <c:v>H30.9.26</c:v>
                </c:pt>
                <c:pt idx="94">
                  <c:v>H30.9.27</c:v>
                </c:pt>
                <c:pt idx="95">
                  <c:v>H30.9.28</c:v>
                </c:pt>
                <c:pt idx="96">
                  <c:v>H30.10.1</c:v>
                </c:pt>
                <c:pt idx="97">
                  <c:v>H30.10.2</c:v>
                </c:pt>
                <c:pt idx="98">
                  <c:v>H30.10.3</c:v>
                </c:pt>
                <c:pt idx="99">
                  <c:v>H30.10.4</c:v>
                </c:pt>
                <c:pt idx="100">
                  <c:v>H30.10.5</c:v>
                </c:pt>
                <c:pt idx="101">
                  <c:v>H30.10.8</c:v>
                </c:pt>
                <c:pt idx="102">
                  <c:v>H30.10.9</c:v>
                </c:pt>
                <c:pt idx="103">
                  <c:v>H30.10.10</c:v>
                </c:pt>
                <c:pt idx="104">
                  <c:v>H30.10.11</c:v>
                </c:pt>
                <c:pt idx="105">
                  <c:v>H30.10.12</c:v>
                </c:pt>
                <c:pt idx="106">
                  <c:v>H30.10.15</c:v>
                </c:pt>
                <c:pt idx="107">
                  <c:v>H30.10.16</c:v>
                </c:pt>
                <c:pt idx="108">
                  <c:v>H30.10.17</c:v>
                </c:pt>
                <c:pt idx="109">
                  <c:v>H30.10.18</c:v>
                </c:pt>
                <c:pt idx="110">
                  <c:v>H30.10.19</c:v>
                </c:pt>
                <c:pt idx="111">
                  <c:v>H30.10.20</c:v>
                </c:pt>
                <c:pt idx="112">
                  <c:v>H30.10.22</c:v>
                </c:pt>
                <c:pt idx="113">
                  <c:v>H30.10.23</c:v>
                </c:pt>
                <c:pt idx="114">
                  <c:v>H30.10.24</c:v>
                </c:pt>
                <c:pt idx="115">
                  <c:v>H30.10.25</c:v>
                </c:pt>
                <c:pt idx="116">
                  <c:v>H30.10.26</c:v>
                </c:pt>
                <c:pt idx="117">
                  <c:v>H30.10.27</c:v>
                </c:pt>
                <c:pt idx="118">
                  <c:v>H30.10.29</c:v>
                </c:pt>
                <c:pt idx="119">
                  <c:v>H30.10.30</c:v>
                </c:pt>
                <c:pt idx="120">
                  <c:v>H30.10.31</c:v>
                </c:pt>
                <c:pt idx="121">
                  <c:v>H30.11.1</c:v>
                </c:pt>
                <c:pt idx="122">
                  <c:v>H30.11.2</c:v>
                </c:pt>
                <c:pt idx="123">
                  <c:v>H30.11.5</c:v>
                </c:pt>
                <c:pt idx="124">
                  <c:v>H30.11.6</c:v>
                </c:pt>
                <c:pt idx="125">
                  <c:v>H30.11.7</c:v>
                </c:pt>
                <c:pt idx="126">
                  <c:v>H30.11.8</c:v>
                </c:pt>
                <c:pt idx="127">
                  <c:v>H30.11.9</c:v>
                </c:pt>
                <c:pt idx="128">
                  <c:v>H30.11.12</c:v>
                </c:pt>
                <c:pt idx="129">
                  <c:v>H30.11.13</c:v>
                </c:pt>
                <c:pt idx="130">
                  <c:v>H30.11.14</c:v>
                </c:pt>
                <c:pt idx="131">
                  <c:v>H30.11.15</c:v>
                </c:pt>
                <c:pt idx="132">
                  <c:v>H30.11.16</c:v>
                </c:pt>
                <c:pt idx="133">
                  <c:v>H30.11.19</c:v>
                </c:pt>
                <c:pt idx="134">
                  <c:v>H30.11.20</c:v>
                </c:pt>
                <c:pt idx="135">
                  <c:v>H30.11.21</c:v>
                </c:pt>
                <c:pt idx="136">
                  <c:v>H30.11.22</c:v>
                </c:pt>
                <c:pt idx="137">
                  <c:v>H30.11.23</c:v>
                </c:pt>
                <c:pt idx="138">
                  <c:v>H30.11.26</c:v>
                </c:pt>
                <c:pt idx="139">
                  <c:v>H30.11.29</c:v>
                </c:pt>
                <c:pt idx="140">
                  <c:v>H30.12.3</c:v>
                </c:pt>
                <c:pt idx="141">
                  <c:v>H30.12.5</c:v>
                </c:pt>
                <c:pt idx="142">
                  <c:v>H30.12.6</c:v>
                </c:pt>
                <c:pt idx="143">
                  <c:v>H30.12.10</c:v>
                </c:pt>
                <c:pt idx="144">
                  <c:v>H30.12.13</c:v>
                </c:pt>
                <c:pt idx="145">
                  <c:v>H30.12.17</c:v>
                </c:pt>
                <c:pt idx="146">
                  <c:v>H30.12.20</c:v>
                </c:pt>
                <c:pt idx="147">
                  <c:v>H30.12.24</c:v>
                </c:pt>
                <c:pt idx="148">
                  <c:v>H30.12.27</c:v>
                </c:pt>
                <c:pt idx="149">
                  <c:v>H31.1.7</c:v>
                </c:pt>
                <c:pt idx="150">
                  <c:v>H31.1.10</c:v>
                </c:pt>
                <c:pt idx="151">
                  <c:v>H31.1.17</c:v>
                </c:pt>
                <c:pt idx="152">
                  <c:v>H31.1.24</c:v>
                </c:pt>
                <c:pt idx="153">
                  <c:v>H31.1.31</c:v>
                </c:pt>
                <c:pt idx="154">
                  <c:v>H31.2.5</c:v>
                </c:pt>
                <c:pt idx="155">
                  <c:v>H31.2.7</c:v>
                </c:pt>
                <c:pt idx="156">
                  <c:v>H31.2.14</c:v>
                </c:pt>
                <c:pt idx="157">
                  <c:v>H31.2.19</c:v>
                </c:pt>
                <c:pt idx="158">
                  <c:v>H31.2.21</c:v>
                </c:pt>
                <c:pt idx="159">
                  <c:v>H31.2.28</c:v>
                </c:pt>
                <c:pt idx="160">
                  <c:v>H31.3.5</c:v>
                </c:pt>
                <c:pt idx="161">
                  <c:v>H31.3.7</c:v>
                </c:pt>
                <c:pt idx="162">
                  <c:v>H31.3.14</c:v>
                </c:pt>
                <c:pt idx="163">
                  <c:v>H31.3.19</c:v>
                </c:pt>
                <c:pt idx="164">
                  <c:v>H31.3.22</c:v>
                </c:pt>
                <c:pt idx="165">
                  <c:v>H31.3.28</c:v>
                </c:pt>
                <c:pt idx="168">
                  <c:v>年間計</c:v>
                </c:pt>
              </c:strCache>
            </c:strRef>
          </c:cat>
          <c:val>
            <c:numRef>
              <c:f>集計表!$R$93:$R$265</c:f>
              <c:numCache>
                <c:formatCode>General</c:formatCode>
                <c:ptCount val="173"/>
                <c:pt idx="0">
                  <c:v>300</c:v>
                </c:pt>
                <c:pt idx="18">
                  <c:v>700</c:v>
                </c:pt>
                <c:pt idx="19">
                  <c:v>700</c:v>
                </c:pt>
                <c:pt idx="20">
                  <c:v>700</c:v>
                </c:pt>
                <c:pt idx="21">
                  <c:v>700</c:v>
                </c:pt>
                <c:pt idx="22">
                  <c:v>700</c:v>
                </c:pt>
                <c:pt idx="65">
                  <c:v>300</c:v>
                </c:pt>
                <c:pt idx="66">
                  <c:v>300</c:v>
                </c:pt>
                <c:pt idx="67">
                  <c:v>300</c:v>
                </c:pt>
                <c:pt idx="86">
                  <c:v>700</c:v>
                </c:pt>
                <c:pt idx="87">
                  <c:v>700</c:v>
                </c:pt>
                <c:pt idx="88">
                  <c:v>700</c:v>
                </c:pt>
                <c:pt idx="89">
                  <c:v>700</c:v>
                </c:pt>
                <c:pt idx="90">
                  <c:v>700</c:v>
                </c:pt>
              </c:numCache>
            </c:numRef>
          </c:val>
          <c:smooth val="0"/>
        </c:ser>
        <c:ser>
          <c:idx val="3"/>
          <c:order val="3"/>
          <c:tx>
            <c:strRef>
              <c:f>集計表!$R$81</c:f>
              <c:strCache>
                <c:ptCount val="1"/>
                <c:pt idx="0">
                  <c:v>牧草(Bq/kg)</c:v>
                </c:pt>
              </c:strCache>
            </c:strRef>
          </c:tx>
          <c:spPr>
            <a:ln w="0">
              <a:solidFill>
                <a:srgbClr val="0066FF"/>
              </a:solidFill>
              <a:prstDash val="solid"/>
            </a:ln>
          </c:spPr>
          <c:marker>
            <c:symbol val="triangle"/>
            <c:size val="5"/>
            <c:spPr>
              <a:solidFill>
                <a:srgbClr val="0066FF"/>
              </a:solidFill>
              <a:ln>
                <a:solidFill>
                  <a:srgbClr val="0066FF"/>
                </a:solidFill>
              </a:ln>
            </c:spPr>
          </c:marker>
          <c:cat>
            <c:strRef>
              <c:f>集計表!$O$93:$O$265</c:f>
              <c:strCache>
                <c:ptCount val="169"/>
                <c:pt idx="0">
                  <c:v>H30.5.26</c:v>
                </c:pt>
                <c:pt idx="1">
                  <c:v>H30.5.28</c:v>
                </c:pt>
                <c:pt idx="2">
                  <c:v>H30.5.29</c:v>
                </c:pt>
                <c:pt idx="3">
                  <c:v>H30.5.30</c:v>
                </c:pt>
                <c:pt idx="4">
                  <c:v>H30.5.31</c:v>
                </c:pt>
                <c:pt idx="5">
                  <c:v>H30.6.1</c:v>
                </c:pt>
                <c:pt idx="6">
                  <c:v>H30.6.2</c:v>
                </c:pt>
                <c:pt idx="7">
                  <c:v>H30.6.3</c:v>
                </c:pt>
                <c:pt idx="8">
                  <c:v>H30.6.4</c:v>
                </c:pt>
                <c:pt idx="9">
                  <c:v>H30.6.5</c:v>
                </c:pt>
                <c:pt idx="10">
                  <c:v>H30.6.6</c:v>
                </c:pt>
                <c:pt idx="11">
                  <c:v>H30.6.7</c:v>
                </c:pt>
                <c:pt idx="12">
                  <c:v>H30.6.8</c:v>
                </c:pt>
                <c:pt idx="13">
                  <c:v>H30.6.9</c:v>
                </c:pt>
                <c:pt idx="14">
                  <c:v>H30.6.10</c:v>
                </c:pt>
                <c:pt idx="15">
                  <c:v>H30.6.11</c:v>
                </c:pt>
                <c:pt idx="16">
                  <c:v>H30.6.13</c:v>
                </c:pt>
                <c:pt idx="17">
                  <c:v>H30.6.18</c:v>
                </c:pt>
                <c:pt idx="18">
                  <c:v>H30.6.19</c:v>
                </c:pt>
                <c:pt idx="19">
                  <c:v>H30.6.20</c:v>
                </c:pt>
                <c:pt idx="20">
                  <c:v>H30.6.21</c:v>
                </c:pt>
                <c:pt idx="21">
                  <c:v>H30.6.22</c:v>
                </c:pt>
                <c:pt idx="22">
                  <c:v>H30.6.23</c:v>
                </c:pt>
                <c:pt idx="23">
                  <c:v>H30.6.25</c:v>
                </c:pt>
                <c:pt idx="24">
                  <c:v>H30.6.26</c:v>
                </c:pt>
                <c:pt idx="25">
                  <c:v>H30.6.27</c:v>
                </c:pt>
                <c:pt idx="26">
                  <c:v>H30.6.28</c:v>
                </c:pt>
                <c:pt idx="27">
                  <c:v>H30.6.29</c:v>
                </c:pt>
                <c:pt idx="28">
                  <c:v>H30.7.2</c:v>
                </c:pt>
                <c:pt idx="29">
                  <c:v>H30.7.3</c:v>
                </c:pt>
                <c:pt idx="30">
                  <c:v>H30.7.4</c:v>
                </c:pt>
                <c:pt idx="31">
                  <c:v>H30.7.5</c:v>
                </c:pt>
                <c:pt idx="32">
                  <c:v>H30.7.6</c:v>
                </c:pt>
                <c:pt idx="33">
                  <c:v>H30.7.9</c:v>
                </c:pt>
                <c:pt idx="34">
                  <c:v>H30.7.10</c:v>
                </c:pt>
                <c:pt idx="35">
                  <c:v>H30.7.11</c:v>
                </c:pt>
                <c:pt idx="36">
                  <c:v>H30.7.12</c:v>
                </c:pt>
                <c:pt idx="37">
                  <c:v>H30.7.13</c:v>
                </c:pt>
                <c:pt idx="38">
                  <c:v>H30.7.16</c:v>
                </c:pt>
                <c:pt idx="39">
                  <c:v>H30.7.17</c:v>
                </c:pt>
                <c:pt idx="40">
                  <c:v>H30.7.18</c:v>
                </c:pt>
                <c:pt idx="41">
                  <c:v>H30.7.19</c:v>
                </c:pt>
                <c:pt idx="42">
                  <c:v>H30.7.20</c:v>
                </c:pt>
                <c:pt idx="43">
                  <c:v>H30.7.23</c:v>
                </c:pt>
                <c:pt idx="44">
                  <c:v>H30.7.24</c:v>
                </c:pt>
                <c:pt idx="45">
                  <c:v>H30.7.25</c:v>
                </c:pt>
                <c:pt idx="46">
                  <c:v>H30.7.26</c:v>
                </c:pt>
                <c:pt idx="47">
                  <c:v>H30.7.27</c:v>
                </c:pt>
                <c:pt idx="48">
                  <c:v>H30.7.28</c:v>
                </c:pt>
                <c:pt idx="49">
                  <c:v>H30.7.30</c:v>
                </c:pt>
                <c:pt idx="50">
                  <c:v>H30.7.31</c:v>
                </c:pt>
                <c:pt idx="51">
                  <c:v>H30.8.1</c:v>
                </c:pt>
                <c:pt idx="52">
                  <c:v>H30.8.2</c:v>
                </c:pt>
                <c:pt idx="53">
                  <c:v>H30.8.3</c:v>
                </c:pt>
                <c:pt idx="54">
                  <c:v>H30.8.6</c:v>
                </c:pt>
                <c:pt idx="55">
                  <c:v>H30.8.7</c:v>
                </c:pt>
                <c:pt idx="56">
                  <c:v>H30.8.8</c:v>
                </c:pt>
                <c:pt idx="57">
                  <c:v>H30.8.9</c:v>
                </c:pt>
                <c:pt idx="58">
                  <c:v>H30.8.10</c:v>
                </c:pt>
                <c:pt idx="59">
                  <c:v>H30.8.13</c:v>
                </c:pt>
                <c:pt idx="60">
                  <c:v>H30.8.14</c:v>
                </c:pt>
                <c:pt idx="61">
                  <c:v>H30.8.15</c:v>
                </c:pt>
                <c:pt idx="62">
                  <c:v>H30.8.16</c:v>
                </c:pt>
                <c:pt idx="63">
                  <c:v>H30.8.17</c:v>
                </c:pt>
                <c:pt idx="64">
                  <c:v>H30.8.20</c:v>
                </c:pt>
                <c:pt idx="65">
                  <c:v>H30.8.21</c:v>
                </c:pt>
                <c:pt idx="66">
                  <c:v>H30.8.22</c:v>
                </c:pt>
                <c:pt idx="67">
                  <c:v>H30.8.23</c:v>
                </c:pt>
                <c:pt idx="68">
                  <c:v>H30.8.24</c:v>
                </c:pt>
                <c:pt idx="69">
                  <c:v>H30.8.25</c:v>
                </c:pt>
                <c:pt idx="70">
                  <c:v>H30.8.27</c:v>
                </c:pt>
                <c:pt idx="71">
                  <c:v>H30.8.28</c:v>
                </c:pt>
                <c:pt idx="72">
                  <c:v>H30.8.29</c:v>
                </c:pt>
                <c:pt idx="73">
                  <c:v>H30.8.30</c:v>
                </c:pt>
                <c:pt idx="74">
                  <c:v>H30.8.31</c:v>
                </c:pt>
                <c:pt idx="75">
                  <c:v>H30.9.3</c:v>
                </c:pt>
                <c:pt idx="76">
                  <c:v>H30.9.4</c:v>
                </c:pt>
                <c:pt idx="77">
                  <c:v>H30.9.5</c:v>
                </c:pt>
                <c:pt idx="78">
                  <c:v>H30.9.6</c:v>
                </c:pt>
                <c:pt idx="79">
                  <c:v>H30.9.7</c:v>
                </c:pt>
                <c:pt idx="80">
                  <c:v>H30.9.10</c:v>
                </c:pt>
                <c:pt idx="81">
                  <c:v>H30.9.11</c:v>
                </c:pt>
                <c:pt idx="82">
                  <c:v>H30.9.12</c:v>
                </c:pt>
                <c:pt idx="83">
                  <c:v>H30.9.13</c:v>
                </c:pt>
                <c:pt idx="84">
                  <c:v>H30.9.14</c:v>
                </c:pt>
                <c:pt idx="85">
                  <c:v>H30.9.17</c:v>
                </c:pt>
                <c:pt idx="86">
                  <c:v>H30.9.18</c:v>
                </c:pt>
                <c:pt idx="87">
                  <c:v>H30.9.19</c:v>
                </c:pt>
                <c:pt idx="88">
                  <c:v>H30.9.20</c:v>
                </c:pt>
                <c:pt idx="89">
                  <c:v>H30.9.21</c:v>
                </c:pt>
                <c:pt idx="90">
                  <c:v>H30.9.22</c:v>
                </c:pt>
                <c:pt idx="91">
                  <c:v>H30.9.24</c:v>
                </c:pt>
                <c:pt idx="92">
                  <c:v>H30.9.25</c:v>
                </c:pt>
                <c:pt idx="93">
                  <c:v>H30.9.26</c:v>
                </c:pt>
                <c:pt idx="94">
                  <c:v>H30.9.27</c:v>
                </c:pt>
                <c:pt idx="95">
                  <c:v>H30.9.28</c:v>
                </c:pt>
                <c:pt idx="96">
                  <c:v>H30.10.1</c:v>
                </c:pt>
                <c:pt idx="97">
                  <c:v>H30.10.2</c:v>
                </c:pt>
                <c:pt idx="98">
                  <c:v>H30.10.3</c:v>
                </c:pt>
                <c:pt idx="99">
                  <c:v>H30.10.4</c:v>
                </c:pt>
                <c:pt idx="100">
                  <c:v>H30.10.5</c:v>
                </c:pt>
                <c:pt idx="101">
                  <c:v>H30.10.8</c:v>
                </c:pt>
                <c:pt idx="102">
                  <c:v>H30.10.9</c:v>
                </c:pt>
                <c:pt idx="103">
                  <c:v>H30.10.10</c:v>
                </c:pt>
                <c:pt idx="104">
                  <c:v>H30.10.11</c:v>
                </c:pt>
                <c:pt idx="105">
                  <c:v>H30.10.12</c:v>
                </c:pt>
                <c:pt idx="106">
                  <c:v>H30.10.15</c:v>
                </c:pt>
                <c:pt idx="107">
                  <c:v>H30.10.16</c:v>
                </c:pt>
                <c:pt idx="108">
                  <c:v>H30.10.17</c:v>
                </c:pt>
                <c:pt idx="109">
                  <c:v>H30.10.18</c:v>
                </c:pt>
                <c:pt idx="110">
                  <c:v>H30.10.19</c:v>
                </c:pt>
                <c:pt idx="111">
                  <c:v>H30.10.20</c:v>
                </c:pt>
                <c:pt idx="112">
                  <c:v>H30.10.22</c:v>
                </c:pt>
                <c:pt idx="113">
                  <c:v>H30.10.23</c:v>
                </c:pt>
                <c:pt idx="114">
                  <c:v>H30.10.24</c:v>
                </c:pt>
                <c:pt idx="115">
                  <c:v>H30.10.25</c:v>
                </c:pt>
                <c:pt idx="116">
                  <c:v>H30.10.26</c:v>
                </c:pt>
                <c:pt idx="117">
                  <c:v>H30.10.27</c:v>
                </c:pt>
                <c:pt idx="118">
                  <c:v>H30.10.29</c:v>
                </c:pt>
                <c:pt idx="119">
                  <c:v>H30.10.30</c:v>
                </c:pt>
                <c:pt idx="120">
                  <c:v>H30.10.31</c:v>
                </c:pt>
                <c:pt idx="121">
                  <c:v>H30.11.1</c:v>
                </c:pt>
                <c:pt idx="122">
                  <c:v>H30.11.2</c:v>
                </c:pt>
                <c:pt idx="123">
                  <c:v>H30.11.5</c:v>
                </c:pt>
                <c:pt idx="124">
                  <c:v>H30.11.6</c:v>
                </c:pt>
                <c:pt idx="125">
                  <c:v>H30.11.7</c:v>
                </c:pt>
                <c:pt idx="126">
                  <c:v>H30.11.8</c:v>
                </c:pt>
                <c:pt idx="127">
                  <c:v>H30.11.9</c:v>
                </c:pt>
                <c:pt idx="128">
                  <c:v>H30.11.12</c:v>
                </c:pt>
                <c:pt idx="129">
                  <c:v>H30.11.13</c:v>
                </c:pt>
                <c:pt idx="130">
                  <c:v>H30.11.14</c:v>
                </c:pt>
                <c:pt idx="131">
                  <c:v>H30.11.15</c:v>
                </c:pt>
                <c:pt idx="132">
                  <c:v>H30.11.16</c:v>
                </c:pt>
                <c:pt idx="133">
                  <c:v>H30.11.19</c:v>
                </c:pt>
                <c:pt idx="134">
                  <c:v>H30.11.20</c:v>
                </c:pt>
                <c:pt idx="135">
                  <c:v>H30.11.21</c:v>
                </c:pt>
                <c:pt idx="136">
                  <c:v>H30.11.22</c:v>
                </c:pt>
                <c:pt idx="137">
                  <c:v>H30.11.23</c:v>
                </c:pt>
                <c:pt idx="138">
                  <c:v>H30.11.26</c:v>
                </c:pt>
                <c:pt idx="139">
                  <c:v>H30.11.29</c:v>
                </c:pt>
                <c:pt idx="140">
                  <c:v>H30.12.3</c:v>
                </c:pt>
                <c:pt idx="141">
                  <c:v>H30.12.5</c:v>
                </c:pt>
                <c:pt idx="142">
                  <c:v>H30.12.6</c:v>
                </c:pt>
                <c:pt idx="143">
                  <c:v>H30.12.10</c:v>
                </c:pt>
                <c:pt idx="144">
                  <c:v>H30.12.13</c:v>
                </c:pt>
                <c:pt idx="145">
                  <c:v>H30.12.17</c:v>
                </c:pt>
                <c:pt idx="146">
                  <c:v>H30.12.20</c:v>
                </c:pt>
                <c:pt idx="147">
                  <c:v>H30.12.24</c:v>
                </c:pt>
                <c:pt idx="148">
                  <c:v>H30.12.27</c:v>
                </c:pt>
                <c:pt idx="149">
                  <c:v>H31.1.7</c:v>
                </c:pt>
                <c:pt idx="150">
                  <c:v>H31.1.10</c:v>
                </c:pt>
                <c:pt idx="151">
                  <c:v>H31.1.17</c:v>
                </c:pt>
                <c:pt idx="152">
                  <c:v>H31.1.24</c:v>
                </c:pt>
                <c:pt idx="153">
                  <c:v>H31.1.31</c:v>
                </c:pt>
                <c:pt idx="154">
                  <c:v>H31.2.5</c:v>
                </c:pt>
                <c:pt idx="155">
                  <c:v>H31.2.7</c:v>
                </c:pt>
                <c:pt idx="156">
                  <c:v>H31.2.14</c:v>
                </c:pt>
                <c:pt idx="157">
                  <c:v>H31.2.19</c:v>
                </c:pt>
                <c:pt idx="158">
                  <c:v>H31.2.21</c:v>
                </c:pt>
                <c:pt idx="159">
                  <c:v>H31.2.28</c:v>
                </c:pt>
                <c:pt idx="160">
                  <c:v>H31.3.5</c:v>
                </c:pt>
                <c:pt idx="161">
                  <c:v>H31.3.7</c:v>
                </c:pt>
                <c:pt idx="162">
                  <c:v>H31.3.14</c:v>
                </c:pt>
                <c:pt idx="163">
                  <c:v>H31.3.19</c:v>
                </c:pt>
                <c:pt idx="164">
                  <c:v>H31.3.22</c:v>
                </c:pt>
                <c:pt idx="165">
                  <c:v>H31.3.28</c:v>
                </c:pt>
                <c:pt idx="168">
                  <c:v>年間計</c:v>
                </c:pt>
              </c:strCache>
            </c:strRef>
          </c:cat>
          <c:val>
            <c:numRef>
              <c:f>集計表!$T$93:$T$265</c:f>
              <c:numCache>
                <c:formatCode>General</c:formatCode>
                <c:ptCount val="173"/>
                <c:pt idx="44">
                  <c:v>1500</c:v>
                </c:pt>
                <c:pt idx="45">
                  <c:v>1500</c:v>
                </c:pt>
                <c:pt idx="46">
                  <c:v>1500</c:v>
                </c:pt>
                <c:pt idx="47">
                  <c:v>1500</c:v>
                </c:pt>
                <c:pt idx="48">
                  <c:v>1500</c:v>
                </c:pt>
                <c:pt idx="113">
                  <c:v>1500</c:v>
                </c:pt>
                <c:pt idx="114">
                  <c:v>1500</c:v>
                </c:pt>
                <c:pt idx="115">
                  <c:v>1500</c:v>
                </c:pt>
                <c:pt idx="116">
                  <c:v>1500</c:v>
                </c:pt>
                <c:pt idx="117">
                  <c:v>1500</c:v>
                </c:pt>
              </c:numCache>
            </c:numRef>
          </c:val>
          <c:smooth val="0"/>
        </c:ser>
        <c:dLbls>
          <c:showLegendKey val="0"/>
          <c:showVal val="0"/>
          <c:showCatName val="0"/>
          <c:showSerName val="0"/>
          <c:showPercent val="0"/>
          <c:showBubbleSize val="0"/>
        </c:dLbls>
        <c:marker val="1"/>
        <c:smooth val="0"/>
        <c:axId val="136061312"/>
        <c:axId val="136063232"/>
      </c:lineChart>
      <c:dateAx>
        <c:axId val="136061312"/>
        <c:scaling>
          <c:orientation val="minMax"/>
        </c:scaling>
        <c:delete val="0"/>
        <c:axPos val="b"/>
        <c:majorGridlines>
          <c:spPr>
            <a:ln w="3175">
              <a:pattFill prst="pct50">
                <a:fgClr>
                  <a:srgbClr val="000000"/>
                </a:fgClr>
                <a:bgClr>
                  <a:srgbClr val="FFFFFF"/>
                </a:bgClr>
              </a:pattFill>
              <a:prstDash val="solid"/>
            </a:ln>
          </c:spPr>
        </c:majorGridlines>
        <c:numFmt formatCode="m/d" sourceLinked="0"/>
        <c:majorTickMark val="in"/>
        <c:minorTickMark val="none"/>
        <c:tickLblPos val="nextTo"/>
        <c:spPr>
          <a:ln w="3175">
            <a:solidFill>
              <a:srgbClr val="000000"/>
            </a:solidFill>
            <a:prstDash val="solid"/>
          </a:ln>
        </c:spPr>
        <c:txPr>
          <a:bodyPr rot="-5400000" vert="horz"/>
          <a:lstStyle/>
          <a:p>
            <a:pPr>
              <a:defRPr sz="900" b="0" i="0" u="none" strike="noStrike" baseline="0">
                <a:solidFill>
                  <a:srgbClr val="000000"/>
                </a:solidFill>
                <a:latin typeface="Meiryo UI"/>
                <a:ea typeface="Meiryo UI"/>
                <a:cs typeface="Meiryo UI"/>
              </a:defRPr>
            </a:pPr>
            <a:endParaRPr lang="ja-JP"/>
          </a:p>
        </c:txPr>
        <c:crossAx val="136063232"/>
        <c:crosses val="autoZero"/>
        <c:auto val="0"/>
        <c:lblOffset val="0"/>
        <c:baseTimeUnit val="days"/>
        <c:majorUnit val="24"/>
        <c:minorUnit val="24"/>
      </c:dateAx>
      <c:valAx>
        <c:axId val="136063232"/>
        <c:scaling>
          <c:orientation val="minMax"/>
        </c:scaling>
        <c:delete val="0"/>
        <c:axPos val="l"/>
        <c:majorGridlines>
          <c:spPr>
            <a:ln w="3175">
              <a:pattFill prst="pct50">
                <a:fgClr>
                  <a:srgbClr val="000000"/>
                </a:fgClr>
                <a:bgClr>
                  <a:srgbClr val="FFFFFF"/>
                </a:bgClr>
              </a:pattFill>
              <a:prstDash val="solid"/>
            </a:ln>
          </c:spPr>
        </c:majorGridlines>
        <c:numFmt formatCode="General" sourceLinked="0"/>
        <c:majorTickMark val="in"/>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Meiryo UI"/>
                <a:ea typeface="Meiryo UI"/>
                <a:cs typeface="Meiryo UI"/>
              </a:defRPr>
            </a:pPr>
            <a:endParaRPr lang="ja-JP"/>
          </a:p>
        </c:txPr>
        <c:crossAx val="136061312"/>
        <c:crosses val="autoZero"/>
        <c:crossBetween val="between"/>
      </c:valAx>
      <c:valAx>
        <c:axId val="136077312"/>
        <c:scaling>
          <c:orientation val="minMax"/>
        </c:scaling>
        <c:delete val="0"/>
        <c:axPos val="r"/>
        <c:numFmt formatCode="General" sourceLinked="1"/>
        <c:majorTickMark val="out"/>
        <c:minorTickMark val="none"/>
        <c:tickLblPos val="nextTo"/>
        <c:txPr>
          <a:bodyPr/>
          <a:lstStyle/>
          <a:p>
            <a:pPr>
              <a:defRPr sz="900"/>
            </a:pPr>
            <a:endParaRPr lang="ja-JP"/>
          </a:p>
        </c:txPr>
        <c:crossAx val="136078848"/>
        <c:crosses val="max"/>
        <c:crossBetween val="between"/>
      </c:valAx>
      <c:catAx>
        <c:axId val="136078848"/>
        <c:scaling>
          <c:orientation val="minMax"/>
        </c:scaling>
        <c:delete val="1"/>
        <c:axPos val="b"/>
        <c:numFmt formatCode="[$-411]m\.d\.ge" sourceLinked="1"/>
        <c:majorTickMark val="out"/>
        <c:minorTickMark val="none"/>
        <c:tickLblPos val="nextTo"/>
        <c:crossAx val="136077312"/>
        <c:crosses val="autoZero"/>
        <c:auto val="1"/>
        <c:lblAlgn val="ctr"/>
        <c:lblOffset val="100"/>
        <c:noMultiLvlLbl val="1"/>
      </c:catAx>
      <c:spPr>
        <a:noFill/>
        <a:ln w="12700">
          <a:solidFill>
            <a:srgbClr val="808080"/>
          </a:solidFill>
          <a:prstDash val="solid"/>
        </a:ln>
      </c:spPr>
    </c:plotArea>
    <c:legend>
      <c:legendPos val="r"/>
      <c:layout>
        <c:manualLayout>
          <c:xMode val="edge"/>
          <c:yMode val="edge"/>
          <c:x val="0.38547580898068323"/>
          <c:y val="0.28801529739177034"/>
          <c:w val="0.48467135050290705"/>
          <c:h val="0.11004327882331649"/>
        </c:manualLayout>
      </c:layout>
      <c:overlay val="0"/>
      <c:spPr>
        <a:noFill/>
        <a:ln w="25400">
          <a:noFill/>
        </a:ln>
      </c:spPr>
      <c:txPr>
        <a:bodyPr/>
        <a:lstStyle/>
        <a:p>
          <a:pPr>
            <a:defRPr sz="1000" b="0" i="0" u="none" strike="noStrike" baseline="0">
              <a:solidFill>
                <a:srgbClr val="000000"/>
              </a:solidFill>
              <a:latin typeface="Meiryo UI"/>
              <a:ea typeface="Meiryo UI"/>
              <a:cs typeface="Meiryo UI"/>
            </a:defRPr>
          </a:pPr>
          <a:endParaRPr lang="ja-JP"/>
        </a:p>
      </c:txPr>
    </c:legend>
    <c:plotVisOnly val="1"/>
    <c:dispBlanksAs val="span"/>
    <c:showDLblsOverMax val="0"/>
  </c:chart>
  <c:spPr>
    <a:solidFill>
      <a:srgbClr val="FFFFFF"/>
    </a:solidFill>
    <a:ln w="3175">
      <a:solidFill>
        <a:srgbClr val="000000"/>
      </a:solidFill>
      <a:prstDash val="solid"/>
    </a:ln>
  </c:spPr>
  <c:txPr>
    <a:bodyPr/>
    <a:lstStyle/>
    <a:p>
      <a:pPr>
        <a:defRPr sz="475" b="0" i="0" u="none" strike="noStrike" baseline="0">
          <a:solidFill>
            <a:srgbClr val="000000"/>
          </a:solidFill>
          <a:latin typeface="Meiryo UI"/>
          <a:ea typeface="Meiryo UI"/>
          <a:cs typeface="Meiryo UI"/>
        </a:defRPr>
      </a:pPr>
      <a:endParaRPr lang="ja-JP"/>
    </a:p>
  </c:txPr>
  <c:printSettings>
    <c:headerFooter alignWithMargins="0"/>
    <c:pageMargins b="1" l="0.75" r="0.75" t="1" header="0.51200000000000001" footer="0.51200000000000001"/>
    <c:pageSetup paperSize="9" orientation="landscape" horizontalDpi="200" verticalDpi="200"/>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0"/>
    <c:plotArea>
      <c:layout>
        <c:manualLayout>
          <c:layoutTarget val="inner"/>
          <c:xMode val="edge"/>
          <c:yMode val="edge"/>
          <c:x val="3.2805462876462479E-2"/>
          <c:y val="6.7264536644457903E-2"/>
          <c:w val="0.95405311624182565"/>
          <c:h val="0.82232256682200444"/>
        </c:manualLayout>
      </c:layout>
      <c:lineChart>
        <c:grouping val="standard"/>
        <c:varyColors val="0"/>
        <c:ser>
          <c:idx val="0"/>
          <c:order val="0"/>
          <c:tx>
            <c:strRef>
              <c:f>集計表!$AU$81</c:f>
              <c:strCache>
                <c:ptCount val="1"/>
                <c:pt idx="0">
                  <c:v>直接焼却量 F ※</c:v>
                </c:pt>
              </c:strCache>
            </c:strRef>
          </c:tx>
          <c:spPr>
            <a:ln w="0">
              <a:solidFill>
                <a:srgbClr val="0000FF"/>
              </a:solidFill>
              <a:prstDash val="solid"/>
            </a:ln>
          </c:spPr>
          <c:marker>
            <c:symbol val="diamond"/>
            <c:size val="5"/>
          </c:marker>
          <c:trendline>
            <c:trendlineType val="linear"/>
            <c:dispRSqr val="0"/>
            <c:dispEq val="1"/>
            <c:trendlineLbl>
              <c:layout>
                <c:manualLayout>
                  <c:x val="-0.10452675259168023"/>
                  <c:y val="-4.5850249894795643E-2"/>
                </c:manualLayout>
              </c:layout>
              <c:numFmt formatCode="General" sourceLinked="0"/>
              <c:txPr>
                <a:bodyPr/>
                <a:lstStyle/>
                <a:p>
                  <a:pPr>
                    <a:defRPr sz="900"/>
                  </a:pPr>
                  <a:endParaRPr lang="ja-JP"/>
                </a:p>
              </c:txPr>
            </c:trendlineLbl>
          </c:trendline>
          <c:cat>
            <c:strRef>
              <c:f>集計表!$AL$82:$AL$89</c:f>
              <c:strCache>
                <c:ptCount val="8"/>
                <c:pt idx="0">
                  <c:v>H23</c:v>
                </c:pt>
                <c:pt idx="1">
                  <c:v>H24</c:v>
                </c:pt>
                <c:pt idx="2">
                  <c:v>H25</c:v>
                </c:pt>
                <c:pt idx="3">
                  <c:v>H26</c:v>
                </c:pt>
                <c:pt idx="4">
                  <c:v>H27</c:v>
                </c:pt>
                <c:pt idx="5">
                  <c:v>H28</c:v>
                </c:pt>
                <c:pt idx="6">
                  <c:v>H29</c:v>
                </c:pt>
                <c:pt idx="7">
                  <c:v>H30</c:v>
                </c:pt>
              </c:strCache>
            </c:strRef>
          </c:cat>
          <c:val>
            <c:numRef>
              <c:f>集計表!$AU$82:$AU$89</c:f>
              <c:numCache>
                <c:formatCode>General</c:formatCode>
                <c:ptCount val="8"/>
                <c:pt idx="0">
                  <c:v>12463</c:v>
                </c:pt>
                <c:pt idx="1">
                  <c:v>12956</c:v>
                </c:pt>
                <c:pt idx="2">
                  <c:v>12868</c:v>
                </c:pt>
                <c:pt idx="3">
                  <c:v>13174</c:v>
                </c:pt>
                <c:pt idx="4">
                  <c:v>13695</c:v>
                </c:pt>
                <c:pt idx="5">
                  <c:v>13314</c:v>
                </c:pt>
                <c:pt idx="6" formatCode="0">
                  <c:v>13756.11</c:v>
                </c:pt>
                <c:pt idx="7" formatCode="0">
                  <c:v>13949.6</c:v>
                </c:pt>
              </c:numCache>
            </c:numRef>
          </c:val>
          <c:smooth val="0"/>
        </c:ser>
        <c:ser>
          <c:idx val="1"/>
          <c:order val="1"/>
          <c:tx>
            <c:strRef>
              <c:f>集計表!$BC$81</c:f>
              <c:strCache>
                <c:ptCount val="1"/>
                <c:pt idx="0">
                  <c:v>焼却残渣量 K</c:v>
                </c:pt>
              </c:strCache>
            </c:strRef>
          </c:tx>
          <c:spPr>
            <a:ln w="25400" cmpd="dbl">
              <a:solidFill>
                <a:srgbClr val="FF0000"/>
              </a:solidFill>
              <a:prstDash val="sysDot"/>
            </a:ln>
          </c:spPr>
          <c:marker>
            <c:symbol val="square"/>
            <c:size val="5"/>
          </c:marker>
          <c:trendline>
            <c:trendlineType val="linear"/>
            <c:dispRSqr val="0"/>
            <c:dispEq val="1"/>
            <c:trendlineLbl>
              <c:layout>
                <c:manualLayout>
                  <c:x val="-7.6407278699101161E-2"/>
                  <c:y val="-6.3479049468815857E-2"/>
                </c:manualLayout>
              </c:layout>
              <c:numFmt formatCode="General" sourceLinked="0"/>
              <c:txPr>
                <a:bodyPr/>
                <a:lstStyle/>
                <a:p>
                  <a:pPr>
                    <a:defRPr sz="900"/>
                  </a:pPr>
                  <a:endParaRPr lang="ja-JP"/>
                </a:p>
              </c:txPr>
            </c:trendlineLbl>
          </c:trendline>
          <c:cat>
            <c:strRef>
              <c:f>集計表!$AL$82:$AL$89</c:f>
              <c:strCache>
                <c:ptCount val="8"/>
                <c:pt idx="0">
                  <c:v>H23</c:v>
                </c:pt>
                <c:pt idx="1">
                  <c:v>H24</c:v>
                </c:pt>
                <c:pt idx="2">
                  <c:v>H25</c:v>
                </c:pt>
                <c:pt idx="3">
                  <c:v>H26</c:v>
                </c:pt>
                <c:pt idx="4">
                  <c:v>H27</c:v>
                </c:pt>
                <c:pt idx="5">
                  <c:v>H28</c:v>
                </c:pt>
                <c:pt idx="6">
                  <c:v>H29</c:v>
                </c:pt>
                <c:pt idx="7">
                  <c:v>H30</c:v>
                </c:pt>
              </c:strCache>
            </c:strRef>
          </c:cat>
          <c:val>
            <c:numRef>
              <c:f>集計表!$BC$82:$BC$89</c:f>
              <c:numCache>
                <c:formatCode>General</c:formatCode>
                <c:ptCount val="8"/>
                <c:pt idx="0">
                  <c:v>2112</c:v>
                </c:pt>
                <c:pt idx="1">
                  <c:v>2535</c:v>
                </c:pt>
                <c:pt idx="2">
                  <c:v>2263</c:v>
                </c:pt>
                <c:pt idx="3">
                  <c:v>2374</c:v>
                </c:pt>
                <c:pt idx="4">
                  <c:v>2371</c:v>
                </c:pt>
                <c:pt idx="5">
                  <c:v>2375</c:v>
                </c:pt>
                <c:pt idx="6" formatCode="0">
                  <c:v>2431.7020000000002</c:v>
                </c:pt>
                <c:pt idx="7" formatCode="0">
                  <c:v>2458.3879999999999</c:v>
                </c:pt>
              </c:numCache>
            </c:numRef>
          </c:val>
          <c:smooth val="0"/>
        </c:ser>
        <c:dLbls>
          <c:showLegendKey val="0"/>
          <c:showVal val="0"/>
          <c:showCatName val="0"/>
          <c:showSerName val="0"/>
          <c:showPercent val="0"/>
          <c:showBubbleSize val="0"/>
        </c:dLbls>
        <c:marker val="1"/>
        <c:smooth val="0"/>
        <c:axId val="136122368"/>
        <c:axId val="136123904"/>
      </c:lineChart>
      <c:catAx>
        <c:axId val="136122368"/>
        <c:scaling>
          <c:orientation val="minMax"/>
        </c:scaling>
        <c:delete val="0"/>
        <c:axPos val="b"/>
        <c:majorGridlines>
          <c:spPr>
            <a:ln w="3175">
              <a:solidFill>
                <a:sysClr val="window" lastClr="FFFFFF">
                  <a:lumMod val="75000"/>
                </a:sysClr>
              </a:solidFill>
              <a:prstDash val="solid"/>
            </a:ln>
          </c:spPr>
        </c:majorGridlines>
        <c:numFmt formatCode="m/d" sourceLinked="0"/>
        <c:majorTickMark val="in"/>
        <c:minorTickMark val="none"/>
        <c:tickLblPos val="nextTo"/>
        <c:spPr>
          <a:ln w="3175">
            <a:solidFill>
              <a:srgbClr val="000000"/>
            </a:solidFill>
            <a:prstDash val="solid"/>
          </a:ln>
        </c:spPr>
        <c:txPr>
          <a:bodyPr rot="-5400000" vert="horz"/>
          <a:lstStyle/>
          <a:p>
            <a:pPr>
              <a:defRPr sz="900" b="0" i="0" u="none" strike="noStrike" baseline="0">
                <a:solidFill>
                  <a:srgbClr val="000000"/>
                </a:solidFill>
                <a:latin typeface="Meiryo UI"/>
                <a:ea typeface="Meiryo UI"/>
                <a:cs typeface="Meiryo UI"/>
              </a:defRPr>
            </a:pPr>
            <a:endParaRPr lang="ja-JP"/>
          </a:p>
        </c:txPr>
        <c:crossAx val="136123904"/>
        <c:crosses val="autoZero"/>
        <c:auto val="0"/>
        <c:lblAlgn val="ctr"/>
        <c:lblOffset val="0"/>
        <c:tickLblSkip val="1"/>
        <c:tickMarkSkip val="1"/>
        <c:noMultiLvlLbl val="0"/>
      </c:catAx>
      <c:valAx>
        <c:axId val="136123904"/>
        <c:scaling>
          <c:orientation val="minMax"/>
        </c:scaling>
        <c:delete val="0"/>
        <c:axPos val="l"/>
        <c:majorGridlines>
          <c:spPr>
            <a:ln w="3175">
              <a:solidFill>
                <a:sysClr val="window" lastClr="FFFFFF">
                  <a:lumMod val="75000"/>
                </a:sysClr>
              </a:solidFill>
              <a:prstDash val="solid"/>
            </a:ln>
          </c:spPr>
        </c:majorGridlines>
        <c:numFmt formatCode="General" sourceLinked="0"/>
        <c:majorTickMark val="in"/>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Meiryo UI"/>
                <a:ea typeface="Meiryo UI"/>
                <a:cs typeface="Meiryo UI"/>
              </a:defRPr>
            </a:pPr>
            <a:endParaRPr lang="ja-JP"/>
          </a:p>
        </c:txPr>
        <c:crossAx val="136122368"/>
        <c:crosses val="autoZero"/>
        <c:crossBetween val="between"/>
      </c:valAx>
      <c:spPr>
        <a:noFill/>
        <a:ln w="12700">
          <a:solidFill>
            <a:srgbClr val="808080"/>
          </a:solidFill>
          <a:prstDash val="solid"/>
        </a:ln>
      </c:spPr>
    </c:plotArea>
    <c:legend>
      <c:legendPos val="r"/>
      <c:layout>
        <c:manualLayout>
          <c:xMode val="edge"/>
          <c:yMode val="edge"/>
          <c:x val="0.40083693152907318"/>
          <c:y val="0.30473358233401932"/>
          <c:w val="0.5730536028311598"/>
          <c:h val="0.24342585695595001"/>
        </c:manualLayout>
      </c:layout>
      <c:overlay val="0"/>
      <c:spPr>
        <a:noFill/>
        <a:ln w="25400">
          <a:noFill/>
        </a:ln>
      </c:spPr>
      <c:txPr>
        <a:bodyPr/>
        <a:lstStyle/>
        <a:p>
          <a:pPr>
            <a:defRPr sz="900" b="0" i="0" u="none" strike="noStrike" baseline="0">
              <a:solidFill>
                <a:srgbClr val="000000"/>
              </a:solidFill>
              <a:latin typeface="Meiryo UI"/>
              <a:ea typeface="Meiryo UI"/>
              <a:cs typeface="Meiryo UI"/>
            </a:defRPr>
          </a:pPr>
          <a:endParaRPr lang="ja-JP"/>
        </a:p>
      </c:txPr>
    </c:legend>
    <c:plotVisOnly val="1"/>
    <c:dispBlanksAs val="span"/>
    <c:showDLblsOverMax val="0"/>
  </c:chart>
  <c:spPr>
    <a:solidFill>
      <a:srgbClr val="FFFFFF"/>
    </a:solidFill>
    <a:ln w="3175">
      <a:solidFill>
        <a:srgbClr val="000000"/>
      </a:solidFill>
      <a:prstDash val="solid"/>
    </a:ln>
  </c:spPr>
  <c:txPr>
    <a:bodyPr/>
    <a:lstStyle/>
    <a:p>
      <a:pPr>
        <a:defRPr sz="475" b="0" i="0" u="none" strike="noStrike" baseline="0">
          <a:solidFill>
            <a:srgbClr val="000000"/>
          </a:solidFill>
          <a:latin typeface="Meiryo UI"/>
          <a:ea typeface="Meiryo UI"/>
          <a:cs typeface="Meiryo UI"/>
        </a:defRPr>
      </a:pPr>
      <a:endParaRPr lang="ja-JP"/>
    </a:p>
  </c:txPr>
  <c:printSettings>
    <c:headerFooter alignWithMargins="0"/>
    <c:pageMargins b="1" l="0.75" r="0.75" t="1" header="0.51200000000000001" footer="0.51200000000000001"/>
    <c:pageSetup paperSize="9" orientation="landscape" horizontalDpi="200" verticalDpi="200"/>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0"/>
    <c:plotArea>
      <c:layout>
        <c:manualLayout>
          <c:layoutTarget val="inner"/>
          <c:xMode val="edge"/>
          <c:yMode val="edge"/>
          <c:x val="0.16880070366767766"/>
          <c:y val="9.7778202162335778E-2"/>
          <c:w val="0.83119929633232237"/>
          <c:h val="0.73324987379081397"/>
        </c:manualLayout>
      </c:layout>
      <c:lineChart>
        <c:grouping val="standard"/>
        <c:varyColors val="0"/>
        <c:ser>
          <c:idx val="0"/>
          <c:order val="0"/>
          <c:tx>
            <c:strRef>
              <c:f>集計表!$BH$124</c:f>
              <c:strCache>
                <c:ptCount val="1"/>
                <c:pt idx="0">
                  <c:v>飛灰(Bq/kg)</c:v>
                </c:pt>
              </c:strCache>
            </c:strRef>
          </c:tx>
          <c:spPr>
            <a:ln w="12700">
              <a:solidFill>
                <a:srgbClr val="0000FF"/>
              </a:solidFill>
              <a:prstDash val="solid"/>
            </a:ln>
          </c:spPr>
          <c:marker>
            <c:symbol val="diamond"/>
            <c:size val="5"/>
            <c:spPr>
              <a:solidFill>
                <a:srgbClr val="0000FF"/>
              </a:solidFill>
              <a:ln>
                <a:solidFill>
                  <a:srgbClr val="0000FF"/>
                </a:solidFill>
                <a:prstDash val="solid"/>
              </a:ln>
            </c:spPr>
          </c:marker>
          <c:cat>
            <c:numRef>
              <c:f>集計表!$BG$128:$BG$145</c:f>
              <c:numCache>
                <c:formatCode>[$-411]ge\.m</c:formatCode>
                <c:ptCount val="18"/>
                <c:pt idx="0">
                  <c:v>40831</c:v>
                </c:pt>
                <c:pt idx="1">
                  <c:v>43209</c:v>
                </c:pt>
                <c:pt idx="2">
                  <c:v>43241</c:v>
                </c:pt>
                <c:pt idx="3">
                  <c:v>43264</c:v>
                </c:pt>
                <c:pt idx="4">
                  <c:v>43269</c:v>
                </c:pt>
                <c:pt idx="5">
                  <c:v>43298</c:v>
                </c:pt>
                <c:pt idx="6">
                  <c:v>43309</c:v>
                </c:pt>
                <c:pt idx="7">
                  <c:v>43328</c:v>
                </c:pt>
                <c:pt idx="8">
                  <c:v>43336</c:v>
                </c:pt>
                <c:pt idx="9">
                  <c:v>43356</c:v>
                </c:pt>
                <c:pt idx="10">
                  <c:v>43365</c:v>
                </c:pt>
                <c:pt idx="11">
                  <c:v>43389</c:v>
                </c:pt>
                <c:pt idx="12">
                  <c:v>43399</c:v>
                </c:pt>
                <c:pt idx="13">
                  <c:v>43424</c:v>
                </c:pt>
                <c:pt idx="14">
                  <c:v>43454</c:v>
                </c:pt>
                <c:pt idx="15">
                  <c:v>43482</c:v>
                </c:pt>
                <c:pt idx="16">
                  <c:v>43515</c:v>
                </c:pt>
                <c:pt idx="17">
                  <c:v>43543</c:v>
                </c:pt>
              </c:numCache>
            </c:numRef>
          </c:cat>
          <c:val>
            <c:numRef>
              <c:f>集計表!$BH$128:$BH$145</c:f>
              <c:numCache>
                <c:formatCode>General</c:formatCode>
                <c:ptCount val="18"/>
                <c:pt idx="0">
                  <c:v>1630</c:v>
                </c:pt>
                <c:pt idx="1">
                  <c:v>110</c:v>
                </c:pt>
                <c:pt idx="2">
                  <c:v>373</c:v>
                </c:pt>
                <c:pt idx="3">
                  <c:v>95</c:v>
                </c:pt>
                <c:pt idx="4">
                  <c:v>160</c:v>
                </c:pt>
                <c:pt idx="5">
                  <c:v>110</c:v>
                </c:pt>
                <c:pt idx="6">
                  <c:v>349</c:v>
                </c:pt>
                <c:pt idx="7">
                  <c:v>160</c:v>
                </c:pt>
                <c:pt idx="8">
                  <c:v>210</c:v>
                </c:pt>
                <c:pt idx="9">
                  <c:v>176</c:v>
                </c:pt>
                <c:pt idx="10">
                  <c:v>253</c:v>
                </c:pt>
                <c:pt idx="11">
                  <c:v>208</c:v>
                </c:pt>
                <c:pt idx="12">
                  <c:v>419</c:v>
                </c:pt>
                <c:pt idx="13">
                  <c:v>165</c:v>
                </c:pt>
                <c:pt idx="14">
                  <c:v>170</c:v>
                </c:pt>
                <c:pt idx="15">
                  <c:v>130</c:v>
                </c:pt>
                <c:pt idx="16">
                  <c:v>66</c:v>
                </c:pt>
                <c:pt idx="17">
                  <c:v>51</c:v>
                </c:pt>
              </c:numCache>
            </c:numRef>
          </c:val>
          <c:smooth val="0"/>
        </c:ser>
        <c:ser>
          <c:idx val="1"/>
          <c:order val="1"/>
          <c:tx>
            <c:strRef>
              <c:f>集計表!$BI$124</c:f>
              <c:strCache>
                <c:ptCount val="1"/>
                <c:pt idx="0">
                  <c:v>主灰(Bq/kg)</c:v>
                </c:pt>
              </c:strCache>
            </c:strRef>
          </c:tx>
          <c:spPr>
            <a:ln w="12700">
              <a:solidFill>
                <a:srgbClr val="FF0000"/>
              </a:solidFill>
              <a:prstDash val="solid"/>
            </a:ln>
          </c:spPr>
          <c:marker>
            <c:symbol val="square"/>
            <c:size val="6"/>
            <c:spPr>
              <a:solidFill>
                <a:srgbClr val="FFFFFF"/>
              </a:solidFill>
              <a:ln>
                <a:solidFill>
                  <a:srgbClr val="FF0000"/>
                </a:solidFill>
                <a:prstDash val="solid"/>
              </a:ln>
            </c:spPr>
          </c:marker>
          <c:cat>
            <c:numRef>
              <c:f>集計表!$BG$128:$BG$145</c:f>
              <c:numCache>
                <c:formatCode>[$-411]ge\.m</c:formatCode>
                <c:ptCount val="18"/>
                <c:pt idx="0">
                  <c:v>40831</c:v>
                </c:pt>
                <c:pt idx="1">
                  <c:v>43209</c:v>
                </c:pt>
                <c:pt idx="2">
                  <c:v>43241</c:v>
                </c:pt>
                <c:pt idx="3">
                  <c:v>43264</c:v>
                </c:pt>
                <c:pt idx="4">
                  <c:v>43269</c:v>
                </c:pt>
                <c:pt idx="5">
                  <c:v>43298</c:v>
                </c:pt>
                <c:pt idx="6">
                  <c:v>43309</c:v>
                </c:pt>
                <c:pt idx="7">
                  <c:v>43328</c:v>
                </c:pt>
                <c:pt idx="8">
                  <c:v>43336</c:v>
                </c:pt>
                <c:pt idx="9">
                  <c:v>43356</c:v>
                </c:pt>
                <c:pt idx="10">
                  <c:v>43365</c:v>
                </c:pt>
                <c:pt idx="11">
                  <c:v>43389</c:v>
                </c:pt>
                <c:pt idx="12">
                  <c:v>43399</c:v>
                </c:pt>
                <c:pt idx="13">
                  <c:v>43424</c:v>
                </c:pt>
                <c:pt idx="14">
                  <c:v>43454</c:v>
                </c:pt>
                <c:pt idx="15">
                  <c:v>43482</c:v>
                </c:pt>
                <c:pt idx="16">
                  <c:v>43515</c:v>
                </c:pt>
                <c:pt idx="17">
                  <c:v>43543</c:v>
                </c:pt>
              </c:numCache>
            </c:numRef>
          </c:cat>
          <c:val>
            <c:numRef>
              <c:f>集計表!$BI$128:$BI$145</c:f>
              <c:numCache>
                <c:formatCode>General</c:formatCode>
                <c:ptCount val="18"/>
                <c:pt idx="1">
                  <c:v>32</c:v>
                </c:pt>
                <c:pt idx="2">
                  <c:v>110</c:v>
                </c:pt>
                <c:pt idx="3">
                  <c:v>34</c:v>
                </c:pt>
                <c:pt idx="4">
                  <c:v>54</c:v>
                </c:pt>
                <c:pt idx="5">
                  <c:v>47</c:v>
                </c:pt>
                <c:pt idx="6">
                  <c:v>74</c:v>
                </c:pt>
                <c:pt idx="7">
                  <c:v>59</c:v>
                </c:pt>
                <c:pt idx="8">
                  <c:v>56</c:v>
                </c:pt>
                <c:pt idx="9">
                  <c:v>33</c:v>
                </c:pt>
                <c:pt idx="10">
                  <c:v>56</c:v>
                </c:pt>
                <c:pt idx="12">
                  <c:v>98</c:v>
                </c:pt>
                <c:pt idx="13">
                  <c:v>58</c:v>
                </c:pt>
                <c:pt idx="14">
                  <c:v>45</c:v>
                </c:pt>
                <c:pt idx="15">
                  <c:v>81</c:v>
                </c:pt>
                <c:pt idx="16">
                  <c:v>19</c:v>
                </c:pt>
                <c:pt idx="17">
                  <c:v>0</c:v>
                </c:pt>
              </c:numCache>
            </c:numRef>
          </c:val>
          <c:smooth val="0"/>
        </c:ser>
        <c:dLbls>
          <c:showLegendKey val="0"/>
          <c:showVal val="0"/>
          <c:showCatName val="0"/>
          <c:showSerName val="0"/>
          <c:showPercent val="0"/>
          <c:showBubbleSize val="0"/>
        </c:dLbls>
        <c:marker val="1"/>
        <c:smooth val="0"/>
        <c:axId val="136156672"/>
        <c:axId val="136158592"/>
      </c:lineChart>
      <c:dateAx>
        <c:axId val="136156672"/>
        <c:scaling>
          <c:orientation val="minMax"/>
        </c:scaling>
        <c:delete val="0"/>
        <c:axPos val="b"/>
        <c:majorGridlines>
          <c:spPr>
            <a:ln w="3175">
              <a:solidFill>
                <a:sysClr val="window" lastClr="FFFFFF">
                  <a:lumMod val="85000"/>
                </a:sysClr>
              </a:solidFill>
              <a:prstDash val="solid"/>
            </a:ln>
          </c:spPr>
        </c:majorGridlines>
        <c:numFmt formatCode="ge\.m" sourceLinked="0"/>
        <c:majorTickMark val="in"/>
        <c:minorTickMark val="none"/>
        <c:tickLblPos val="nextTo"/>
        <c:spPr>
          <a:ln w="3175">
            <a:solidFill>
              <a:srgbClr val="000000"/>
            </a:solidFill>
            <a:prstDash val="solid"/>
          </a:ln>
        </c:spPr>
        <c:txPr>
          <a:bodyPr rot="-5400000" vert="horz"/>
          <a:lstStyle/>
          <a:p>
            <a:pPr>
              <a:defRPr sz="800" b="0" i="0" u="none" strike="noStrike" baseline="0">
                <a:solidFill>
                  <a:srgbClr val="000000"/>
                </a:solidFill>
                <a:latin typeface="Meiryo UI"/>
                <a:ea typeface="Meiryo UI"/>
                <a:cs typeface="Meiryo UI"/>
              </a:defRPr>
            </a:pPr>
            <a:endParaRPr lang="ja-JP"/>
          </a:p>
        </c:txPr>
        <c:crossAx val="136158592"/>
        <c:crosses val="autoZero"/>
        <c:auto val="0"/>
        <c:lblOffset val="100"/>
        <c:baseTimeUnit val="days"/>
      </c:dateAx>
      <c:valAx>
        <c:axId val="136158592"/>
        <c:scaling>
          <c:logBase val="10"/>
          <c:orientation val="minMax"/>
        </c:scaling>
        <c:delete val="0"/>
        <c:axPos val="l"/>
        <c:minorGridlines/>
        <c:numFmt formatCode="General" sourceLinked="0"/>
        <c:majorTickMark val="in"/>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Meiryo UI"/>
                <a:ea typeface="Meiryo UI"/>
                <a:cs typeface="Meiryo UI"/>
              </a:defRPr>
            </a:pPr>
            <a:endParaRPr lang="ja-JP"/>
          </a:p>
        </c:txPr>
        <c:crossAx val="136156672"/>
        <c:crosses val="autoZero"/>
        <c:crossBetween val="between"/>
      </c:valAx>
      <c:spPr>
        <a:noFill/>
        <a:ln w="12700">
          <a:solidFill>
            <a:srgbClr val="808080"/>
          </a:solidFill>
          <a:prstDash val="solid"/>
        </a:ln>
      </c:spPr>
    </c:plotArea>
    <c:legend>
      <c:legendPos val="r"/>
      <c:layout>
        <c:manualLayout>
          <c:xMode val="edge"/>
          <c:yMode val="edge"/>
          <c:x val="0.19886023622047244"/>
          <c:y val="3.703703703703703E-3"/>
          <c:w val="0.79768898698432278"/>
          <c:h val="0.16000069444745854"/>
        </c:manualLayout>
      </c:layout>
      <c:overlay val="0"/>
      <c:spPr>
        <a:noFill/>
        <a:ln w="25400">
          <a:noFill/>
        </a:ln>
      </c:spPr>
      <c:txPr>
        <a:bodyPr/>
        <a:lstStyle/>
        <a:p>
          <a:pPr>
            <a:defRPr sz="1010" b="0" i="0" u="none" strike="noStrike" baseline="0">
              <a:solidFill>
                <a:srgbClr val="000000"/>
              </a:solidFill>
              <a:latin typeface="Meiryo UI"/>
              <a:ea typeface="Meiryo UI"/>
              <a:cs typeface="Meiryo UI"/>
            </a:defRPr>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horizontalDpi="200" verticalDpi="200"/>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0"/>
    <c:plotArea>
      <c:layout>
        <c:manualLayout>
          <c:layoutTarget val="inner"/>
          <c:xMode val="edge"/>
          <c:yMode val="edge"/>
          <c:x val="3.6195255004889092E-2"/>
          <c:y val="0.12360257784678323"/>
          <c:w val="0.8595291182661573"/>
          <c:h val="0.75979534816212491"/>
        </c:manualLayout>
      </c:layout>
      <c:lineChart>
        <c:grouping val="standard"/>
        <c:varyColors val="0"/>
        <c:ser>
          <c:idx val="0"/>
          <c:order val="0"/>
          <c:tx>
            <c:strRef>
              <c:f>月間量回帰式!$C$3:$C$4</c:f>
              <c:strCache>
                <c:ptCount val="1"/>
                <c:pt idx="0">
                  <c:v>石巻広域クリセ 230(115tx2炉〉</c:v>
                </c:pt>
              </c:strCache>
            </c:strRef>
          </c:tx>
          <c:spPr>
            <a:ln w="0">
              <a:solidFill>
                <a:srgbClr val="0000FF"/>
              </a:solidFill>
              <a:prstDash val="solid"/>
            </a:ln>
          </c:spPr>
          <c:marker>
            <c:symbol val="diamond"/>
            <c:size val="4"/>
            <c:spPr>
              <a:noFill/>
              <a:ln>
                <a:solidFill>
                  <a:srgbClr val="0000FF"/>
                </a:solidFill>
                <a:prstDash val="solid"/>
              </a:ln>
            </c:spPr>
          </c:marker>
          <c:cat>
            <c:numRef>
              <c:f>月間量回帰式!$B$20:$B$103</c:f>
              <c:numCache>
                <c:formatCode>[$-411]ge\.m</c:formatCode>
                <c:ptCount val="84"/>
                <c:pt idx="0">
                  <c:v>41012</c:v>
                </c:pt>
                <c:pt idx="1">
                  <c:v>41045</c:v>
                </c:pt>
                <c:pt idx="2">
                  <c:v>41073</c:v>
                </c:pt>
                <c:pt idx="3">
                  <c:v>41101</c:v>
                </c:pt>
                <c:pt idx="4">
                  <c:v>41129</c:v>
                </c:pt>
                <c:pt idx="5">
                  <c:v>41164</c:v>
                </c:pt>
                <c:pt idx="6">
                  <c:v>41199</c:v>
                </c:pt>
                <c:pt idx="7">
                  <c:v>41234</c:v>
                </c:pt>
                <c:pt idx="8">
                  <c:v>41262</c:v>
                </c:pt>
                <c:pt idx="9">
                  <c:v>41290</c:v>
                </c:pt>
                <c:pt idx="10">
                  <c:v>41318</c:v>
                </c:pt>
                <c:pt idx="11">
                  <c:v>41346</c:v>
                </c:pt>
                <c:pt idx="12">
                  <c:v>41376</c:v>
                </c:pt>
                <c:pt idx="13">
                  <c:v>41410</c:v>
                </c:pt>
                <c:pt idx="14">
                  <c:v>41437</c:v>
                </c:pt>
                <c:pt idx="15">
                  <c:v>41465</c:v>
                </c:pt>
                <c:pt idx="16">
                  <c:v>41493</c:v>
                </c:pt>
                <c:pt idx="17">
                  <c:v>41521</c:v>
                </c:pt>
                <c:pt idx="18">
                  <c:v>41557</c:v>
                </c:pt>
                <c:pt idx="19">
                  <c:v>41591</c:v>
                </c:pt>
                <c:pt idx="20">
                  <c:v>41619</c:v>
                </c:pt>
                <c:pt idx="21">
                  <c:v>41647</c:v>
                </c:pt>
                <c:pt idx="22">
                  <c:v>41675</c:v>
                </c:pt>
                <c:pt idx="23">
                  <c:v>41703</c:v>
                </c:pt>
                <c:pt idx="24">
                  <c:v>41739</c:v>
                </c:pt>
                <c:pt idx="25">
                  <c:v>41773</c:v>
                </c:pt>
                <c:pt idx="26">
                  <c:v>41801</c:v>
                </c:pt>
                <c:pt idx="27">
                  <c:v>41829</c:v>
                </c:pt>
                <c:pt idx="28">
                  <c:v>41857</c:v>
                </c:pt>
                <c:pt idx="29">
                  <c:v>41892</c:v>
                </c:pt>
                <c:pt idx="30">
                  <c:v>41920</c:v>
                </c:pt>
                <c:pt idx="31">
                  <c:v>41948</c:v>
                </c:pt>
                <c:pt idx="32">
                  <c:v>41984</c:v>
                </c:pt>
                <c:pt idx="33">
                  <c:v>42012</c:v>
                </c:pt>
                <c:pt idx="34">
                  <c:v>42039</c:v>
                </c:pt>
                <c:pt idx="35">
                  <c:v>42067</c:v>
                </c:pt>
                <c:pt idx="36">
                  <c:v>42095</c:v>
                </c:pt>
                <c:pt idx="37">
                  <c:v>42131</c:v>
                </c:pt>
                <c:pt idx="38">
                  <c:v>42158</c:v>
                </c:pt>
                <c:pt idx="39">
                  <c:v>42193</c:v>
                </c:pt>
                <c:pt idx="40">
                  <c:v>42221</c:v>
                </c:pt>
                <c:pt idx="41">
                  <c:v>42249</c:v>
                </c:pt>
                <c:pt idx="42">
                  <c:v>42284</c:v>
                </c:pt>
                <c:pt idx="43">
                  <c:v>42312</c:v>
                </c:pt>
                <c:pt idx="44">
                  <c:v>42340</c:v>
                </c:pt>
                <c:pt idx="45">
                  <c:v>42375</c:v>
                </c:pt>
                <c:pt idx="46">
                  <c:v>42403</c:v>
                </c:pt>
                <c:pt idx="47">
                  <c:v>42431</c:v>
                </c:pt>
                <c:pt idx="48">
                  <c:v>42461</c:v>
                </c:pt>
                <c:pt idx="49">
                  <c:v>42492</c:v>
                </c:pt>
                <c:pt idx="50">
                  <c:v>42522</c:v>
                </c:pt>
                <c:pt idx="51">
                  <c:v>42552</c:v>
                </c:pt>
                <c:pt idx="52">
                  <c:v>42585</c:v>
                </c:pt>
                <c:pt idx="53">
                  <c:v>42614</c:v>
                </c:pt>
                <c:pt idx="54">
                  <c:v>42647</c:v>
                </c:pt>
                <c:pt idx="55">
                  <c:v>42678</c:v>
                </c:pt>
                <c:pt idx="56">
                  <c:v>42705</c:v>
                </c:pt>
                <c:pt idx="57">
                  <c:v>42741</c:v>
                </c:pt>
                <c:pt idx="58">
                  <c:v>42767</c:v>
                </c:pt>
                <c:pt idx="59">
                  <c:v>42797</c:v>
                </c:pt>
                <c:pt idx="60">
                  <c:v>42828</c:v>
                </c:pt>
                <c:pt idx="61">
                  <c:v>42857</c:v>
                </c:pt>
                <c:pt idx="62">
                  <c:v>42887</c:v>
                </c:pt>
                <c:pt idx="63">
                  <c:v>42919</c:v>
                </c:pt>
                <c:pt idx="64">
                  <c:v>42948</c:v>
                </c:pt>
                <c:pt idx="65">
                  <c:v>42979</c:v>
                </c:pt>
                <c:pt idx="66">
                  <c:v>43010</c:v>
                </c:pt>
                <c:pt idx="67">
                  <c:v>43055</c:v>
                </c:pt>
                <c:pt idx="68">
                  <c:v>43070</c:v>
                </c:pt>
                <c:pt idx="69">
                  <c:v>43105</c:v>
                </c:pt>
                <c:pt idx="70">
                  <c:v>43132</c:v>
                </c:pt>
                <c:pt idx="71">
                  <c:v>43160</c:v>
                </c:pt>
                <c:pt idx="72">
                  <c:v>43192</c:v>
                </c:pt>
                <c:pt idx="73">
                  <c:v>43221</c:v>
                </c:pt>
                <c:pt idx="74">
                  <c:v>43252</c:v>
                </c:pt>
                <c:pt idx="75">
                  <c:v>43283</c:v>
                </c:pt>
                <c:pt idx="76">
                  <c:v>43313</c:v>
                </c:pt>
                <c:pt idx="77">
                  <c:v>43346</c:v>
                </c:pt>
                <c:pt idx="78">
                  <c:v>43374</c:v>
                </c:pt>
                <c:pt idx="79">
                  <c:v>43405</c:v>
                </c:pt>
                <c:pt idx="80">
                  <c:v>43437</c:v>
                </c:pt>
                <c:pt idx="81">
                  <c:v>43472</c:v>
                </c:pt>
                <c:pt idx="82">
                  <c:v>43504</c:v>
                </c:pt>
                <c:pt idx="83">
                  <c:v>43525</c:v>
                </c:pt>
              </c:numCache>
            </c:numRef>
          </c:cat>
          <c:val>
            <c:numRef>
              <c:f>月間量回帰式!$C$20:$C$103</c:f>
              <c:numCache>
                <c:formatCode>0</c:formatCode>
                <c:ptCount val="84"/>
                <c:pt idx="0">
                  <c:v>5693.7099343496038</c:v>
                </c:pt>
                <c:pt idx="1">
                  <c:v>6461.0235251811728</c:v>
                </c:pt>
                <c:pt idx="2">
                  <c:v>6179.5927881937196</c:v>
                </c:pt>
                <c:pt idx="3">
                  <c:v>6411.8394300434275</c:v>
                </c:pt>
                <c:pt idx="4">
                  <c:v>6767.281654590066</c:v>
                </c:pt>
                <c:pt idx="5">
                  <c:v>6054.9434296986519</c:v>
                </c:pt>
                <c:pt idx="6">
                  <c:v>6164.2626032404287</c:v>
                </c:pt>
                <c:pt idx="7">
                  <c:v>5754.4110320193013</c:v>
                </c:pt>
                <c:pt idx="8">
                  <c:v>5830.9070462498912</c:v>
                </c:pt>
                <c:pt idx="9">
                  <c:v>5508.7884612072394</c:v>
                </c:pt>
                <c:pt idx="10">
                  <c:v>4728.3759929486159</c:v>
                </c:pt>
                <c:pt idx="11">
                  <c:v>5774.2107831388548</c:v>
                </c:pt>
                <c:pt idx="12">
                  <c:v>5482.3589469097042</c:v>
                </c:pt>
                <c:pt idx="13">
                  <c:v>6221.1897932797165</c:v>
                </c:pt>
                <c:pt idx="14">
                  <c:v>5950.2057887117353</c:v>
                </c:pt>
                <c:pt idx="15">
                  <c:v>6173.8314158538951</c:v>
                </c:pt>
                <c:pt idx="16">
                  <c:v>6516.079595392629</c:v>
                </c:pt>
                <c:pt idx="17">
                  <c:v>5830.1834247958523</c:v>
                </c:pt>
                <c:pt idx="18">
                  <c:v>5935.444661501966</c:v>
                </c:pt>
                <c:pt idx="19">
                  <c:v>5540.8068147733347</c:v>
                </c:pt>
                <c:pt idx="20">
                  <c:v>5614.4632905783164</c:v>
                </c:pt>
                <c:pt idx="21">
                  <c:v>5304.3017742670354</c:v>
                </c:pt>
                <c:pt idx="22">
                  <c:v>4552.8582818920968</c:v>
                </c:pt>
                <c:pt idx="23">
                  <c:v>5559.8715974806528</c:v>
                </c:pt>
                <c:pt idx="24">
                  <c:v>5397.9493997803338</c:v>
                </c:pt>
                <c:pt idx="25">
                  <c:v>6125.4047820935002</c:v>
                </c:pt>
                <c:pt idx="26">
                  <c:v>5858.5930028990097</c:v>
                </c:pt>
                <c:pt idx="27">
                  <c:v>6078.7755614467223</c:v>
                </c:pt>
                <c:pt idx="28">
                  <c:v>6415.7542914436672</c:v>
                </c:pt>
                <c:pt idx="29">
                  <c:v>5740.4185722325992</c:v>
                </c:pt>
                <c:pt idx="30">
                  <c:v>5844.0591464817899</c:v>
                </c:pt>
                <c:pt idx="31">
                  <c:v>5455.4973707009112</c:v>
                </c:pt>
                <c:pt idx="32">
                  <c:v>5528.019789099938</c:v>
                </c:pt>
                <c:pt idx="33">
                  <c:v>5222.633697634481</c:v>
                </c:pt>
                <c:pt idx="34">
                  <c:v>4482.7598608583294</c:v>
                </c:pt>
                <c:pt idx="35">
                  <c:v>5474.268621063844</c:v>
                </c:pt>
                <c:pt idx="36">
                  <c:v>4911.22</c:v>
                </c:pt>
                <c:pt idx="37">
                  <c:v>5017.6899999999996</c:v>
                </c:pt>
                <c:pt idx="38">
                  <c:v>5245.7</c:v>
                </c:pt>
                <c:pt idx="39">
                  <c:v>5444.63</c:v>
                </c:pt>
                <c:pt idx="40">
                  <c:v>5507.05</c:v>
                </c:pt>
                <c:pt idx="41">
                  <c:v>5124.37</c:v>
                </c:pt>
                <c:pt idx="42">
                  <c:v>5005.3</c:v>
                </c:pt>
                <c:pt idx="43">
                  <c:v>4810.2299999999996</c:v>
                </c:pt>
                <c:pt idx="44">
                  <c:v>5090.9399999999996</c:v>
                </c:pt>
                <c:pt idx="45">
                  <c:v>4515.71</c:v>
                </c:pt>
                <c:pt idx="46">
                  <c:v>4193.24</c:v>
                </c:pt>
                <c:pt idx="47">
                  <c:v>4900.29</c:v>
                </c:pt>
                <c:pt idx="48">
                  <c:v>4802.12</c:v>
                </c:pt>
                <c:pt idx="49">
                  <c:v>5502.55</c:v>
                </c:pt>
                <c:pt idx="50">
                  <c:v>4991.43</c:v>
                </c:pt>
                <c:pt idx="51">
                  <c:v>5226.55</c:v>
                </c:pt>
                <c:pt idx="52">
                  <c:v>5805.25</c:v>
                </c:pt>
                <c:pt idx="53">
                  <c:v>5310.79</c:v>
                </c:pt>
                <c:pt idx="54">
                  <c:v>4948.62</c:v>
                </c:pt>
                <c:pt idx="55">
                  <c:v>4702.2700000000004</c:v>
                </c:pt>
                <c:pt idx="56">
                  <c:v>5076.05</c:v>
                </c:pt>
                <c:pt idx="57">
                  <c:v>4597.87</c:v>
                </c:pt>
                <c:pt idx="58">
                  <c:v>3936.52</c:v>
                </c:pt>
                <c:pt idx="59">
                  <c:v>4818.8599999999997</c:v>
                </c:pt>
                <c:pt idx="60">
                  <c:v>4574.25</c:v>
                </c:pt>
                <c:pt idx="61">
                  <c:v>5535.09</c:v>
                </c:pt>
                <c:pt idx="62">
                  <c:v>5442.01</c:v>
                </c:pt>
                <c:pt idx="63">
                  <c:v>5365.97</c:v>
                </c:pt>
                <c:pt idx="64">
                  <c:v>5947.22</c:v>
                </c:pt>
                <c:pt idx="65">
                  <c:v>5135.9799999999996</c:v>
                </c:pt>
                <c:pt idx="66">
                  <c:v>5397.84</c:v>
                </c:pt>
                <c:pt idx="67">
                  <c:v>4808.5200000000004</c:v>
                </c:pt>
                <c:pt idx="68">
                  <c:v>4770.28</c:v>
                </c:pt>
                <c:pt idx="69">
                  <c:v>4593.75</c:v>
                </c:pt>
                <c:pt idx="70">
                  <c:v>3827.41</c:v>
                </c:pt>
                <c:pt idx="71">
                  <c:v>4817.8999999999996</c:v>
                </c:pt>
                <c:pt idx="72">
                  <c:v>4824.92</c:v>
                </c:pt>
                <c:pt idx="73">
                  <c:v>5632.88</c:v>
                </c:pt>
                <c:pt idx="74">
                  <c:v>5064.37</c:v>
                </c:pt>
                <c:pt idx="75">
                  <c:v>5485.96</c:v>
                </c:pt>
                <c:pt idx="76">
                  <c:v>5456.73</c:v>
                </c:pt>
                <c:pt idx="77">
                  <c:v>4753.95</c:v>
                </c:pt>
                <c:pt idx="78">
                  <c:v>5340.29</c:v>
                </c:pt>
                <c:pt idx="79">
                  <c:v>4995.25</c:v>
                </c:pt>
                <c:pt idx="80">
                  <c:v>4635.78</c:v>
                </c:pt>
                <c:pt idx="81">
                  <c:v>4784.4399999999996</c:v>
                </c:pt>
                <c:pt idx="82">
                  <c:v>3914.93</c:v>
                </c:pt>
                <c:pt idx="83">
                  <c:v>4000</c:v>
                </c:pt>
              </c:numCache>
            </c:numRef>
          </c:val>
          <c:smooth val="0"/>
        </c:ser>
        <c:ser>
          <c:idx val="1"/>
          <c:order val="1"/>
          <c:tx>
            <c:strRef>
              <c:f>月間量回帰式!$M$3:$M$4</c:f>
              <c:strCache>
                <c:ptCount val="1"/>
                <c:pt idx="0">
                  <c:v>今泉 600(200tx3炉)</c:v>
                </c:pt>
              </c:strCache>
            </c:strRef>
          </c:tx>
          <c:spPr>
            <a:ln w="0">
              <a:solidFill>
                <a:srgbClr val="FF0000"/>
              </a:solidFill>
              <a:prstDash val="solid"/>
            </a:ln>
          </c:spPr>
          <c:marker>
            <c:symbol val="square"/>
            <c:size val="4"/>
            <c:spPr>
              <a:noFill/>
              <a:ln>
                <a:solidFill>
                  <a:srgbClr val="FF0000"/>
                </a:solidFill>
                <a:prstDash val="solid"/>
              </a:ln>
            </c:spPr>
          </c:marker>
          <c:cat>
            <c:numRef>
              <c:f>月間量回帰式!$B$20:$B$103</c:f>
              <c:numCache>
                <c:formatCode>[$-411]ge\.m</c:formatCode>
                <c:ptCount val="84"/>
                <c:pt idx="0">
                  <c:v>41012</c:v>
                </c:pt>
                <c:pt idx="1">
                  <c:v>41045</c:v>
                </c:pt>
                <c:pt idx="2">
                  <c:v>41073</c:v>
                </c:pt>
                <c:pt idx="3">
                  <c:v>41101</c:v>
                </c:pt>
                <c:pt idx="4">
                  <c:v>41129</c:v>
                </c:pt>
                <c:pt idx="5">
                  <c:v>41164</c:v>
                </c:pt>
                <c:pt idx="6">
                  <c:v>41199</c:v>
                </c:pt>
                <c:pt idx="7">
                  <c:v>41234</c:v>
                </c:pt>
                <c:pt idx="8">
                  <c:v>41262</c:v>
                </c:pt>
                <c:pt idx="9">
                  <c:v>41290</c:v>
                </c:pt>
                <c:pt idx="10">
                  <c:v>41318</c:v>
                </c:pt>
                <c:pt idx="11">
                  <c:v>41346</c:v>
                </c:pt>
                <c:pt idx="12">
                  <c:v>41376</c:v>
                </c:pt>
                <c:pt idx="13">
                  <c:v>41410</c:v>
                </c:pt>
                <c:pt idx="14">
                  <c:v>41437</c:v>
                </c:pt>
                <c:pt idx="15">
                  <c:v>41465</c:v>
                </c:pt>
                <c:pt idx="16">
                  <c:v>41493</c:v>
                </c:pt>
                <c:pt idx="17">
                  <c:v>41521</c:v>
                </c:pt>
                <c:pt idx="18">
                  <c:v>41557</c:v>
                </c:pt>
                <c:pt idx="19">
                  <c:v>41591</c:v>
                </c:pt>
                <c:pt idx="20">
                  <c:v>41619</c:v>
                </c:pt>
                <c:pt idx="21">
                  <c:v>41647</c:v>
                </c:pt>
                <c:pt idx="22">
                  <c:v>41675</c:v>
                </c:pt>
                <c:pt idx="23">
                  <c:v>41703</c:v>
                </c:pt>
                <c:pt idx="24">
                  <c:v>41739</c:v>
                </c:pt>
                <c:pt idx="25">
                  <c:v>41773</c:v>
                </c:pt>
                <c:pt idx="26">
                  <c:v>41801</c:v>
                </c:pt>
                <c:pt idx="27">
                  <c:v>41829</c:v>
                </c:pt>
                <c:pt idx="28">
                  <c:v>41857</c:v>
                </c:pt>
                <c:pt idx="29">
                  <c:v>41892</c:v>
                </c:pt>
                <c:pt idx="30">
                  <c:v>41920</c:v>
                </c:pt>
                <c:pt idx="31">
                  <c:v>41948</c:v>
                </c:pt>
                <c:pt idx="32">
                  <c:v>41984</c:v>
                </c:pt>
                <c:pt idx="33">
                  <c:v>42012</c:v>
                </c:pt>
                <c:pt idx="34">
                  <c:v>42039</c:v>
                </c:pt>
                <c:pt idx="35">
                  <c:v>42067</c:v>
                </c:pt>
                <c:pt idx="36">
                  <c:v>42095</c:v>
                </c:pt>
                <c:pt idx="37">
                  <c:v>42131</c:v>
                </c:pt>
                <c:pt idx="38">
                  <c:v>42158</c:v>
                </c:pt>
                <c:pt idx="39">
                  <c:v>42193</c:v>
                </c:pt>
                <c:pt idx="40">
                  <c:v>42221</c:v>
                </c:pt>
                <c:pt idx="41">
                  <c:v>42249</c:v>
                </c:pt>
                <c:pt idx="42">
                  <c:v>42284</c:v>
                </c:pt>
                <c:pt idx="43">
                  <c:v>42312</c:v>
                </c:pt>
                <c:pt idx="44">
                  <c:v>42340</c:v>
                </c:pt>
                <c:pt idx="45">
                  <c:v>42375</c:v>
                </c:pt>
                <c:pt idx="46">
                  <c:v>42403</c:v>
                </c:pt>
                <c:pt idx="47">
                  <c:v>42431</c:v>
                </c:pt>
                <c:pt idx="48">
                  <c:v>42461</c:v>
                </c:pt>
                <c:pt idx="49">
                  <c:v>42492</c:v>
                </c:pt>
                <c:pt idx="50">
                  <c:v>42522</c:v>
                </c:pt>
                <c:pt idx="51">
                  <c:v>42552</c:v>
                </c:pt>
                <c:pt idx="52">
                  <c:v>42585</c:v>
                </c:pt>
                <c:pt idx="53">
                  <c:v>42614</c:v>
                </c:pt>
                <c:pt idx="54">
                  <c:v>42647</c:v>
                </c:pt>
                <c:pt idx="55">
                  <c:v>42678</c:v>
                </c:pt>
                <c:pt idx="56">
                  <c:v>42705</c:v>
                </c:pt>
                <c:pt idx="57">
                  <c:v>42741</c:v>
                </c:pt>
                <c:pt idx="58">
                  <c:v>42767</c:v>
                </c:pt>
                <c:pt idx="59">
                  <c:v>42797</c:v>
                </c:pt>
                <c:pt idx="60">
                  <c:v>42828</c:v>
                </c:pt>
                <c:pt idx="61">
                  <c:v>42857</c:v>
                </c:pt>
                <c:pt idx="62">
                  <c:v>42887</c:v>
                </c:pt>
                <c:pt idx="63">
                  <c:v>42919</c:v>
                </c:pt>
                <c:pt idx="64">
                  <c:v>42948</c:v>
                </c:pt>
                <c:pt idx="65">
                  <c:v>42979</c:v>
                </c:pt>
                <c:pt idx="66">
                  <c:v>43010</c:v>
                </c:pt>
                <c:pt idx="67">
                  <c:v>43055</c:v>
                </c:pt>
                <c:pt idx="68">
                  <c:v>43070</c:v>
                </c:pt>
                <c:pt idx="69">
                  <c:v>43105</c:v>
                </c:pt>
                <c:pt idx="70">
                  <c:v>43132</c:v>
                </c:pt>
                <c:pt idx="71">
                  <c:v>43160</c:v>
                </c:pt>
                <c:pt idx="72">
                  <c:v>43192</c:v>
                </c:pt>
                <c:pt idx="73">
                  <c:v>43221</c:v>
                </c:pt>
                <c:pt idx="74">
                  <c:v>43252</c:v>
                </c:pt>
                <c:pt idx="75">
                  <c:v>43283</c:v>
                </c:pt>
                <c:pt idx="76">
                  <c:v>43313</c:v>
                </c:pt>
                <c:pt idx="77">
                  <c:v>43346</c:v>
                </c:pt>
                <c:pt idx="78">
                  <c:v>43374</c:v>
                </c:pt>
                <c:pt idx="79">
                  <c:v>43405</c:v>
                </c:pt>
                <c:pt idx="80">
                  <c:v>43437</c:v>
                </c:pt>
                <c:pt idx="81">
                  <c:v>43472</c:v>
                </c:pt>
                <c:pt idx="82">
                  <c:v>43504</c:v>
                </c:pt>
                <c:pt idx="83">
                  <c:v>43525</c:v>
                </c:pt>
              </c:numCache>
            </c:numRef>
          </c:cat>
          <c:val>
            <c:numRef>
              <c:f>月間量回帰式!$M$20:$M$103</c:f>
              <c:numCache>
                <c:formatCode>General</c:formatCode>
                <c:ptCount val="84"/>
                <c:pt idx="5" formatCode="0">
                  <c:v>8409.4314775882813</c:v>
                </c:pt>
                <c:pt idx="6" formatCode="0">
                  <c:v>9585.8354394091002</c:v>
                </c:pt>
                <c:pt idx="7" formatCode="0">
                  <c:v>8357.6193886384335</c:v>
                </c:pt>
                <c:pt idx="8" formatCode="0">
                  <c:v>8213.8633036908795</c:v>
                </c:pt>
                <c:pt idx="9" formatCode="0">
                  <c:v>7647.8237192098841</c:v>
                </c:pt>
                <c:pt idx="10" formatCode="0">
                  <c:v>6563.3637533867723</c:v>
                </c:pt>
                <c:pt idx="11" formatCode="0">
                  <c:v>8125.8127016605022</c:v>
                </c:pt>
                <c:pt idx="12" formatCode="0">
                  <c:v>7499.9095391172968</c:v>
                </c:pt>
                <c:pt idx="13" formatCode="0">
                  <c:v>7905.3246838054365</c:v>
                </c:pt>
                <c:pt idx="14" formatCode="0">
                  <c:v>7716.419629738466</c:v>
                </c:pt>
                <c:pt idx="15" formatCode="0">
                  <c:v>8796.5343443248239</c:v>
                </c:pt>
                <c:pt idx="16" formatCode="0">
                  <c:v>8420.8893370970945</c:v>
                </c:pt>
                <c:pt idx="17" formatCode="0">
                  <c:v>7801.9411155338275</c:v>
                </c:pt>
                <c:pt idx="18" formatCode="0">
                  <c:v>8108.5735313760588</c:v>
                </c:pt>
                <c:pt idx="19" formatCode="0">
                  <c:v>7360.2605306666428</c:v>
                </c:pt>
                <c:pt idx="20" formatCode="0">
                  <c:v>7594.903341377335</c:v>
                </c:pt>
                <c:pt idx="21" formatCode="0">
                  <c:v>6974.6019317476857</c:v>
                </c:pt>
                <c:pt idx="22" formatCode="0">
                  <c:v>5756.1913967770561</c:v>
                </c:pt>
                <c:pt idx="23" formatCode="0">
                  <c:v>7241.4506184382763</c:v>
                </c:pt>
                <c:pt idx="24" formatCode="0">
                  <c:v>7833.835950621431</c:v>
                </c:pt>
                <c:pt idx="25" formatCode="0">
                  <c:v>8075.534268678919</c:v>
                </c:pt>
                <c:pt idx="26" formatCode="0">
                  <c:v>7912.5284262680552</c:v>
                </c:pt>
                <c:pt idx="27" formatCode="0">
                  <c:v>8763.2502969192374</c:v>
                </c:pt>
                <c:pt idx="28" formatCode="0">
                  <c:v>8350.9579334421032</c:v>
                </c:pt>
                <c:pt idx="29" formatCode="0">
                  <c:v>8393.957750491867</c:v>
                </c:pt>
                <c:pt idx="30" formatCode="0">
                  <c:v>8218.5859476222467</c:v>
                </c:pt>
                <c:pt idx="31" formatCode="0">
                  <c:v>7370.6745225298719</c:v>
                </c:pt>
                <c:pt idx="32" formatCode="0">
                  <c:v>8057.547417102548</c:v>
                </c:pt>
                <c:pt idx="33" formatCode="0">
                  <c:v>7003.9113771054272</c:v>
                </c:pt>
                <c:pt idx="34" formatCode="0">
                  <c:v>6073.9349416958585</c:v>
                </c:pt>
                <c:pt idx="35" formatCode="0">
                  <c:v>7652.2811675224339</c:v>
                </c:pt>
                <c:pt idx="36" formatCode="0">
                  <c:v>8009.8359520671502</c:v>
                </c:pt>
                <c:pt idx="37" formatCode="0">
                  <c:v>8153.4174020783857</c:v>
                </c:pt>
                <c:pt idx="38" formatCode="0">
                  <c:v>8347.8136862499778</c:v>
                </c:pt>
                <c:pt idx="39" formatCode="0">
                  <c:v>8943.4108122225116</c:v>
                </c:pt>
                <c:pt idx="40" formatCode="0">
                  <c:v>8601.2969868870987</c:v>
                </c:pt>
                <c:pt idx="41" formatCode="0">
                  <c:v>8687.8594660090985</c:v>
                </c:pt>
                <c:pt idx="42" formatCode="0">
                  <c:v>8333.3373672159232</c:v>
                </c:pt>
                <c:pt idx="43" formatCode="0">
                  <c:v>7892.8436594654013</c:v>
                </c:pt>
                <c:pt idx="44" formatCode="0">
                  <c:v>8564.3676015961428</c:v>
                </c:pt>
                <c:pt idx="45" formatCode="0">
                  <c:v>7034.0138751389331</c:v>
                </c:pt>
                <c:pt idx="46" formatCode="0">
                  <c:v>6707.5581091668846</c:v>
                </c:pt>
                <c:pt idx="47" formatCode="0">
                  <c:v>8009.2450819024943</c:v>
                </c:pt>
                <c:pt idx="48" formatCode="0">
                  <c:v>7538.2372178224805</c:v>
                </c:pt>
                <c:pt idx="49" formatCode="0">
                  <c:v>8314.6120901004288</c:v>
                </c:pt>
                <c:pt idx="50" formatCode="0">
                  <c:v>8225.2201421895479</c:v>
                </c:pt>
                <c:pt idx="51" formatCode="0">
                  <c:v>8460.889823045507</c:v>
                </c:pt>
                <c:pt idx="52" formatCode="0">
                  <c:v>8870.9898957665318</c:v>
                </c:pt>
                <c:pt idx="53" formatCode="0">
                  <c:v>8382.8169854220432</c:v>
                </c:pt>
                <c:pt idx="54" formatCode="0">
                  <c:v>8154.1129108968007</c:v>
                </c:pt>
                <c:pt idx="55" formatCode="0">
                  <c:v>7741.400735801757</c:v>
                </c:pt>
                <c:pt idx="56" formatCode="0">
                  <c:v>7960.2368680251484</c:v>
                </c:pt>
                <c:pt idx="57" formatCode="0">
                  <c:v>7017.5581446013075</c:v>
                </c:pt>
                <c:pt idx="58" formatCode="0">
                  <c:v>6293.135086206632</c:v>
                </c:pt>
                <c:pt idx="59" formatCode="0">
                  <c:v>7628.7901001218152</c:v>
                </c:pt>
                <c:pt idx="60" formatCode="0">
                  <c:v>6586.8765184825643</c:v>
                </c:pt>
                <c:pt idx="61" formatCode="0">
                  <c:v>8127.2404467861415</c:v>
                </c:pt>
                <c:pt idx="62" formatCode="0">
                  <c:v>8128.9561098090298</c:v>
                </c:pt>
                <c:pt idx="63" formatCode="0">
                  <c:v>8198.1312915328872</c:v>
                </c:pt>
                <c:pt idx="64" formatCode="0">
                  <c:v>9044.2260410248309</c:v>
                </c:pt>
                <c:pt idx="65" formatCode="0">
                  <c:v>7784.280018694195</c:v>
                </c:pt>
                <c:pt idx="66" formatCode="0">
                  <c:v>8020.1829728712382</c:v>
                </c:pt>
                <c:pt idx="67" formatCode="0">
                  <c:v>7189.3567011107125</c:v>
                </c:pt>
                <c:pt idx="68" formatCode="0">
                  <c:v>6895.7601202333353</c:v>
                </c:pt>
                <c:pt idx="69" formatCode="0">
                  <c:v>6555.1002270469198</c:v>
                </c:pt>
                <c:pt idx="70" formatCode="0">
                  <c:v>5446.2173286946254</c:v>
                </c:pt>
                <c:pt idx="71" formatCode="0">
                  <c:v>6909.5182998407727</c:v>
                </c:pt>
                <c:pt idx="72" formatCode="0">
                  <c:v>8260</c:v>
                </c:pt>
                <c:pt idx="73" formatCode="0">
                  <c:v>5792</c:v>
                </c:pt>
                <c:pt idx="74" formatCode="0">
                  <c:v>9199</c:v>
                </c:pt>
                <c:pt idx="75" formatCode="0">
                  <c:v>5673</c:v>
                </c:pt>
                <c:pt idx="76" formatCode="0">
                  <c:v>9118</c:v>
                </c:pt>
                <c:pt idx="77" formatCode="0">
                  <c:v>5957</c:v>
                </c:pt>
                <c:pt idx="78" formatCode="0">
                  <c:v>7116</c:v>
                </c:pt>
                <c:pt idx="79" formatCode="0">
                  <c:v>562</c:v>
                </c:pt>
                <c:pt idx="80" formatCode="0">
                  <c:v>4125</c:v>
                </c:pt>
                <c:pt idx="81" formatCode="0">
                  <c:v>2719</c:v>
                </c:pt>
                <c:pt idx="82" formatCode="0">
                  <c:v>4970</c:v>
                </c:pt>
                <c:pt idx="83" formatCode="0">
                  <c:v>6717</c:v>
                </c:pt>
              </c:numCache>
            </c:numRef>
          </c:val>
          <c:smooth val="0"/>
        </c:ser>
        <c:ser>
          <c:idx val="2"/>
          <c:order val="2"/>
          <c:tx>
            <c:strRef>
              <c:f>月間量回帰式!$R$3:$R$4</c:f>
              <c:strCache>
                <c:ptCount val="1"/>
                <c:pt idx="0">
                  <c:v>葛岡 600(300tx2炉〉</c:v>
                </c:pt>
              </c:strCache>
            </c:strRef>
          </c:tx>
          <c:spPr>
            <a:ln w="0">
              <a:solidFill>
                <a:srgbClr val="008000"/>
              </a:solidFill>
              <a:prstDash val="solid"/>
            </a:ln>
          </c:spPr>
          <c:marker>
            <c:symbol val="triangle"/>
            <c:size val="4"/>
            <c:spPr>
              <a:noFill/>
              <a:ln>
                <a:solidFill>
                  <a:srgbClr val="008000"/>
                </a:solidFill>
                <a:prstDash val="solid"/>
              </a:ln>
            </c:spPr>
          </c:marker>
          <c:cat>
            <c:numRef>
              <c:f>月間量回帰式!$B$20:$B$103</c:f>
              <c:numCache>
                <c:formatCode>[$-411]ge\.m</c:formatCode>
                <c:ptCount val="84"/>
                <c:pt idx="0">
                  <c:v>41012</c:v>
                </c:pt>
                <c:pt idx="1">
                  <c:v>41045</c:v>
                </c:pt>
                <c:pt idx="2">
                  <c:v>41073</c:v>
                </c:pt>
                <c:pt idx="3">
                  <c:v>41101</c:v>
                </c:pt>
                <c:pt idx="4">
                  <c:v>41129</c:v>
                </c:pt>
                <c:pt idx="5">
                  <c:v>41164</c:v>
                </c:pt>
                <c:pt idx="6">
                  <c:v>41199</c:v>
                </c:pt>
                <c:pt idx="7">
                  <c:v>41234</c:v>
                </c:pt>
                <c:pt idx="8">
                  <c:v>41262</c:v>
                </c:pt>
                <c:pt idx="9">
                  <c:v>41290</c:v>
                </c:pt>
                <c:pt idx="10">
                  <c:v>41318</c:v>
                </c:pt>
                <c:pt idx="11">
                  <c:v>41346</c:v>
                </c:pt>
                <c:pt idx="12">
                  <c:v>41376</c:v>
                </c:pt>
                <c:pt idx="13">
                  <c:v>41410</c:v>
                </c:pt>
                <c:pt idx="14">
                  <c:v>41437</c:v>
                </c:pt>
                <c:pt idx="15">
                  <c:v>41465</c:v>
                </c:pt>
                <c:pt idx="16">
                  <c:v>41493</c:v>
                </c:pt>
                <c:pt idx="17">
                  <c:v>41521</c:v>
                </c:pt>
                <c:pt idx="18">
                  <c:v>41557</c:v>
                </c:pt>
                <c:pt idx="19">
                  <c:v>41591</c:v>
                </c:pt>
                <c:pt idx="20">
                  <c:v>41619</c:v>
                </c:pt>
                <c:pt idx="21">
                  <c:v>41647</c:v>
                </c:pt>
                <c:pt idx="22">
                  <c:v>41675</c:v>
                </c:pt>
                <c:pt idx="23">
                  <c:v>41703</c:v>
                </c:pt>
                <c:pt idx="24">
                  <c:v>41739</c:v>
                </c:pt>
                <c:pt idx="25">
                  <c:v>41773</c:v>
                </c:pt>
                <c:pt idx="26">
                  <c:v>41801</c:v>
                </c:pt>
                <c:pt idx="27">
                  <c:v>41829</c:v>
                </c:pt>
                <c:pt idx="28">
                  <c:v>41857</c:v>
                </c:pt>
                <c:pt idx="29">
                  <c:v>41892</c:v>
                </c:pt>
                <c:pt idx="30">
                  <c:v>41920</c:v>
                </c:pt>
                <c:pt idx="31">
                  <c:v>41948</c:v>
                </c:pt>
                <c:pt idx="32">
                  <c:v>41984</c:v>
                </c:pt>
                <c:pt idx="33">
                  <c:v>42012</c:v>
                </c:pt>
                <c:pt idx="34">
                  <c:v>42039</c:v>
                </c:pt>
                <c:pt idx="35">
                  <c:v>42067</c:v>
                </c:pt>
                <c:pt idx="36">
                  <c:v>42095</c:v>
                </c:pt>
                <c:pt idx="37">
                  <c:v>42131</c:v>
                </c:pt>
                <c:pt idx="38">
                  <c:v>42158</c:v>
                </c:pt>
                <c:pt idx="39">
                  <c:v>42193</c:v>
                </c:pt>
                <c:pt idx="40">
                  <c:v>42221</c:v>
                </c:pt>
                <c:pt idx="41">
                  <c:v>42249</c:v>
                </c:pt>
                <c:pt idx="42">
                  <c:v>42284</c:v>
                </c:pt>
                <c:pt idx="43">
                  <c:v>42312</c:v>
                </c:pt>
                <c:pt idx="44">
                  <c:v>42340</c:v>
                </c:pt>
                <c:pt idx="45">
                  <c:v>42375</c:v>
                </c:pt>
                <c:pt idx="46">
                  <c:v>42403</c:v>
                </c:pt>
                <c:pt idx="47">
                  <c:v>42431</c:v>
                </c:pt>
                <c:pt idx="48">
                  <c:v>42461</c:v>
                </c:pt>
                <c:pt idx="49">
                  <c:v>42492</c:v>
                </c:pt>
                <c:pt idx="50">
                  <c:v>42522</c:v>
                </c:pt>
                <c:pt idx="51">
                  <c:v>42552</c:v>
                </c:pt>
                <c:pt idx="52">
                  <c:v>42585</c:v>
                </c:pt>
                <c:pt idx="53">
                  <c:v>42614</c:v>
                </c:pt>
                <c:pt idx="54">
                  <c:v>42647</c:v>
                </c:pt>
                <c:pt idx="55">
                  <c:v>42678</c:v>
                </c:pt>
                <c:pt idx="56">
                  <c:v>42705</c:v>
                </c:pt>
                <c:pt idx="57">
                  <c:v>42741</c:v>
                </c:pt>
                <c:pt idx="58">
                  <c:v>42767</c:v>
                </c:pt>
                <c:pt idx="59">
                  <c:v>42797</c:v>
                </c:pt>
                <c:pt idx="60">
                  <c:v>42828</c:v>
                </c:pt>
                <c:pt idx="61">
                  <c:v>42857</c:v>
                </c:pt>
                <c:pt idx="62">
                  <c:v>42887</c:v>
                </c:pt>
                <c:pt idx="63">
                  <c:v>42919</c:v>
                </c:pt>
                <c:pt idx="64">
                  <c:v>42948</c:v>
                </c:pt>
                <c:pt idx="65">
                  <c:v>42979</c:v>
                </c:pt>
                <c:pt idx="66">
                  <c:v>43010</c:v>
                </c:pt>
                <c:pt idx="67">
                  <c:v>43055</c:v>
                </c:pt>
                <c:pt idx="68">
                  <c:v>43070</c:v>
                </c:pt>
                <c:pt idx="69">
                  <c:v>43105</c:v>
                </c:pt>
                <c:pt idx="70">
                  <c:v>43132</c:v>
                </c:pt>
                <c:pt idx="71">
                  <c:v>43160</c:v>
                </c:pt>
                <c:pt idx="72">
                  <c:v>43192</c:v>
                </c:pt>
                <c:pt idx="73">
                  <c:v>43221</c:v>
                </c:pt>
                <c:pt idx="74">
                  <c:v>43252</c:v>
                </c:pt>
                <c:pt idx="75">
                  <c:v>43283</c:v>
                </c:pt>
                <c:pt idx="76">
                  <c:v>43313</c:v>
                </c:pt>
                <c:pt idx="77">
                  <c:v>43346</c:v>
                </c:pt>
                <c:pt idx="78">
                  <c:v>43374</c:v>
                </c:pt>
                <c:pt idx="79">
                  <c:v>43405</c:v>
                </c:pt>
                <c:pt idx="80">
                  <c:v>43437</c:v>
                </c:pt>
                <c:pt idx="81">
                  <c:v>43472</c:v>
                </c:pt>
                <c:pt idx="82">
                  <c:v>43504</c:v>
                </c:pt>
                <c:pt idx="83">
                  <c:v>43525</c:v>
                </c:pt>
              </c:numCache>
            </c:numRef>
          </c:cat>
          <c:val>
            <c:numRef>
              <c:f>月間量回帰式!$R$20:$R$103</c:f>
              <c:numCache>
                <c:formatCode>General</c:formatCode>
                <c:ptCount val="84"/>
                <c:pt idx="5" formatCode="0">
                  <c:v>9981.4154262554948</c:v>
                </c:pt>
                <c:pt idx="6" formatCode="0">
                  <c:v>11377.725828845743</c:v>
                </c:pt>
                <c:pt idx="7" formatCode="0">
                  <c:v>9919.9180485446723</c:v>
                </c:pt>
                <c:pt idx="8" formatCode="0">
                  <c:v>9749.2894861100176</c:v>
                </c:pt>
                <c:pt idx="9" formatCode="0">
                  <c:v>9077.4395215235691</c:v>
                </c:pt>
                <c:pt idx="10" formatCode="0">
                  <c:v>7790.2603036571518</c:v>
                </c:pt>
                <c:pt idx="11" formatCode="0">
                  <c:v>9644.7794916187922</c:v>
                </c:pt>
                <c:pt idx="12" formatCode="0">
                  <c:v>9834.7629809704449</c:v>
                </c:pt>
                <c:pt idx="13" formatCode="0">
                  <c:v>10366.390974095941</c:v>
                </c:pt>
                <c:pt idx="14" formatCode="0">
                  <c:v>10118.676461945342</c:v>
                </c:pt>
                <c:pt idx="15" formatCode="0">
                  <c:v>11535.049840158861</c:v>
                </c:pt>
                <c:pt idx="16" formatCode="0">
                  <c:v>11042.459950667415</c:v>
                </c:pt>
                <c:pt idx="17" formatCode="0">
                  <c:v>10230.822286930426</c:v>
                </c:pt>
                <c:pt idx="18" formatCode="0">
                  <c:v>10632.914754361125</c:v>
                </c:pt>
                <c:pt idx="19" formatCode="0">
                  <c:v>9651.6387857416357</c:v>
                </c:pt>
                <c:pt idx="20" formatCode="0">
                  <c:v>9959.3300207481807</c:v>
                </c:pt>
                <c:pt idx="21" formatCode="0">
                  <c:v>9145.9178977551001</c:v>
                </c:pt>
                <c:pt idx="22" formatCode="0">
                  <c:v>7548.1947835688652</c:v>
                </c:pt>
                <c:pt idx="23" formatCode="0">
                  <c:v>9495.8412630566618</c:v>
                </c:pt>
                <c:pt idx="24" formatCode="0">
                  <c:v>9919.4703140745714</c:v>
                </c:pt>
                <c:pt idx="25" formatCode="0">
                  <c:v>10225.516969384327</c:v>
                </c:pt>
                <c:pt idx="26" formatCode="0">
                  <c:v>10019.113411152166</c:v>
                </c:pt>
                <c:pt idx="27" formatCode="0">
                  <c:v>11096.326464201737</c:v>
                </c:pt>
                <c:pt idx="28" formatCode="0">
                  <c:v>10574.26780915591</c:v>
                </c:pt>
                <c:pt idx="29" formatCode="0">
                  <c:v>10628.715644344738</c:v>
                </c:pt>
                <c:pt idx="30" formatCode="0">
                  <c:v>10406.653885143241</c:v>
                </c:pt>
                <c:pt idx="31" formatCode="0">
                  <c:v>9332.999514132156</c:v>
                </c:pt>
                <c:pt idx="32" formatCode="0">
                  <c:v>10202.741404338019</c:v>
                </c:pt>
                <c:pt idx="33" formatCode="0">
                  <c:v>8868.5915081097937</c:v>
                </c:pt>
                <c:pt idx="34" formatCode="0">
                  <c:v>7691.0236215749319</c:v>
                </c:pt>
                <c:pt idx="35" formatCode="0">
                  <c:v>9689.5794543884058</c:v>
                </c:pt>
                <c:pt idx="36" formatCode="0">
                  <c:v>8939.3013173638155</c:v>
                </c:pt>
                <c:pt idx="37" formatCode="0">
                  <c:v>9099.5440305623542</c:v>
                </c:pt>
                <c:pt idx="38" formatCode="0">
                  <c:v>9316.4981566624356</c:v>
                </c:pt>
                <c:pt idx="39" formatCode="0">
                  <c:v>9981.2086706711943</c:v>
                </c:pt>
                <c:pt idx="40" formatCode="0">
                  <c:v>9599.3957861364015</c:v>
                </c:pt>
                <c:pt idx="41" formatCode="0">
                  <c:v>9696.003018579142</c:v>
                </c:pt>
                <c:pt idx="42" formatCode="0">
                  <c:v>9300.3419983358344</c:v>
                </c:pt>
                <c:pt idx="43" formatCode="0">
                  <c:v>8808.7331806835227</c:v>
                </c:pt>
                <c:pt idx="44" formatCode="0">
                  <c:v>9558.1810965277236</c:v>
                </c:pt>
                <c:pt idx="45" formatCode="0">
                  <c:v>7850.2443591441079</c:v>
                </c:pt>
                <c:pt idx="46" formatCode="0">
                  <c:v>7485.9065030033953</c:v>
                </c:pt>
                <c:pt idx="47" formatCode="0">
                  <c:v>8938.6418823300755</c:v>
                </c:pt>
                <c:pt idx="48" formatCode="0">
                  <c:v>7880.8481388634045</c:v>
                </c:pt>
                <c:pt idx="49" formatCode="0">
                  <c:v>8692.5090471704771</c:v>
                </c:pt>
                <c:pt idx="50" formatCode="0">
                  <c:v>8599.0542584756822</c:v>
                </c:pt>
                <c:pt idx="51" formatCode="0">
                  <c:v>8845.4350650346878</c:v>
                </c:pt>
                <c:pt idx="52" formatCode="0">
                  <c:v>9274.1740794039943</c:v>
                </c:pt>
                <c:pt idx="53" formatCode="0">
                  <c:v>8763.8138372460526</c:v>
                </c:pt>
                <c:pt idx="54" formatCode="0">
                  <c:v>8524.7152220139124</c:v>
                </c:pt>
                <c:pt idx="55" formatCode="0">
                  <c:v>8093.2453858970312</c:v>
                </c:pt>
                <c:pt idx="56" formatCode="0">
                  <c:v>8322.027563416108</c:v>
                </c:pt>
                <c:pt idx="57" formatCode="0">
                  <c:v>7336.5043371800812</c:v>
                </c:pt>
                <c:pt idx="58" formatCode="0">
                  <c:v>6579.1564391858929</c:v>
                </c:pt>
                <c:pt idx="59" formatCode="0">
                  <c:v>7975.5166261126778</c:v>
                </c:pt>
                <c:pt idx="60" formatCode="0">
                  <c:v>8597.7094317537703</c:v>
                </c:pt>
                <c:pt idx="61" formatCode="0">
                  <c:v>10608.313613803917</c:v>
                </c:pt>
                <c:pt idx="62" formatCode="0">
                  <c:v>10610.553032155271</c:v>
                </c:pt>
                <c:pt idx="63" formatCode="0">
                  <c:v>10700.84592146049</c:v>
                </c:pt>
                <c:pt idx="64" formatCode="0">
                  <c:v>11805.235352088539</c:v>
                </c:pt>
                <c:pt idx="65" formatCode="0">
                  <c:v>10160.6546818275</c:v>
                </c:pt>
                <c:pt idx="66" formatCode="0">
                  <c:v>10468.573776472042</c:v>
                </c:pt>
                <c:pt idx="67" formatCode="0">
                  <c:v>9384.1139641739519</c:v>
                </c:pt>
                <c:pt idx="68" formatCode="0">
                  <c:v>9000.8886091127042</c:v>
                </c:pt>
                <c:pt idx="69" formatCode="0">
                  <c:v>8556.2325162816487</c:v>
                </c:pt>
                <c:pt idx="70" formatCode="0">
                  <c:v>7108.8313198082842</c:v>
                </c:pt>
                <c:pt idx="71" formatCode="0">
                  <c:v>9018.8468675137392</c:v>
                </c:pt>
                <c:pt idx="72" formatCode="0">
                  <c:v>7180</c:v>
                </c:pt>
                <c:pt idx="73" formatCode="0">
                  <c:v>8158</c:v>
                </c:pt>
                <c:pt idx="74" formatCode="0">
                  <c:v>2246</c:v>
                </c:pt>
                <c:pt idx="75" formatCode="0">
                  <c:v>8431</c:v>
                </c:pt>
                <c:pt idx="76" formatCode="0">
                  <c:v>9175</c:v>
                </c:pt>
                <c:pt idx="77" formatCode="0">
                  <c:v>16153</c:v>
                </c:pt>
                <c:pt idx="78" formatCode="0">
                  <c:v>14477</c:v>
                </c:pt>
                <c:pt idx="79" formatCode="0">
                  <c:v>14199</c:v>
                </c:pt>
                <c:pt idx="80" formatCode="0">
                  <c:v>10566</c:v>
                </c:pt>
                <c:pt idx="81" formatCode="0">
                  <c:v>10461</c:v>
                </c:pt>
                <c:pt idx="82" formatCode="0">
                  <c:v>10958</c:v>
                </c:pt>
                <c:pt idx="83" formatCode="0">
                  <c:v>12260</c:v>
                </c:pt>
              </c:numCache>
            </c:numRef>
          </c:val>
          <c:smooth val="0"/>
        </c:ser>
        <c:ser>
          <c:idx val="3"/>
          <c:order val="3"/>
          <c:tx>
            <c:strRef>
              <c:f>月間量回帰式!$V$3:$V$4</c:f>
              <c:strCache>
                <c:ptCount val="1"/>
                <c:pt idx="0">
                  <c:v>松森 600(200tx3炉〉</c:v>
                </c:pt>
              </c:strCache>
            </c:strRef>
          </c:tx>
          <c:spPr>
            <a:ln w="0">
              <a:solidFill>
                <a:srgbClr val="66FFFF"/>
              </a:solidFill>
              <a:prstDash val="solid"/>
            </a:ln>
          </c:spPr>
          <c:marker>
            <c:symbol val="circle"/>
            <c:size val="4"/>
            <c:spPr>
              <a:noFill/>
              <a:ln>
                <a:solidFill>
                  <a:srgbClr val="66FFFF"/>
                </a:solidFill>
              </a:ln>
            </c:spPr>
          </c:marker>
          <c:cat>
            <c:numRef>
              <c:f>月間量回帰式!$B$20:$B$103</c:f>
              <c:numCache>
                <c:formatCode>[$-411]ge\.m</c:formatCode>
                <c:ptCount val="84"/>
                <c:pt idx="0">
                  <c:v>41012</c:v>
                </c:pt>
                <c:pt idx="1">
                  <c:v>41045</c:v>
                </c:pt>
                <c:pt idx="2">
                  <c:v>41073</c:v>
                </c:pt>
                <c:pt idx="3">
                  <c:v>41101</c:v>
                </c:pt>
                <c:pt idx="4">
                  <c:v>41129</c:v>
                </c:pt>
                <c:pt idx="5">
                  <c:v>41164</c:v>
                </c:pt>
                <c:pt idx="6">
                  <c:v>41199</c:v>
                </c:pt>
                <c:pt idx="7">
                  <c:v>41234</c:v>
                </c:pt>
                <c:pt idx="8">
                  <c:v>41262</c:v>
                </c:pt>
                <c:pt idx="9">
                  <c:v>41290</c:v>
                </c:pt>
                <c:pt idx="10">
                  <c:v>41318</c:v>
                </c:pt>
                <c:pt idx="11">
                  <c:v>41346</c:v>
                </c:pt>
                <c:pt idx="12">
                  <c:v>41376</c:v>
                </c:pt>
                <c:pt idx="13">
                  <c:v>41410</c:v>
                </c:pt>
                <c:pt idx="14">
                  <c:v>41437</c:v>
                </c:pt>
                <c:pt idx="15">
                  <c:v>41465</c:v>
                </c:pt>
                <c:pt idx="16">
                  <c:v>41493</c:v>
                </c:pt>
                <c:pt idx="17">
                  <c:v>41521</c:v>
                </c:pt>
                <c:pt idx="18">
                  <c:v>41557</c:v>
                </c:pt>
                <c:pt idx="19">
                  <c:v>41591</c:v>
                </c:pt>
                <c:pt idx="20">
                  <c:v>41619</c:v>
                </c:pt>
                <c:pt idx="21">
                  <c:v>41647</c:v>
                </c:pt>
                <c:pt idx="22">
                  <c:v>41675</c:v>
                </c:pt>
                <c:pt idx="23">
                  <c:v>41703</c:v>
                </c:pt>
                <c:pt idx="24">
                  <c:v>41739</c:v>
                </c:pt>
                <c:pt idx="25">
                  <c:v>41773</c:v>
                </c:pt>
                <c:pt idx="26">
                  <c:v>41801</c:v>
                </c:pt>
                <c:pt idx="27">
                  <c:v>41829</c:v>
                </c:pt>
                <c:pt idx="28">
                  <c:v>41857</c:v>
                </c:pt>
                <c:pt idx="29">
                  <c:v>41892</c:v>
                </c:pt>
                <c:pt idx="30">
                  <c:v>41920</c:v>
                </c:pt>
                <c:pt idx="31">
                  <c:v>41948</c:v>
                </c:pt>
                <c:pt idx="32">
                  <c:v>41984</c:v>
                </c:pt>
                <c:pt idx="33">
                  <c:v>42012</c:v>
                </c:pt>
                <c:pt idx="34">
                  <c:v>42039</c:v>
                </c:pt>
                <c:pt idx="35">
                  <c:v>42067</c:v>
                </c:pt>
                <c:pt idx="36">
                  <c:v>42095</c:v>
                </c:pt>
                <c:pt idx="37">
                  <c:v>42131</c:v>
                </c:pt>
                <c:pt idx="38">
                  <c:v>42158</c:v>
                </c:pt>
                <c:pt idx="39">
                  <c:v>42193</c:v>
                </c:pt>
                <c:pt idx="40">
                  <c:v>42221</c:v>
                </c:pt>
                <c:pt idx="41">
                  <c:v>42249</c:v>
                </c:pt>
                <c:pt idx="42">
                  <c:v>42284</c:v>
                </c:pt>
                <c:pt idx="43">
                  <c:v>42312</c:v>
                </c:pt>
                <c:pt idx="44">
                  <c:v>42340</c:v>
                </c:pt>
                <c:pt idx="45">
                  <c:v>42375</c:v>
                </c:pt>
                <c:pt idx="46">
                  <c:v>42403</c:v>
                </c:pt>
                <c:pt idx="47">
                  <c:v>42431</c:v>
                </c:pt>
                <c:pt idx="48">
                  <c:v>42461</c:v>
                </c:pt>
                <c:pt idx="49">
                  <c:v>42492</c:v>
                </c:pt>
                <c:pt idx="50">
                  <c:v>42522</c:v>
                </c:pt>
                <c:pt idx="51">
                  <c:v>42552</c:v>
                </c:pt>
                <c:pt idx="52">
                  <c:v>42585</c:v>
                </c:pt>
                <c:pt idx="53">
                  <c:v>42614</c:v>
                </c:pt>
                <c:pt idx="54">
                  <c:v>42647</c:v>
                </c:pt>
                <c:pt idx="55">
                  <c:v>42678</c:v>
                </c:pt>
                <c:pt idx="56">
                  <c:v>42705</c:v>
                </c:pt>
                <c:pt idx="57">
                  <c:v>42741</c:v>
                </c:pt>
                <c:pt idx="58">
                  <c:v>42767</c:v>
                </c:pt>
                <c:pt idx="59">
                  <c:v>42797</c:v>
                </c:pt>
                <c:pt idx="60">
                  <c:v>42828</c:v>
                </c:pt>
                <c:pt idx="61">
                  <c:v>42857</c:v>
                </c:pt>
                <c:pt idx="62">
                  <c:v>42887</c:v>
                </c:pt>
                <c:pt idx="63">
                  <c:v>42919</c:v>
                </c:pt>
                <c:pt idx="64">
                  <c:v>42948</c:v>
                </c:pt>
                <c:pt idx="65">
                  <c:v>42979</c:v>
                </c:pt>
                <c:pt idx="66">
                  <c:v>43010</c:v>
                </c:pt>
                <c:pt idx="67">
                  <c:v>43055</c:v>
                </c:pt>
                <c:pt idx="68">
                  <c:v>43070</c:v>
                </c:pt>
                <c:pt idx="69">
                  <c:v>43105</c:v>
                </c:pt>
                <c:pt idx="70">
                  <c:v>43132</c:v>
                </c:pt>
                <c:pt idx="71">
                  <c:v>43160</c:v>
                </c:pt>
                <c:pt idx="72">
                  <c:v>43192</c:v>
                </c:pt>
                <c:pt idx="73">
                  <c:v>43221</c:v>
                </c:pt>
                <c:pt idx="74">
                  <c:v>43252</c:v>
                </c:pt>
                <c:pt idx="75">
                  <c:v>43283</c:v>
                </c:pt>
                <c:pt idx="76">
                  <c:v>43313</c:v>
                </c:pt>
                <c:pt idx="77">
                  <c:v>43346</c:v>
                </c:pt>
                <c:pt idx="78">
                  <c:v>43374</c:v>
                </c:pt>
                <c:pt idx="79">
                  <c:v>43405</c:v>
                </c:pt>
                <c:pt idx="80">
                  <c:v>43437</c:v>
                </c:pt>
                <c:pt idx="81">
                  <c:v>43472</c:v>
                </c:pt>
                <c:pt idx="82">
                  <c:v>43504</c:v>
                </c:pt>
                <c:pt idx="83">
                  <c:v>43525</c:v>
                </c:pt>
              </c:numCache>
            </c:numRef>
          </c:cat>
          <c:val>
            <c:numRef>
              <c:f>月間量回帰式!$V$20:$V$103</c:f>
              <c:numCache>
                <c:formatCode>General</c:formatCode>
                <c:ptCount val="84"/>
                <c:pt idx="5" formatCode="0">
                  <c:v>9688.1530961562239</c:v>
                </c:pt>
                <c:pt idx="6" formatCode="0">
                  <c:v>11043.438731745156</c:v>
                </c:pt>
                <c:pt idx="7" formatCode="0">
                  <c:v>9628.4625628168942</c:v>
                </c:pt>
                <c:pt idx="8" formatCode="0">
                  <c:v>9462.8472101991028</c:v>
                </c:pt>
                <c:pt idx="9" formatCode="0">
                  <c:v>8810.7367592665469</c:v>
                </c:pt>
                <c:pt idx="10" formatCode="0">
                  <c:v>7561.375942956076</c:v>
                </c:pt>
                <c:pt idx="11" formatCode="0">
                  <c:v>9361.4078067207047</c:v>
                </c:pt>
                <c:pt idx="12" formatCode="0">
                  <c:v>11670.401149312698</c:v>
                </c:pt>
                <c:pt idx="13" formatCode="0">
                  <c:v>12301.256407744801</c:v>
                </c:pt>
                <c:pt idx="14" formatCode="0">
                  <c:v>12007.306494269762</c:v>
                </c:pt>
                <c:pt idx="15" formatCode="0">
                  <c:v>13688.043033924316</c:v>
                </c:pt>
                <c:pt idx="16" formatCode="0">
                  <c:v>13103.512260423809</c:v>
                </c:pt>
                <c:pt idx="17" formatCode="0">
                  <c:v>12140.384105527803</c:v>
                </c:pt>
                <c:pt idx="18" formatCode="0">
                  <c:v>12617.526300323245</c:v>
                </c:pt>
                <c:pt idx="19" formatCode="0">
                  <c:v>11453.097201815392</c:v>
                </c:pt>
                <c:pt idx="20" formatCode="0">
                  <c:v>11818.218369412611</c:v>
                </c:pt>
                <c:pt idx="21" formatCode="0">
                  <c:v>10852.984556110621</c:v>
                </c:pt>
                <c:pt idx="22" formatCode="0">
                  <c:v>8957.0497273647434</c:v>
                </c:pt>
                <c:pt idx="23" formatCode="0">
                  <c:v>11268.220393770203</c:v>
                </c:pt>
                <c:pt idx="24" formatCode="0">
                  <c:v>11451.259573396037</c:v>
                </c:pt>
                <c:pt idx="25" formatCode="0">
                  <c:v>11804.566713853832</c:v>
                </c:pt>
                <c:pt idx="26" formatCode="0">
                  <c:v>11566.289805172994</c:v>
                </c:pt>
                <c:pt idx="27" formatCode="0">
                  <c:v>12809.848775133163</c:v>
                </c:pt>
                <c:pt idx="28" formatCode="0">
                  <c:v>12207.17252507318</c:v>
                </c:pt>
                <c:pt idx="29" formatCode="0">
                  <c:v>12270.028330294161</c:v>
                </c:pt>
                <c:pt idx="30" formatCode="0">
                  <c:v>12013.675242334086</c:v>
                </c:pt>
                <c:pt idx="31" formatCode="0">
                  <c:v>10774.224494937376</c:v>
                </c:pt>
                <c:pt idx="32" formatCode="0">
                  <c:v>11778.27408944767</c:v>
                </c:pt>
                <c:pt idx="33" formatCode="0">
                  <c:v>10238.101450405489</c:v>
                </c:pt>
                <c:pt idx="34" formatCode="0">
                  <c:v>8878.6906041556704</c:v>
                </c:pt>
                <c:pt idx="35" formatCode="0">
                  <c:v>11185.868395796344</c:v>
                </c:pt>
                <c:pt idx="36" formatCode="0">
                  <c:v>11442.987409427442</c:v>
                </c:pt>
                <c:pt idx="37" formatCode="0">
                  <c:v>11648.110302647483</c:v>
                </c:pt>
                <c:pt idx="38" formatCode="0">
                  <c:v>11925.8281292705</c:v>
                </c:pt>
                <c:pt idx="39" formatCode="0">
                  <c:v>12776.708278924001</c:v>
                </c:pt>
                <c:pt idx="40" formatCode="0">
                  <c:v>12287.958669152793</c:v>
                </c:pt>
                <c:pt idx="41" formatCode="0">
                  <c:v>12411.623294077634</c:v>
                </c:pt>
                <c:pt idx="42" formatCode="0">
                  <c:v>11905.147014521977</c:v>
                </c:pt>
                <c:pt idx="43" formatCode="0">
                  <c:v>11275.850237174076</c:v>
                </c:pt>
                <c:pt idx="44" formatCode="0">
                  <c:v>12235.200723365746</c:v>
                </c:pt>
                <c:pt idx="45" formatCode="0">
                  <c:v>10048.911449950499</c:v>
                </c:pt>
                <c:pt idx="46" formatCode="0">
                  <c:v>9582.5312091930009</c:v>
                </c:pt>
                <c:pt idx="47" formatCode="0">
                  <c:v>11442.143282294848</c:v>
                </c:pt>
                <c:pt idx="48" formatCode="0">
                  <c:v>11813.18311583508</c:v>
                </c:pt>
                <c:pt idx="49" formatCode="0">
                  <c:v>13029.841369978183</c:v>
                </c:pt>
                <c:pt idx="50" formatCode="0">
                  <c:v>12889.755111183389</c:v>
                </c:pt>
                <c:pt idx="51" formatCode="0">
                  <c:v>13259.073429824211</c:v>
                </c:pt>
                <c:pt idx="52" formatCode="0">
                  <c:v>13901.74188332111</c:v>
                </c:pt>
                <c:pt idx="53" formatCode="0">
                  <c:v>13136.72536613655</c:v>
                </c:pt>
                <c:pt idx="54" formatCode="0">
                  <c:v>12778.322859869348</c:v>
                </c:pt>
                <c:pt idx="55" formatCode="0">
                  <c:v>12131.56097673234</c:v>
                </c:pt>
                <c:pt idx="56" formatCode="0">
                  <c:v>12474.499415470247</c:v>
                </c:pt>
                <c:pt idx="57" formatCode="0">
                  <c:v>10997.226140906958</c:v>
                </c:pt>
                <c:pt idx="58" formatCode="0">
                  <c:v>9861.981654050438</c:v>
                </c:pt>
                <c:pt idx="59" formatCode="0">
                  <c:v>11955.088676692145</c:v>
                </c:pt>
                <c:pt idx="60" formatCode="0">
                  <c:v>9158.978953961845</c:v>
                </c:pt>
                <c:pt idx="61" formatCode="0">
                  <c:v>11300.837961214738</c:v>
                </c:pt>
                <c:pt idx="62" formatCode="0">
                  <c:v>11303.223571674358</c:v>
                </c:pt>
                <c:pt idx="63" formatCode="0">
                  <c:v>11399.410896845478</c:v>
                </c:pt>
                <c:pt idx="64" formatCode="0">
                  <c:v>12575.89628895961</c:v>
                </c:pt>
                <c:pt idx="65" formatCode="0">
                  <c:v>10823.955278789786</c:v>
                </c:pt>
                <c:pt idx="66" formatCode="0">
                  <c:v>11151.975727696383</c:v>
                </c:pt>
                <c:pt idx="67" formatCode="0">
                  <c:v>9996.7209850120216</c:v>
                </c:pt>
                <c:pt idx="68" formatCode="0">
                  <c:v>9588.478186218741</c:v>
                </c:pt>
                <c:pt idx="69" formatCode="0">
                  <c:v>9114.7943721380652</c:v>
                </c:pt>
                <c:pt idx="70" formatCode="0">
                  <c:v>7572.9049652365075</c:v>
                </c:pt>
                <c:pt idx="71" formatCode="0">
                  <c:v>9607.6087828096697</c:v>
                </c:pt>
                <c:pt idx="72" formatCode="0">
                  <c:v>13619</c:v>
                </c:pt>
                <c:pt idx="73" formatCode="0">
                  <c:v>12139</c:v>
                </c:pt>
                <c:pt idx="74" formatCode="0">
                  <c:v>12060</c:v>
                </c:pt>
                <c:pt idx="75" formatCode="0">
                  <c:v>9208</c:v>
                </c:pt>
                <c:pt idx="76" formatCode="0">
                  <c:v>12284</c:v>
                </c:pt>
                <c:pt idx="77" formatCode="0">
                  <c:v>12338</c:v>
                </c:pt>
                <c:pt idx="78" formatCode="0">
                  <c:v>770</c:v>
                </c:pt>
                <c:pt idx="79" formatCode="0">
                  <c:v>11814</c:v>
                </c:pt>
                <c:pt idx="80" formatCode="0">
                  <c:v>12084</c:v>
                </c:pt>
                <c:pt idx="81" formatCode="0">
                  <c:v>9318</c:v>
                </c:pt>
                <c:pt idx="82" formatCode="0">
                  <c:v>10658</c:v>
                </c:pt>
                <c:pt idx="83" formatCode="0">
                  <c:v>11827</c:v>
                </c:pt>
              </c:numCache>
            </c:numRef>
          </c:val>
          <c:smooth val="0"/>
        </c:ser>
        <c:ser>
          <c:idx val="4"/>
          <c:order val="4"/>
          <c:tx>
            <c:strRef>
              <c:f>月間量回帰式!$F$3:$F$4</c:f>
              <c:strCache>
                <c:ptCount val="1"/>
                <c:pt idx="0">
                  <c:v>宮城東部 180(90tx2炉〉</c:v>
                </c:pt>
              </c:strCache>
            </c:strRef>
          </c:tx>
          <c:spPr>
            <a:ln w="0">
              <a:solidFill>
                <a:srgbClr val="FF00FF"/>
              </a:solidFill>
              <a:prstDash val="solid"/>
            </a:ln>
          </c:spPr>
          <c:marker>
            <c:symbol val="x"/>
            <c:size val="3"/>
            <c:spPr>
              <a:noFill/>
              <a:ln>
                <a:solidFill>
                  <a:srgbClr val="FF00FF"/>
                </a:solidFill>
              </a:ln>
            </c:spPr>
          </c:marker>
          <c:cat>
            <c:numRef>
              <c:f>月間量回帰式!$B$20:$B$103</c:f>
              <c:numCache>
                <c:formatCode>[$-411]ge\.m</c:formatCode>
                <c:ptCount val="84"/>
                <c:pt idx="0">
                  <c:v>41012</c:v>
                </c:pt>
                <c:pt idx="1">
                  <c:v>41045</c:v>
                </c:pt>
                <c:pt idx="2">
                  <c:v>41073</c:v>
                </c:pt>
                <c:pt idx="3">
                  <c:v>41101</c:v>
                </c:pt>
                <c:pt idx="4">
                  <c:v>41129</c:v>
                </c:pt>
                <c:pt idx="5">
                  <c:v>41164</c:v>
                </c:pt>
                <c:pt idx="6">
                  <c:v>41199</c:v>
                </c:pt>
                <c:pt idx="7">
                  <c:v>41234</c:v>
                </c:pt>
                <c:pt idx="8">
                  <c:v>41262</c:v>
                </c:pt>
                <c:pt idx="9">
                  <c:v>41290</c:v>
                </c:pt>
                <c:pt idx="10">
                  <c:v>41318</c:v>
                </c:pt>
                <c:pt idx="11">
                  <c:v>41346</c:v>
                </c:pt>
                <c:pt idx="12">
                  <c:v>41376</c:v>
                </c:pt>
                <c:pt idx="13">
                  <c:v>41410</c:v>
                </c:pt>
                <c:pt idx="14">
                  <c:v>41437</c:v>
                </c:pt>
                <c:pt idx="15">
                  <c:v>41465</c:v>
                </c:pt>
                <c:pt idx="16">
                  <c:v>41493</c:v>
                </c:pt>
                <c:pt idx="17">
                  <c:v>41521</c:v>
                </c:pt>
                <c:pt idx="18">
                  <c:v>41557</c:v>
                </c:pt>
                <c:pt idx="19">
                  <c:v>41591</c:v>
                </c:pt>
                <c:pt idx="20">
                  <c:v>41619</c:v>
                </c:pt>
                <c:pt idx="21">
                  <c:v>41647</c:v>
                </c:pt>
                <c:pt idx="22">
                  <c:v>41675</c:v>
                </c:pt>
                <c:pt idx="23">
                  <c:v>41703</c:v>
                </c:pt>
                <c:pt idx="24">
                  <c:v>41739</c:v>
                </c:pt>
                <c:pt idx="25">
                  <c:v>41773</c:v>
                </c:pt>
                <c:pt idx="26">
                  <c:v>41801</c:v>
                </c:pt>
                <c:pt idx="27">
                  <c:v>41829</c:v>
                </c:pt>
                <c:pt idx="28">
                  <c:v>41857</c:v>
                </c:pt>
                <c:pt idx="29">
                  <c:v>41892</c:v>
                </c:pt>
                <c:pt idx="30">
                  <c:v>41920</c:v>
                </c:pt>
                <c:pt idx="31">
                  <c:v>41948</c:v>
                </c:pt>
                <c:pt idx="32">
                  <c:v>41984</c:v>
                </c:pt>
                <c:pt idx="33">
                  <c:v>42012</c:v>
                </c:pt>
                <c:pt idx="34">
                  <c:v>42039</c:v>
                </c:pt>
                <c:pt idx="35">
                  <c:v>42067</c:v>
                </c:pt>
                <c:pt idx="36">
                  <c:v>42095</c:v>
                </c:pt>
                <c:pt idx="37">
                  <c:v>42131</c:v>
                </c:pt>
                <c:pt idx="38">
                  <c:v>42158</c:v>
                </c:pt>
                <c:pt idx="39">
                  <c:v>42193</c:v>
                </c:pt>
                <c:pt idx="40">
                  <c:v>42221</c:v>
                </c:pt>
                <c:pt idx="41">
                  <c:v>42249</c:v>
                </c:pt>
                <c:pt idx="42">
                  <c:v>42284</c:v>
                </c:pt>
                <c:pt idx="43">
                  <c:v>42312</c:v>
                </c:pt>
                <c:pt idx="44">
                  <c:v>42340</c:v>
                </c:pt>
                <c:pt idx="45">
                  <c:v>42375</c:v>
                </c:pt>
                <c:pt idx="46">
                  <c:v>42403</c:v>
                </c:pt>
                <c:pt idx="47">
                  <c:v>42431</c:v>
                </c:pt>
                <c:pt idx="48">
                  <c:v>42461</c:v>
                </c:pt>
                <c:pt idx="49">
                  <c:v>42492</c:v>
                </c:pt>
                <c:pt idx="50">
                  <c:v>42522</c:v>
                </c:pt>
                <c:pt idx="51">
                  <c:v>42552</c:v>
                </c:pt>
                <c:pt idx="52">
                  <c:v>42585</c:v>
                </c:pt>
                <c:pt idx="53">
                  <c:v>42614</c:v>
                </c:pt>
                <c:pt idx="54">
                  <c:v>42647</c:v>
                </c:pt>
                <c:pt idx="55">
                  <c:v>42678</c:v>
                </c:pt>
                <c:pt idx="56">
                  <c:v>42705</c:v>
                </c:pt>
                <c:pt idx="57">
                  <c:v>42741</c:v>
                </c:pt>
                <c:pt idx="58">
                  <c:v>42767</c:v>
                </c:pt>
                <c:pt idx="59">
                  <c:v>42797</c:v>
                </c:pt>
                <c:pt idx="60">
                  <c:v>42828</c:v>
                </c:pt>
                <c:pt idx="61">
                  <c:v>42857</c:v>
                </c:pt>
                <c:pt idx="62">
                  <c:v>42887</c:v>
                </c:pt>
                <c:pt idx="63">
                  <c:v>42919</c:v>
                </c:pt>
                <c:pt idx="64">
                  <c:v>42948</c:v>
                </c:pt>
                <c:pt idx="65">
                  <c:v>42979</c:v>
                </c:pt>
                <c:pt idx="66">
                  <c:v>43010</c:v>
                </c:pt>
                <c:pt idx="67">
                  <c:v>43055</c:v>
                </c:pt>
                <c:pt idx="68">
                  <c:v>43070</c:v>
                </c:pt>
                <c:pt idx="69">
                  <c:v>43105</c:v>
                </c:pt>
                <c:pt idx="70">
                  <c:v>43132</c:v>
                </c:pt>
                <c:pt idx="71">
                  <c:v>43160</c:v>
                </c:pt>
                <c:pt idx="72">
                  <c:v>43192</c:v>
                </c:pt>
                <c:pt idx="73">
                  <c:v>43221</c:v>
                </c:pt>
                <c:pt idx="74">
                  <c:v>43252</c:v>
                </c:pt>
                <c:pt idx="75">
                  <c:v>43283</c:v>
                </c:pt>
                <c:pt idx="76">
                  <c:v>43313</c:v>
                </c:pt>
                <c:pt idx="77">
                  <c:v>43346</c:v>
                </c:pt>
                <c:pt idx="78">
                  <c:v>43374</c:v>
                </c:pt>
                <c:pt idx="79">
                  <c:v>43405</c:v>
                </c:pt>
                <c:pt idx="80">
                  <c:v>43437</c:v>
                </c:pt>
                <c:pt idx="81">
                  <c:v>43472</c:v>
                </c:pt>
                <c:pt idx="82">
                  <c:v>43504</c:v>
                </c:pt>
                <c:pt idx="83">
                  <c:v>43525</c:v>
                </c:pt>
              </c:numCache>
            </c:numRef>
          </c:cat>
          <c:val>
            <c:numRef>
              <c:f>月間量回帰式!$F$20:$F$103</c:f>
              <c:numCache>
                <c:formatCode>0</c:formatCode>
                <c:ptCount val="84"/>
                <c:pt idx="0">
                  <c:v>3453.58</c:v>
                </c:pt>
                <c:pt idx="1">
                  <c:v>3056.66</c:v>
                </c:pt>
                <c:pt idx="2">
                  <c:v>3703.76</c:v>
                </c:pt>
                <c:pt idx="3">
                  <c:v>3890.44</c:v>
                </c:pt>
                <c:pt idx="4">
                  <c:v>4693.46</c:v>
                </c:pt>
                <c:pt idx="5">
                  <c:v>4639.37</c:v>
                </c:pt>
                <c:pt idx="6">
                  <c:v>4819.8100000000004</c:v>
                </c:pt>
                <c:pt idx="7">
                  <c:v>4550.29</c:v>
                </c:pt>
                <c:pt idx="8">
                  <c:v>4161.66</c:v>
                </c:pt>
                <c:pt idx="9">
                  <c:v>3121.59</c:v>
                </c:pt>
                <c:pt idx="10">
                  <c:v>2658.44</c:v>
                </c:pt>
                <c:pt idx="11">
                  <c:v>3137.77</c:v>
                </c:pt>
                <c:pt idx="12">
                  <c:v>3274.12</c:v>
                </c:pt>
                <c:pt idx="13">
                  <c:v>3669.2</c:v>
                </c:pt>
                <c:pt idx="14">
                  <c:v>3632.79</c:v>
                </c:pt>
                <c:pt idx="15">
                  <c:v>4241.7700000000004</c:v>
                </c:pt>
                <c:pt idx="16">
                  <c:v>4204.96</c:v>
                </c:pt>
                <c:pt idx="17">
                  <c:v>3639.07</c:v>
                </c:pt>
                <c:pt idx="18">
                  <c:v>3922.53</c:v>
                </c:pt>
                <c:pt idx="19">
                  <c:v>3376.88</c:v>
                </c:pt>
                <c:pt idx="20">
                  <c:v>3260.82</c:v>
                </c:pt>
                <c:pt idx="21">
                  <c:v>3094.86</c:v>
                </c:pt>
                <c:pt idx="22">
                  <c:v>2416.7399999999998</c:v>
                </c:pt>
                <c:pt idx="23">
                  <c:v>3025.7</c:v>
                </c:pt>
                <c:pt idx="24">
                  <c:v>3232.15</c:v>
                </c:pt>
                <c:pt idx="25">
                  <c:v>3633.7</c:v>
                </c:pt>
                <c:pt idx="26">
                  <c:v>3717.2</c:v>
                </c:pt>
                <c:pt idx="27">
                  <c:v>3963.2</c:v>
                </c:pt>
                <c:pt idx="28">
                  <c:v>3892.13</c:v>
                </c:pt>
                <c:pt idx="29">
                  <c:v>3780.22</c:v>
                </c:pt>
                <c:pt idx="30">
                  <c:v>3844.77</c:v>
                </c:pt>
                <c:pt idx="31">
                  <c:v>3193.13</c:v>
                </c:pt>
                <c:pt idx="32">
                  <c:v>3325.02</c:v>
                </c:pt>
                <c:pt idx="33">
                  <c:v>3093.86</c:v>
                </c:pt>
                <c:pt idx="34">
                  <c:v>2539.4899999999998</c:v>
                </c:pt>
                <c:pt idx="35">
                  <c:v>3137.62</c:v>
                </c:pt>
                <c:pt idx="36">
                  <c:v>3213.16</c:v>
                </c:pt>
                <c:pt idx="37">
                  <c:v>3508.9</c:v>
                </c:pt>
                <c:pt idx="38">
                  <c:v>3648.39</c:v>
                </c:pt>
                <c:pt idx="39">
                  <c:v>3828.38</c:v>
                </c:pt>
                <c:pt idx="40">
                  <c:v>3788.74</c:v>
                </c:pt>
                <c:pt idx="41">
                  <c:v>3700.23</c:v>
                </c:pt>
                <c:pt idx="42">
                  <c:v>3571.69</c:v>
                </c:pt>
                <c:pt idx="43">
                  <c:v>3233.36</c:v>
                </c:pt>
                <c:pt idx="44">
                  <c:v>3359.44</c:v>
                </c:pt>
                <c:pt idx="45">
                  <c:v>2915.17</c:v>
                </c:pt>
                <c:pt idx="46">
                  <c:v>2728.16</c:v>
                </c:pt>
                <c:pt idx="47">
                  <c:v>3122.56</c:v>
                </c:pt>
                <c:pt idx="48">
                  <c:v>3162.5</c:v>
                </c:pt>
                <c:pt idx="49">
                  <c:v>3654.06</c:v>
                </c:pt>
                <c:pt idx="50">
                  <c:v>3658.47</c:v>
                </c:pt>
                <c:pt idx="51">
                  <c:v>3848.64</c:v>
                </c:pt>
                <c:pt idx="52">
                  <c:v>3988.3</c:v>
                </c:pt>
                <c:pt idx="53">
                  <c:v>3674.49</c:v>
                </c:pt>
                <c:pt idx="54">
                  <c:v>3668.54</c:v>
                </c:pt>
                <c:pt idx="55">
                  <c:v>3240.38</c:v>
                </c:pt>
                <c:pt idx="56">
                  <c:v>3200.46</c:v>
                </c:pt>
                <c:pt idx="57">
                  <c:v>2885.05</c:v>
                </c:pt>
                <c:pt idx="58">
                  <c:v>2475.5</c:v>
                </c:pt>
                <c:pt idx="59">
                  <c:v>2975.21</c:v>
                </c:pt>
                <c:pt idx="60">
                  <c:v>2943.86</c:v>
                </c:pt>
                <c:pt idx="61">
                  <c:v>3705.96</c:v>
                </c:pt>
                <c:pt idx="62">
                  <c:v>3770.52</c:v>
                </c:pt>
                <c:pt idx="63">
                  <c:v>3885.4</c:v>
                </c:pt>
                <c:pt idx="64">
                  <c:v>4267.82</c:v>
                </c:pt>
                <c:pt idx="65">
                  <c:v>3661.59</c:v>
                </c:pt>
                <c:pt idx="66">
                  <c:v>3700.68</c:v>
                </c:pt>
                <c:pt idx="67">
                  <c:v>3337.72</c:v>
                </c:pt>
                <c:pt idx="68">
                  <c:v>3094.41</c:v>
                </c:pt>
                <c:pt idx="69">
                  <c:v>2901.53</c:v>
                </c:pt>
                <c:pt idx="70">
                  <c:v>2403.42</c:v>
                </c:pt>
                <c:pt idx="71">
                  <c:v>3074.8</c:v>
                </c:pt>
                <c:pt idx="72">
                  <c:v>2997.38</c:v>
                </c:pt>
                <c:pt idx="73">
                  <c:v>3801.51</c:v>
                </c:pt>
                <c:pt idx="74">
                  <c:v>3646.96</c:v>
                </c:pt>
                <c:pt idx="75">
                  <c:v>3865.93</c:v>
                </c:pt>
                <c:pt idx="76">
                  <c:v>3797.17</c:v>
                </c:pt>
                <c:pt idx="77">
                  <c:v>3534.99</c:v>
                </c:pt>
                <c:pt idx="78">
                  <c:v>3963.28</c:v>
                </c:pt>
                <c:pt idx="79">
                  <c:v>3357.65</c:v>
                </c:pt>
                <c:pt idx="80">
                  <c:v>3025.6</c:v>
                </c:pt>
                <c:pt idx="81">
                  <c:v>2986.16</c:v>
                </c:pt>
                <c:pt idx="82">
                  <c:v>2479.9899999999998</c:v>
                </c:pt>
                <c:pt idx="83">
                  <c:v>2988.55</c:v>
                </c:pt>
              </c:numCache>
            </c:numRef>
          </c:val>
          <c:smooth val="0"/>
        </c:ser>
        <c:dLbls>
          <c:showLegendKey val="0"/>
          <c:showVal val="0"/>
          <c:showCatName val="0"/>
          <c:showSerName val="0"/>
          <c:showPercent val="0"/>
          <c:showBubbleSize val="0"/>
        </c:dLbls>
        <c:marker val="1"/>
        <c:smooth val="0"/>
        <c:axId val="136202496"/>
        <c:axId val="136217728"/>
      </c:lineChart>
      <c:catAx>
        <c:axId val="136202496"/>
        <c:scaling>
          <c:orientation val="minMax"/>
        </c:scaling>
        <c:delete val="0"/>
        <c:axPos val="b"/>
        <c:majorGridlines>
          <c:spPr>
            <a:ln w="3175">
              <a:pattFill prst="pct50">
                <a:fgClr>
                  <a:srgbClr val="000000"/>
                </a:fgClr>
                <a:bgClr>
                  <a:srgbClr val="FFFFFF"/>
                </a:bgClr>
              </a:pattFill>
              <a:prstDash val="solid"/>
            </a:ln>
          </c:spPr>
        </c:majorGridlines>
        <c:numFmt formatCode="ge\.m" sourceLinked="0"/>
        <c:majorTickMark val="in"/>
        <c:minorTickMark val="none"/>
        <c:tickLblPos val="nextTo"/>
        <c:spPr>
          <a:ln w="3175">
            <a:solidFill>
              <a:srgbClr val="000000"/>
            </a:solidFill>
            <a:prstDash val="solid"/>
          </a:ln>
        </c:spPr>
        <c:txPr>
          <a:bodyPr rot="-5400000" vert="horz"/>
          <a:lstStyle/>
          <a:p>
            <a:pPr>
              <a:defRPr sz="800" b="0" i="0" u="none" strike="noStrike" baseline="0">
                <a:solidFill>
                  <a:srgbClr val="000000"/>
                </a:solidFill>
                <a:latin typeface="Meiryo UI"/>
                <a:ea typeface="Meiryo UI"/>
                <a:cs typeface="Meiryo UI"/>
              </a:defRPr>
            </a:pPr>
            <a:endParaRPr lang="ja-JP"/>
          </a:p>
        </c:txPr>
        <c:crossAx val="136217728"/>
        <c:crosses val="autoZero"/>
        <c:auto val="0"/>
        <c:lblAlgn val="ctr"/>
        <c:lblOffset val="0"/>
        <c:tickLblSkip val="6"/>
        <c:tickMarkSkip val="6"/>
        <c:noMultiLvlLbl val="0"/>
      </c:catAx>
      <c:valAx>
        <c:axId val="136217728"/>
        <c:scaling>
          <c:orientation val="minMax"/>
        </c:scaling>
        <c:delete val="0"/>
        <c:axPos val="l"/>
        <c:majorGridlines>
          <c:spPr>
            <a:ln w="3175">
              <a:pattFill prst="pct50">
                <a:fgClr>
                  <a:srgbClr val="000000"/>
                </a:fgClr>
                <a:bgClr>
                  <a:srgbClr val="FFFFFF"/>
                </a:bgClr>
              </a:pattFill>
              <a:prstDash val="solid"/>
            </a:ln>
          </c:spPr>
        </c:majorGridlines>
        <c:numFmt formatCode="General" sourceLinked="0"/>
        <c:majorTickMark val="in"/>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Meiryo UI"/>
                <a:ea typeface="Meiryo UI"/>
                <a:cs typeface="Meiryo UI"/>
              </a:defRPr>
            </a:pPr>
            <a:endParaRPr lang="ja-JP"/>
          </a:p>
        </c:txPr>
        <c:crossAx val="136202496"/>
        <c:crosses val="autoZero"/>
        <c:crossBetween val="between"/>
      </c:valAx>
      <c:spPr>
        <a:noFill/>
        <a:ln w="12700">
          <a:solidFill>
            <a:srgbClr val="808080"/>
          </a:solidFill>
          <a:prstDash val="solid"/>
        </a:ln>
      </c:spPr>
    </c:plotArea>
    <c:legend>
      <c:legendPos val="r"/>
      <c:layout>
        <c:manualLayout>
          <c:xMode val="edge"/>
          <c:yMode val="edge"/>
          <c:x val="0.41721654842649619"/>
          <c:y val="1.4121474252337099E-4"/>
          <c:w val="0.5419510927470701"/>
          <c:h val="0.22734158230221221"/>
        </c:manualLayout>
      </c:layout>
      <c:overlay val="0"/>
      <c:spPr>
        <a:noFill/>
        <a:ln w="25400">
          <a:noFill/>
        </a:ln>
      </c:spPr>
      <c:txPr>
        <a:bodyPr/>
        <a:lstStyle/>
        <a:p>
          <a:pPr>
            <a:defRPr sz="900" b="0" i="0" u="none" strike="noStrike" baseline="0">
              <a:solidFill>
                <a:srgbClr val="000000"/>
              </a:solidFill>
              <a:latin typeface="Meiryo UI"/>
              <a:ea typeface="Meiryo UI"/>
              <a:cs typeface="Meiryo UI"/>
            </a:defRPr>
          </a:pPr>
          <a:endParaRPr lang="ja-JP"/>
        </a:p>
      </c:txPr>
    </c:legend>
    <c:plotVisOnly val="1"/>
    <c:dispBlanksAs val="span"/>
    <c:showDLblsOverMax val="0"/>
  </c:chart>
  <c:spPr>
    <a:solidFill>
      <a:srgbClr val="FFFFFF"/>
    </a:solidFill>
    <a:ln w="3175">
      <a:solidFill>
        <a:srgbClr val="000000"/>
      </a:solidFill>
      <a:prstDash val="solid"/>
    </a:ln>
  </c:spPr>
  <c:txPr>
    <a:bodyPr/>
    <a:lstStyle/>
    <a:p>
      <a:pPr>
        <a:defRPr sz="475" b="0" i="0" u="none" strike="noStrike" baseline="0">
          <a:solidFill>
            <a:srgbClr val="000000"/>
          </a:solidFill>
          <a:latin typeface="Meiryo UI"/>
          <a:ea typeface="Meiryo UI"/>
          <a:cs typeface="Meiryo UI"/>
        </a:defRPr>
      </a:pPr>
      <a:endParaRPr lang="ja-JP"/>
    </a:p>
  </c:txPr>
  <c:printSettings>
    <c:headerFooter alignWithMargins="0"/>
    <c:pageMargins b="1" l="0.75" r="0.75" t="1" header="0.51200000000000001" footer="0.51200000000000001"/>
    <c:pageSetup paperSize="9" orientation="landscape" horizontalDpi="200" verticalDpi="200"/>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0"/>
    <c:plotArea>
      <c:layout>
        <c:manualLayout>
          <c:layoutTarget val="inner"/>
          <c:xMode val="edge"/>
          <c:yMode val="edge"/>
          <c:x val="0.12398950131233596"/>
          <c:y val="3.4776368518234818E-2"/>
          <c:w val="0.87334611670950457"/>
          <c:h val="0.84553093905542276"/>
        </c:manualLayout>
      </c:layout>
      <c:lineChart>
        <c:grouping val="standard"/>
        <c:varyColors val="0"/>
        <c:ser>
          <c:idx val="0"/>
          <c:order val="0"/>
          <c:tx>
            <c:strRef>
              <c:f>月間量回帰式!$C$3:$C$4</c:f>
              <c:strCache>
                <c:ptCount val="1"/>
                <c:pt idx="0">
                  <c:v>石巻広域クリセ 230(115tx2炉〉</c:v>
                </c:pt>
              </c:strCache>
            </c:strRef>
          </c:tx>
          <c:spPr>
            <a:ln w="0">
              <a:solidFill>
                <a:srgbClr val="0000FF"/>
              </a:solidFill>
              <a:prstDash val="solid"/>
            </a:ln>
          </c:spPr>
          <c:marker>
            <c:symbol val="diamond"/>
            <c:size val="4"/>
            <c:spPr>
              <a:noFill/>
              <a:ln>
                <a:solidFill>
                  <a:srgbClr val="0000FF"/>
                </a:solidFill>
                <a:prstDash val="solid"/>
              </a:ln>
            </c:spPr>
          </c:marker>
          <c:cat>
            <c:strRef>
              <c:f>月間量回帰式!$B$5:$B$16</c:f>
              <c:strCache>
                <c:ptCount val="12"/>
                <c:pt idx="0">
                  <c:v>4月</c:v>
                </c:pt>
                <c:pt idx="1">
                  <c:v>5月</c:v>
                </c:pt>
                <c:pt idx="2">
                  <c:v>6月</c:v>
                </c:pt>
                <c:pt idx="3">
                  <c:v>7月</c:v>
                </c:pt>
                <c:pt idx="4">
                  <c:v>8月</c:v>
                </c:pt>
                <c:pt idx="5">
                  <c:v>9月</c:v>
                </c:pt>
                <c:pt idx="6">
                  <c:v>10月</c:v>
                </c:pt>
                <c:pt idx="7">
                  <c:v>11月</c:v>
                </c:pt>
                <c:pt idx="8">
                  <c:v>12月</c:v>
                </c:pt>
                <c:pt idx="9">
                  <c:v>1月</c:v>
                </c:pt>
                <c:pt idx="10">
                  <c:v>2月</c:v>
                </c:pt>
                <c:pt idx="11">
                  <c:v>3月</c:v>
                </c:pt>
              </c:strCache>
            </c:strRef>
          </c:cat>
          <c:val>
            <c:numRef>
              <c:f>月間量回帰式!$E$5:$E$16</c:f>
              <c:numCache>
                <c:formatCode>0.000</c:formatCode>
                <c:ptCount val="12"/>
                <c:pt idx="0">
                  <c:v>7.9992816066502742E-2</c:v>
                </c:pt>
                <c:pt idx="1">
                  <c:v>9.0772615392838429E-2</c:v>
                </c:pt>
                <c:pt idx="2">
                  <c:v>8.6804076534505711E-2</c:v>
                </c:pt>
                <c:pt idx="3">
                  <c:v>9.0079743785774907E-2</c:v>
                </c:pt>
                <c:pt idx="4">
                  <c:v>9.5056963183888205E-2</c:v>
                </c:pt>
                <c:pt idx="5">
                  <c:v>8.5050031214917471E-2</c:v>
                </c:pt>
                <c:pt idx="6">
                  <c:v>8.6599482936585273E-2</c:v>
                </c:pt>
                <c:pt idx="7">
                  <c:v>8.0846255404083966E-2</c:v>
                </c:pt>
                <c:pt idx="8">
                  <c:v>8.1908249764947372E-2</c:v>
                </c:pt>
                <c:pt idx="9">
                  <c:v>7.7395832614512952E-2</c:v>
                </c:pt>
                <c:pt idx="10">
                  <c:v>6.6426641054386296E-2</c:v>
                </c:pt>
                <c:pt idx="11">
                  <c:v>7.9067334425156469E-2</c:v>
                </c:pt>
              </c:numCache>
            </c:numRef>
          </c:val>
          <c:smooth val="0"/>
        </c:ser>
        <c:ser>
          <c:idx val="1"/>
          <c:order val="1"/>
          <c:tx>
            <c:strRef>
              <c:f>月間量回帰式!$M$3:$M$4</c:f>
              <c:strCache>
                <c:ptCount val="1"/>
                <c:pt idx="0">
                  <c:v>今泉 600(200tx3炉)</c:v>
                </c:pt>
              </c:strCache>
            </c:strRef>
          </c:tx>
          <c:spPr>
            <a:ln w="0">
              <a:solidFill>
                <a:srgbClr val="FF0000"/>
              </a:solidFill>
              <a:prstDash val="solid"/>
            </a:ln>
          </c:spPr>
          <c:marker>
            <c:symbol val="square"/>
            <c:size val="4"/>
            <c:spPr>
              <a:noFill/>
              <a:ln>
                <a:solidFill>
                  <a:srgbClr val="FF0000"/>
                </a:solidFill>
                <a:prstDash val="solid"/>
              </a:ln>
            </c:spPr>
          </c:marker>
          <c:cat>
            <c:strRef>
              <c:f>月間量回帰式!$B$5:$B$16</c:f>
              <c:strCache>
                <c:ptCount val="12"/>
                <c:pt idx="0">
                  <c:v>4月</c:v>
                </c:pt>
                <c:pt idx="1">
                  <c:v>5月</c:v>
                </c:pt>
                <c:pt idx="2">
                  <c:v>6月</c:v>
                </c:pt>
                <c:pt idx="3">
                  <c:v>7月</c:v>
                </c:pt>
                <c:pt idx="4">
                  <c:v>8月</c:v>
                </c:pt>
                <c:pt idx="5">
                  <c:v>9月</c:v>
                </c:pt>
                <c:pt idx="6">
                  <c:v>10月</c:v>
                </c:pt>
                <c:pt idx="7">
                  <c:v>11月</c:v>
                </c:pt>
                <c:pt idx="8">
                  <c:v>12月</c:v>
                </c:pt>
                <c:pt idx="9">
                  <c:v>1月</c:v>
                </c:pt>
                <c:pt idx="10">
                  <c:v>2月</c:v>
                </c:pt>
                <c:pt idx="11">
                  <c:v>3月</c:v>
                </c:pt>
              </c:strCache>
            </c:strRef>
          </c:cat>
          <c:val>
            <c:numRef>
              <c:f>月間量回帰式!$P$5:$P$16</c:f>
              <c:numCache>
                <c:formatCode>0.000</c:formatCode>
                <c:ptCount val="12"/>
                <c:pt idx="0">
                  <c:v>8.1971266995696179E-2</c:v>
                </c:pt>
                <c:pt idx="1">
                  <c:v>8.61486694425114E-2</c:v>
                </c:pt>
                <c:pt idx="2">
                  <c:v>8.5459112238232091E-2</c:v>
                </c:pt>
                <c:pt idx="3">
                  <c:v>9.284376445839071E-2</c:v>
                </c:pt>
                <c:pt idx="4">
                  <c:v>9.0918583138403744E-2</c:v>
                </c:pt>
                <c:pt idx="5">
                  <c:v>8.8268380080710113E-2</c:v>
                </c:pt>
                <c:pt idx="6">
                  <c:v>8.7125754441793143E-2</c:v>
                </c:pt>
                <c:pt idx="7">
                  <c:v>8.0589023142928984E-2</c:v>
                </c:pt>
                <c:pt idx="8">
                  <c:v>8.5368950939801916E-2</c:v>
                </c:pt>
                <c:pt idx="9">
                  <c:v>7.4432954139816931E-2</c:v>
                </c:pt>
                <c:pt idx="10">
                  <c:v>6.5857499191818117E-2</c:v>
                </c:pt>
                <c:pt idx="11">
                  <c:v>8.1016041789896673E-2</c:v>
                </c:pt>
              </c:numCache>
            </c:numRef>
          </c:val>
          <c:smooth val="0"/>
        </c:ser>
        <c:ser>
          <c:idx val="2"/>
          <c:order val="2"/>
          <c:tx>
            <c:strRef>
              <c:f>月間量回帰式!$R$3:$R$4</c:f>
              <c:strCache>
                <c:ptCount val="1"/>
                <c:pt idx="0">
                  <c:v>葛岡 600(300tx2炉〉</c:v>
                </c:pt>
              </c:strCache>
            </c:strRef>
          </c:tx>
          <c:spPr>
            <a:ln w="0">
              <a:solidFill>
                <a:srgbClr val="008000"/>
              </a:solidFill>
              <a:prstDash val="solid"/>
            </a:ln>
          </c:spPr>
          <c:marker>
            <c:symbol val="triangle"/>
            <c:size val="4"/>
            <c:spPr>
              <a:noFill/>
              <a:ln>
                <a:solidFill>
                  <a:srgbClr val="008000"/>
                </a:solidFill>
                <a:prstDash val="solid"/>
              </a:ln>
            </c:spPr>
          </c:marker>
          <c:cat>
            <c:strRef>
              <c:f>月間量回帰式!$B$5:$B$16</c:f>
              <c:strCache>
                <c:ptCount val="12"/>
                <c:pt idx="0">
                  <c:v>4月</c:v>
                </c:pt>
                <c:pt idx="1">
                  <c:v>5月</c:v>
                </c:pt>
                <c:pt idx="2">
                  <c:v>6月</c:v>
                </c:pt>
                <c:pt idx="3">
                  <c:v>7月</c:v>
                </c:pt>
                <c:pt idx="4">
                  <c:v>8月</c:v>
                </c:pt>
                <c:pt idx="5">
                  <c:v>9月</c:v>
                </c:pt>
                <c:pt idx="6">
                  <c:v>10月</c:v>
                </c:pt>
                <c:pt idx="7">
                  <c:v>11月</c:v>
                </c:pt>
                <c:pt idx="8">
                  <c:v>12月</c:v>
                </c:pt>
                <c:pt idx="9">
                  <c:v>1月</c:v>
                </c:pt>
                <c:pt idx="10">
                  <c:v>2月</c:v>
                </c:pt>
                <c:pt idx="11">
                  <c:v>3月</c:v>
                </c:pt>
              </c:strCache>
            </c:strRef>
          </c:cat>
          <c:val>
            <c:numRef>
              <c:f>月間量回帰式!$U$5:$U$16</c:f>
              <c:numCache>
                <c:formatCode>0.000</c:formatCode>
                <c:ptCount val="12"/>
                <c:pt idx="0">
                  <c:v>8.1971266995696179E-2</c:v>
                </c:pt>
                <c:pt idx="1">
                  <c:v>8.61486694425114E-2</c:v>
                </c:pt>
                <c:pt idx="2">
                  <c:v>8.5459112238232091E-2</c:v>
                </c:pt>
                <c:pt idx="3">
                  <c:v>9.284376445839071E-2</c:v>
                </c:pt>
                <c:pt idx="4">
                  <c:v>9.0918583138403758E-2</c:v>
                </c:pt>
                <c:pt idx="5">
                  <c:v>8.8268380080710113E-2</c:v>
                </c:pt>
                <c:pt idx="6">
                  <c:v>8.7125754441793143E-2</c:v>
                </c:pt>
                <c:pt idx="7">
                  <c:v>8.0589023142928984E-2</c:v>
                </c:pt>
                <c:pt idx="8">
                  <c:v>8.5368950939801916E-2</c:v>
                </c:pt>
                <c:pt idx="9">
                  <c:v>7.4432954139816931E-2</c:v>
                </c:pt>
                <c:pt idx="10">
                  <c:v>6.5857499191818117E-2</c:v>
                </c:pt>
                <c:pt idx="11">
                  <c:v>8.1167817239138546E-2</c:v>
                </c:pt>
              </c:numCache>
            </c:numRef>
          </c:val>
          <c:smooth val="0"/>
        </c:ser>
        <c:ser>
          <c:idx val="3"/>
          <c:order val="3"/>
          <c:tx>
            <c:strRef>
              <c:f>月間量回帰式!$V$3:$V$4</c:f>
              <c:strCache>
                <c:ptCount val="1"/>
                <c:pt idx="0">
                  <c:v>松森 600(200tx3炉〉</c:v>
                </c:pt>
              </c:strCache>
            </c:strRef>
          </c:tx>
          <c:spPr>
            <a:ln w="0">
              <a:solidFill>
                <a:srgbClr val="66FFFF"/>
              </a:solidFill>
              <a:prstDash val="solid"/>
            </a:ln>
          </c:spPr>
          <c:marker>
            <c:symbol val="circle"/>
            <c:size val="4"/>
            <c:spPr>
              <a:noFill/>
              <a:ln>
                <a:solidFill>
                  <a:srgbClr val="66FFFF"/>
                </a:solidFill>
              </a:ln>
            </c:spPr>
          </c:marker>
          <c:cat>
            <c:strRef>
              <c:f>月間量回帰式!$B$5:$B$16</c:f>
              <c:strCache>
                <c:ptCount val="12"/>
                <c:pt idx="0">
                  <c:v>4月</c:v>
                </c:pt>
                <c:pt idx="1">
                  <c:v>5月</c:v>
                </c:pt>
                <c:pt idx="2">
                  <c:v>6月</c:v>
                </c:pt>
                <c:pt idx="3">
                  <c:v>7月</c:v>
                </c:pt>
                <c:pt idx="4">
                  <c:v>8月</c:v>
                </c:pt>
                <c:pt idx="5">
                  <c:v>9月</c:v>
                </c:pt>
                <c:pt idx="6">
                  <c:v>10月</c:v>
                </c:pt>
                <c:pt idx="7">
                  <c:v>11月</c:v>
                </c:pt>
                <c:pt idx="8">
                  <c:v>12月</c:v>
                </c:pt>
                <c:pt idx="9">
                  <c:v>1月</c:v>
                </c:pt>
                <c:pt idx="10">
                  <c:v>2月</c:v>
                </c:pt>
                <c:pt idx="11">
                  <c:v>3月</c:v>
                </c:pt>
              </c:strCache>
            </c:strRef>
          </c:cat>
          <c:val>
            <c:numRef>
              <c:f>月間量回帰式!$Y$5:$Y$16</c:f>
              <c:numCache>
                <c:formatCode>0.000</c:formatCode>
                <c:ptCount val="12"/>
                <c:pt idx="0">
                  <c:v>8.1675098411791908E-2</c:v>
                </c:pt>
                <c:pt idx="1">
                  <c:v>8.5843363132333275E-2</c:v>
                </c:pt>
                <c:pt idx="2">
                  <c:v>8.5159968580657261E-2</c:v>
                </c:pt>
                <c:pt idx="3">
                  <c:v>9.2512458129384509E-2</c:v>
                </c:pt>
                <c:pt idx="4">
                  <c:v>9.0602864070378653E-2</c:v>
                </c:pt>
                <c:pt idx="5">
                  <c:v>8.7951035347429332E-2</c:v>
                </c:pt>
                <c:pt idx="6">
                  <c:v>8.6815039872692457E-2</c:v>
                </c:pt>
                <c:pt idx="7">
                  <c:v>8.0310364992628586E-2</c:v>
                </c:pt>
                <c:pt idx="8">
                  <c:v>8.5064324646462783E-2</c:v>
                </c:pt>
                <c:pt idx="9">
                  <c:v>7.4168161957873957E-2</c:v>
                </c:pt>
                <c:pt idx="10">
                  <c:v>6.5627866005503313E-2</c:v>
                </c:pt>
                <c:pt idx="11">
                  <c:v>8.0726737125960915E-2</c:v>
                </c:pt>
              </c:numCache>
            </c:numRef>
          </c:val>
          <c:smooth val="0"/>
        </c:ser>
        <c:ser>
          <c:idx val="4"/>
          <c:order val="4"/>
          <c:tx>
            <c:strRef>
              <c:f>月間量回帰式!$F$3:$F$4</c:f>
              <c:strCache>
                <c:ptCount val="1"/>
                <c:pt idx="0">
                  <c:v>宮城東部 180(90tx2炉〉</c:v>
                </c:pt>
              </c:strCache>
            </c:strRef>
          </c:tx>
          <c:spPr>
            <a:ln w="0">
              <a:solidFill>
                <a:srgbClr val="FF00FF"/>
              </a:solidFill>
              <a:prstDash val="solid"/>
            </a:ln>
          </c:spPr>
          <c:marker>
            <c:symbol val="x"/>
            <c:size val="3"/>
            <c:spPr>
              <a:noFill/>
              <a:ln>
                <a:solidFill>
                  <a:srgbClr val="FF00FF"/>
                </a:solidFill>
              </a:ln>
            </c:spPr>
          </c:marker>
          <c:cat>
            <c:strRef>
              <c:f>月間量回帰式!$B$5:$B$16</c:f>
              <c:strCache>
                <c:ptCount val="12"/>
                <c:pt idx="0">
                  <c:v>4月</c:v>
                </c:pt>
                <c:pt idx="1">
                  <c:v>5月</c:v>
                </c:pt>
                <c:pt idx="2">
                  <c:v>6月</c:v>
                </c:pt>
                <c:pt idx="3">
                  <c:v>7月</c:v>
                </c:pt>
                <c:pt idx="4">
                  <c:v>8月</c:v>
                </c:pt>
                <c:pt idx="5">
                  <c:v>9月</c:v>
                </c:pt>
                <c:pt idx="6">
                  <c:v>10月</c:v>
                </c:pt>
                <c:pt idx="7">
                  <c:v>11月</c:v>
                </c:pt>
                <c:pt idx="8">
                  <c:v>12月</c:v>
                </c:pt>
                <c:pt idx="9">
                  <c:v>1月</c:v>
                </c:pt>
                <c:pt idx="10">
                  <c:v>2月</c:v>
                </c:pt>
                <c:pt idx="11">
                  <c:v>3月</c:v>
                </c:pt>
              </c:strCache>
            </c:strRef>
          </c:cat>
          <c:val>
            <c:numRef>
              <c:f>月間量回帰式!$H$5:$H$16</c:f>
              <c:numCache>
                <c:formatCode>0.000</c:formatCode>
                <c:ptCount val="12"/>
                <c:pt idx="0">
                  <c:v>7.6501400928994254E-2</c:v>
                </c:pt>
                <c:pt idx="1">
                  <c:v>8.6293553760327171E-2</c:v>
                </c:pt>
                <c:pt idx="2">
                  <c:v>8.8658664053806027E-2</c:v>
                </c:pt>
                <c:pt idx="3">
                  <c:v>9.4654152965531743E-2</c:v>
                </c:pt>
                <c:pt idx="4">
                  <c:v>9.8234579568867289E-2</c:v>
                </c:pt>
                <c:pt idx="5">
                  <c:v>9.1272178635522935E-2</c:v>
                </c:pt>
                <c:pt idx="6">
                  <c:v>9.4203355868508101E-2</c:v>
                </c:pt>
                <c:pt idx="7">
                  <c:v>8.3132019547620395E-2</c:v>
                </c:pt>
                <c:pt idx="8">
                  <c:v>8.0257245665374927E-2</c:v>
                </c:pt>
                <c:pt idx="9">
                  <c:v>7.2160448244430783E-2</c:v>
                </c:pt>
                <c:pt idx="10">
                  <c:v>6.084459991821816E-2</c:v>
                </c:pt>
                <c:pt idx="11">
                  <c:v>7.3789273141264447E-2</c:v>
                </c:pt>
              </c:numCache>
            </c:numRef>
          </c:val>
          <c:smooth val="0"/>
        </c:ser>
        <c:ser>
          <c:idx val="5"/>
          <c:order val="5"/>
          <c:tx>
            <c:strRef>
              <c:f>月間量回帰式!$AB$3</c:f>
              <c:strCache>
                <c:ptCount val="1"/>
                <c:pt idx="0">
                  <c:v>3事業体平均</c:v>
                </c:pt>
              </c:strCache>
            </c:strRef>
          </c:tx>
          <c:cat>
            <c:strRef>
              <c:f>月間量回帰式!$B$5:$B$16</c:f>
              <c:strCache>
                <c:ptCount val="12"/>
                <c:pt idx="0">
                  <c:v>4月</c:v>
                </c:pt>
                <c:pt idx="1">
                  <c:v>5月</c:v>
                </c:pt>
                <c:pt idx="2">
                  <c:v>6月</c:v>
                </c:pt>
                <c:pt idx="3">
                  <c:v>7月</c:v>
                </c:pt>
                <c:pt idx="4">
                  <c:v>8月</c:v>
                </c:pt>
                <c:pt idx="5">
                  <c:v>9月</c:v>
                </c:pt>
                <c:pt idx="6">
                  <c:v>10月</c:v>
                </c:pt>
                <c:pt idx="7">
                  <c:v>11月</c:v>
                </c:pt>
                <c:pt idx="8">
                  <c:v>12月</c:v>
                </c:pt>
                <c:pt idx="9">
                  <c:v>1月</c:v>
                </c:pt>
                <c:pt idx="10">
                  <c:v>2月</c:v>
                </c:pt>
                <c:pt idx="11">
                  <c:v>3月</c:v>
                </c:pt>
              </c:strCache>
            </c:strRef>
          </c:cat>
          <c:val>
            <c:numRef>
              <c:f>月間量回帰式!$AB$5:$AB$16</c:f>
              <c:numCache>
                <c:formatCode>0.000</c:formatCode>
                <c:ptCount val="12"/>
                <c:pt idx="0">
                  <c:v>7.9322176308980252E-2</c:v>
                </c:pt>
                <c:pt idx="1">
                  <c:v>8.9128643618102618E-2</c:v>
                </c:pt>
                <c:pt idx="2">
                  <c:v>8.7466418700092655E-2</c:v>
                </c:pt>
                <c:pt idx="3">
                  <c:v>9.3057188641443564E-2</c:v>
                </c:pt>
                <c:pt idx="4">
                  <c:v>9.4364251114423536E-2</c:v>
                </c:pt>
                <c:pt idx="5">
                  <c:v>8.7498753172037952E-2</c:v>
                </c:pt>
                <c:pt idx="6">
                  <c:v>9.00306780289966E-2</c:v>
                </c:pt>
                <c:pt idx="7">
                  <c:v>8.1438010045640843E-2</c:v>
                </c:pt>
                <c:pt idx="8">
                  <c:v>8.1735217189744303E-2</c:v>
                </c:pt>
                <c:pt idx="9">
                  <c:v>7.4890020694885998E-2</c:v>
                </c:pt>
                <c:pt idx="10">
                  <c:v>6.4081858761377689E-2</c:v>
                </c:pt>
                <c:pt idx="11">
                  <c:v>7.7688555125821387E-2</c:v>
                </c:pt>
              </c:numCache>
            </c:numRef>
          </c:val>
          <c:smooth val="0"/>
        </c:ser>
        <c:dLbls>
          <c:showLegendKey val="0"/>
          <c:showVal val="0"/>
          <c:showCatName val="0"/>
          <c:showSerName val="0"/>
          <c:showPercent val="0"/>
          <c:showBubbleSize val="0"/>
        </c:dLbls>
        <c:marker val="1"/>
        <c:smooth val="0"/>
        <c:axId val="136545024"/>
        <c:axId val="136546560"/>
      </c:lineChart>
      <c:catAx>
        <c:axId val="136545024"/>
        <c:scaling>
          <c:orientation val="minMax"/>
        </c:scaling>
        <c:delete val="0"/>
        <c:axPos val="b"/>
        <c:majorGridlines>
          <c:spPr>
            <a:ln w="3175">
              <a:pattFill prst="pct50">
                <a:fgClr>
                  <a:srgbClr val="000000"/>
                </a:fgClr>
                <a:bgClr>
                  <a:srgbClr val="FFFFFF"/>
                </a:bgClr>
              </a:pattFill>
              <a:prstDash val="solid"/>
            </a:ln>
          </c:spPr>
        </c:majorGridlines>
        <c:numFmt formatCode="ge\.m" sourceLinked="0"/>
        <c:majorTickMark val="in"/>
        <c:minorTickMark val="none"/>
        <c:tickLblPos val="nextTo"/>
        <c:spPr>
          <a:ln w="3175">
            <a:solidFill>
              <a:srgbClr val="000000"/>
            </a:solidFill>
            <a:prstDash val="solid"/>
          </a:ln>
        </c:spPr>
        <c:txPr>
          <a:bodyPr rot="-5400000" vert="horz"/>
          <a:lstStyle/>
          <a:p>
            <a:pPr>
              <a:defRPr sz="800" b="0" i="0" u="none" strike="noStrike" baseline="0">
                <a:solidFill>
                  <a:srgbClr val="000000"/>
                </a:solidFill>
                <a:latin typeface="Meiryo UI"/>
                <a:ea typeface="Meiryo UI"/>
                <a:cs typeface="Meiryo UI"/>
              </a:defRPr>
            </a:pPr>
            <a:endParaRPr lang="ja-JP"/>
          </a:p>
        </c:txPr>
        <c:crossAx val="136546560"/>
        <c:crosses val="autoZero"/>
        <c:auto val="0"/>
        <c:lblAlgn val="ctr"/>
        <c:lblOffset val="0"/>
        <c:tickLblSkip val="1"/>
        <c:tickMarkSkip val="1"/>
        <c:noMultiLvlLbl val="0"/>
      </c:catAx>
      <c:valAx>
        <c:axId val="136546560"/>
        <c:scaling>
          <c:orientation val="minMax"/>
          <c:min val="6.0000000000000012E-2"/>
        </c:scaling>
        <c:delete val="0"/>
        <c:axPos val="l"/>
        <c:majorGridlines>
          <c:spPr>
            <a:ln w="3175">
              <a:pattFill prst="pct50">
                <a:fgClr>
                  <a:srgbClr val="000000"/>
                </a:fgClr>
                <a:bgClr>
                  <a:srgbClr val="FFFFFF"/>
                </a:bgClr>
              </a:pattFill>
              <a:prstDash val="solid"/>
            </a:ln>
          </c:spPr>
        </c:majorGridlines>
        <c:numFmt formatCode="General" sourceLinked="0"/>
        <c:majorTickMark val="in"/>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Meiryo UI"/>
                <a:ea typeface="Meiryo UI"/>
                <a:cs typeface="Meiryo UI"/>
              </a:defRPr>
            </a:pPr>
            <a:endParaRPr lang="ja-JP"/>
          </a:p>
        </c:txPr>
        <c:crossAx val="136545024"/>
        <c:crosses val="autoZero"/>
        <c:crossBetween val="between"/>
      </c:valAx>
      <c:spPr>
        <a:noFill/>
        <a:ln w="12700">
          <a:solidFill>
            <a:srgbClr val="808080"/>
          </a:solidFill>
          <a:prstDash val="solid"/>
        </a:ln>
      </c:spPr>
    </c:plotArea>
    <c:legend>
      <c:legendPos val="r"/>
      <c:layout>
        <c:manualLayout>
          <c:xMode val="edge"/>
          <c:yMode val="edge"/>
          <c:x val="0.20305418355447502"/>
          <c:y val="0.60253684635845717"/>
          <c:w val="0.55651826384850789"/>
          <c:h val="0.21920779844034777"/>
        </c:manualLayout>
      </c:layout>
      <c:overlay val="0"/>
      <c:spPr>
        <a:noFill/>
        <a:ln w="25400">
          <a:noFill/>
        </a:ln>
      </c:spPr>
      <c:txPr>
        <a:bodyPr/>
        <a:lstStyle/>
        <a:p>
          <a:pPr>
            <a:defRPr sz="800" b="0" i="0" u="none" strike="noStrike" baseline="0">
              <a:solidFill>
                <a:srgbClr val="000000"/>
              </a:solidFill>
              <a:latin typeface="Meiryo UI"/>
              <a:ea typeface="Meiryo UI"/>
              <a:cs typeface="Meiryo UI"/>
            </a:defRPr>
          </a:pPr>
          <a:endParaRPr lang="ja-JP"/>
        </a:p>
      </c:txPr>
    </c:legend>
    <c:plotVisOnly val="1"/>
    <c:dispBlanksAs val="span"/>
    <c:showDLblsOverMax val="0"/>
  </c:chart>
  <c:spPr>
    <a:solidFill>
      <a:srgbClr val="FFFFFF"/>
    </a:solidFill>
    <a:ln w="3175">
      <a:solidFill>
        <a:srgbClr val="000000"/>
      </a:solidFill>
      <a:prstDash val="solid"/>
    </a:ln>
  </c:spPr>
  <c:txPr>
    <a:bodyPr/>
    <a:lstStyle/>
    <a:p>
      <a:pPr>
        <a:defRPr sz="475" b="0" i="0" u="none" strike="noStrike" baseline="0">
          <a:solidFill>
            <a:srgbClr val="000000"/>
          </a:solidFill>
          <a:latin typeface="Meiryo UI"/>
          <a:ea typeface="Meiryo UI"/>
          <a:cs typeface="Meiryo UI"/>
        </a:defRPr>
      </a:pPr>
      <a:endParaRPr lang="ja-JP"/>
    </a:p>
  </c:txPr>
  <c:printSettings>
    <c:headerFooter alignWithMargins="0"/>
    <c:pageMargins b="1" l="0.75" r="0.75" t="1" header="0.51200000000000001" footer="0.51200000000000001"/>
    <c:pageSetup paperSize="9" orientation="landscape" horizontalDpi="200" verticalDpi="200"/>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4" Type="http://schemas.openxmlformats.org/officeDocument/2006/relationships/chart" Target="../charts/chart4.xml"/></Relationships>
</file>

<file path=xl/drawings/_rels/drawing3.xml.rels><?xml version="1.0" encoding="UTF-8" standalone="yes"?>
<Relationships xmlns="http://schemas.openxmlformats.org/package/2006/relationships"><Relationship Id="rId3" Type="http://schemas.openxmlformats.org/officeDocument/2006/relationships/chart" Target="../charts/chart7.xml"/><Relationship Id="rId2" Type="http://schemas.openxmlformats.org/officeDocument/2006/relationships/chart" Target="../charts/chart6.xml"/><Relationship Id="rId1" Type="http://schemas.openxmlformats.org/officeDocument/2006/relationships/chart" Target="../charts/chart5.xml"/></Relationships>
</file>

<file path=xl/drawings/_rels/drawing5.xml.rels><?xml version="1.0" encoding="UTF-8" standalone="yes"?>
<Relationships xmlns="http://schemas.openxmlformats.org/package/2006/relationships"><Relationship Id="rId3" Type="http://schemas.openxmlformats.org/officeDocument/2006/relationships/chart" Target="../charts/chart10.xml"/><Relationship Id="rId2" Type="http://schemas.openxmlformats.org/officeDocument/2006/relationships/chart" Target="../charts/chart9.xml"/><Relationship Id="rId1" Type="http://schemas.openxmlformats.org/officeDocument/2006/relationships/chart" Target="../charts/chart8.xml"/></Relationships>
</file>

<file path=xl/drawings/_rels/drawing6.xml.rels><?xml version="1.0" encoding="UTF-8" standalone="yes"?>
<Relationships xmlns="http://schemas.openxmlformats.org/package/2006/relationships"><Relationship Id="rId3" Type="http://schemas.openxmlformats.org/officeDocument/2006/relationships/chart" Target="../charts/chart13.xml"/><Relationship Id="rId2" Type="http://schemas.openxmlformats.org/officeDocument/2006/relationships/chart" Target="../charts/chart12.xml"/><Relationship Id="rId1" Type="http://schemas.openxmlformats.org/officeDocument/2006/relationships/chart" Target="../charts/chart11.xml"/><Relationship Id="rId5" Type="http://schemas.openxmlformats.org/officeDocument/2006/relationships/chart" Target="../charts/chart15.xml"/><Relationship Id="rId4" Type="http://schemas.openxmlformats.org/officeDocument/2006/relationships/chart" Target="../charts/chart14.xml"/></Relationships>
</file>

<file path=xl/drawings/drawing1.xml><?xml version="1.0" encoding="utf-8"?>
<xdr:wsDr xmlns:xdr="http://schemas.openxmlformats.org/drawingml/2006/spreadsheetDrawing" xmlns:a="http://schemas.openxmlformats.org/drawingml/2006/main">
  <xdr:twoCellAnchor>
    <xdr:from>
      <xdr:col>1</xdr:col>
      <xdr:colOff>19424</xdr:colOff>
      <xdr:row>2</xdr:row>
      <xdr:rowOff>91017</xdr:rowOff>
    </xdr:from>
    <xdr:to>
      <xdr:col>16</xdr:col>
      <xdr:colOff>342900</xdr:colOff>
      <xdr:row>53</xdr:row>
      <xdr:rowOff>12700</xdr:rowOff>
    </xdr:to>
    <xdr:graphicFrame macro="">
      <xdr:nvGraphicFramePr>
        <xdr:cNvPr id="4" name="グラフ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95250</xdr:colOff>
      <xdr:row>57</xdr:row>
      <xdr:rowOff>101600</xdr:rowOff>
    </xdr:from>
    <xdr:to>
      <xdr:col>16</xdr:col>
      <xdr:colOff>190500</xdr:colOff>
      <xdr:row>87</xdr:row>
      <xdr:rowOff>114300</xdr:rowOff>
    </xdr:to>
    <xdr:graphicFrame macro="">
      <xdr:nvGraphicFramePr>
        <xdr:cNvPr id="2" name="グラフ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107950</xdr:colOff>
      <xdr:row>88</xdr:row>
      <xdr:rowOff>88900</xdr:rowOff>
    </xdr:from>
    <xdr:to>
      <xdr:col>16</xdr:col>
      <xdr:colOff>203200</xdr:colOff>
      <xdr:row>118</xdr:row>
      <xdr:rowOff>101600</xdr:rowOff>
    </xdr:to>
    <xdr:graphicFrame macro="">
      <xdr:nvGraphicFramePr>
        <xdr:cNvPr id="5" name="グラフ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43</xdr:col>
      <xdr:colOff>190500</xdr:colOff>
      <xdr:row>0</xdr:row>
      <xdr:rowOff>0</xdr:rowOff>
    </xdr:from>
    <xdr:to>
      <xdr:col>50</xdr:col>
      <xdr:colOff>304800</xdr:colOff>
      <xdr:row>19</xdr:row>
      <xdr:rowOff>101600</xdr:rowOff>
    </xdr:to>
    <xdr:graphicFrame macro="">
      <xdr:nvGraphicFramePr>
        <xdr:cNvPr id="6" name="グラフ 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0.17772</cdr:x>
      <cdr:y>0.04531</cdr:y>
    </cdr:from>
    <cdr:to>
      <cdr:x>0.44388</cdr:x>
      <cdr:y>0.13594</cdr:y>
    </cdr:to>
    <cdr:sp macro="" textlink="">
      <cdr:nvSpPr>
        <cdr:cNvPr id="4"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5"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8"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9"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10"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2"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3"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14"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6"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7"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18"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0"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1"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22"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4"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5"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26"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8"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9"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30"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2"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3"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2"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4"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5"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36"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8"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9"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40"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2"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3"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44"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6"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7"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48"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0"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1"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52"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4"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5"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56"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8"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9"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60"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62"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63"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64"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66"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67"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68"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70"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71"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72"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74"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75"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76"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78"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79"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80"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82"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83"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84"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86"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87"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3"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7"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1"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15"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3"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27"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31"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1"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45"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49"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7"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61"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65"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69"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73"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77"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81"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88"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89"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90"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91"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92"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93"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94"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95"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96"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97"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98"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99"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00"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01"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02"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03"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04"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6"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19"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37"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53"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85"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05"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06"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107"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08"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09"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110"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11"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12"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113"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14"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15"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116"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17"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18"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119"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20"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21"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122"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23"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24"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125"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26"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27"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128"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29"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30"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131"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32"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33"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134"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35"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36"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137"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38"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39"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140"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41"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42"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143"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44"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45"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146"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47"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48"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149"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50"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51"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152"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53"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54"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155"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56"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57"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158"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59"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60"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161"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62"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63"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164"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65"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66"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167"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68"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69"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0.29677</cdr:x>
      <cdr:y>0.06473</cdr:y>
    </cdr:from>
    <cdr:to>
      <cdr:x>0.52806</cdr:x>
      <cdr:y>0.15859</cdr:y>
    </cdr:to>
    <cdr:sp macro="" textlink="">
      <cdr:nvSpPr>
        <cdr:cNvPr id="170" name="テキスト ボックス 1"/>
        <cdr:cNvSpPr txBox="1"/>
      </cdr:nvSpPr>
      <cdr:spPr>
        <a:xfrm xmlns:a="http://schemas.openxmlformats.org/drawingml/2006/main">
          <a:off x="3910852" y="224116"/>
          <a:ext cx="3048000" cy="324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71"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72"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74"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75"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76"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77"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78"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79"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80"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81"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82"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83"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84"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85"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86"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87"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88"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89"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90"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91"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92"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93"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94"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0.17772</cdr:x>
      <cdr:y>0.04531</cdr:y>
    </cdr:from>
    <cdr:to>
      <cdr:x>0.44388</cdr:x>
      <cdr:y>0.13594</cdr:y>
    </cdr:to>
    <cdr:sp macro="" textlink="">
      <cdr:nvSpPr>
        <cdr:cNvPr id="195" name="テキスト ボックス 3"/>
        <cdr:cNvSpPr txBox="1"/>
      </cdr:nvSpPr>
      <cdr:spPr>
        <a:xfrm xmlns:a="http://schemas.openxmlformats.org/drawingml/2006/main">
          <a:off x="2342028" y="156881"/>
          <a:ext cx="3507442" cy="3137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sz="1100"/>
        </a:p>
      </cdr:txBody>
    </cdr:sp>
  </cdr:relSizeAnchor>
</c:userShapes>
</file>

<file path=xl/drawings/drawing3.xml><?xml version="1.0" encoding="utf-8"?>
<xdr:wsDr xmlns:xdr="http://schemas.openxmlformats.org/drawingml/2006/spreadsheetDrawing" xmlns:a="http://schemas.openxmlformats.org/drawingml/2006/main">
  <xdr:twoCellAnchor>
    <xdr:from>
      <xdr:col>33</xdr:col>
      <xdr:colOff>132789</xdr:colOff>
      <xdr:row>166</xdr:row>
      <xdr:rowOff>89648</xdr:rowOff>
    </xdr:from>
    <xdr:to>
      <xdr:col>45</xdr:col>
      <xdr:colOff>200025</xdr:colOff>
      <xdr:row>193</xdr:row>
      <xdr:rowOff>89647</xdr:rowOff>
    </xdr:to>
    <xdr:graphicFrame macro="">
      <xdr:nvGraphicFramePr>
        <xdr:cNvPr id="2"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58</xdr:col>
      <xdr:colOff>85725</xdr:colOff>
      <xdr:row>2</xdr:row>
      <xdr:rowOff>526677</xdr:rowOff>
    </xdr:from>
    <xdr:to>
      <xdr:col>66</xdr:col>
      <xdr:colOff>212911</xdr:colOff>
      <xdr:row>21</xdr:row>
      <xdr:rowOff>67237</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62</xdr:col>
      <xdr:colOff>56030</xdr:colOff>
      <xdr:row>123</xdr:row>
      <xdr:rowOff>67236</xdr:rowOff>
    </xdr:from>
    <xdr:to>
      <xdr:col>69</xdr:col>
      <xdr:colOff>291352</xdr:colOff>
      <xdr:row>146</xdr:row>
      <xdr:rowOff>22410</xdr:rowOff>
    </xdr:to>
    <xdr:graphicFrame macro="">
      <xdr:nvGraphicFramePr>
        <xdr:cNvPr id="4"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9</xdr:col>
      <xdr:colOff>104775</xdr:colOff>
      <xdr:row>275</xdr:row>
      <xdr:rowOff>152400</xdr:rowOff>
    </xdr:from>
    <xdr:to>
      <xdr:col>10</xdr:col>
      <xdr:colOff>9525</xdr:colOff>
      <xdr:row>275</xdr:row>
      <xdr:rowOff>152400</xdr:rowOff>
    </xdr:to>
    <xdr:sp macro="" textlink="">
      <xdr:nvSpPr>
        <xdr:cNvPr id="2" name="Line 1"/>
        <xdr:cNvSpPr>
          <a:spLocks noChangeShapeType="1"/>
        </xdr:cNvSpPr>
      </xdr:nvSpPr>
      <xdr:spPr bwMode="auto">
        <a:xfrm>
          <a:off x="4391025" y="42062400"/>
          <a:ext cx="3143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104775</xdr:colOff>
      <xdr:row>275</xdr:row>
      <xdr:rowOff>152400</xdr:rowOff>
    </xdr:from>
    <xdr:to>
      <xdr:col>10</xdr:col>
      <xdr:colOff>9525</xdr:colOff>
      <xdr:row>275</xdr:row>
      <xdr:rowOff>152400</xdr:rowOff>
    </xdr:to>
    <xdr:sp macro="" textlink="">
      <xdr:nvSpPr>
        <xdr:cNvPr id="3" name="Line 1"/>
        <xdr:cNvSpPr>
          <a:spLocks noChangeShapeType="1"/>
        </xdr:cNvSpPr>
      </xdr:nvSpPr>
      <xdr:spPr bwMode="auto">
        <a:xfrm>
          <a:off x="4391025" y="42062400"/>
          <a:ext cx="3143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104775</xdr:colOff>
      <xdr:row>290</xdr:row>
      <xdr:rowOff>152400</xdr:rowOff>
    </xdr:from>
    <xdr:to>
      <xdr:col>10</xdr:col>
      <xdr:colOff>9525</xdr:colOff>
      <xdr:row>290</xdr:row>
      <xdr:rowOff>152400</xdr:rowOff>
    </xdr:to>
    <xdr:sp macro="" textlink="">
      <xdr:nvSpPr>
        <xdr:cNvPr id="4" name="Line 1"/>
        <xdr:cNvSpPr>
          <a:spLocks noChangeShapeType="1"/>
        </xdr:cNvSpPr>
      </xdr:nvSpPr>
      <xdr:spPr bwMode="auto">
        <a:xfrm>
          <a:off x="4391025" y="44348400"/>
          <a:ext cx="3143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104775</xdr:colOff>
      <xdr:row>290</xdr:row>
      <xdr:rowOff>152400</xdr:rowOff>
    </xdr:from>
    <xdr:to>
      <xdr:col>10</xdr:col>
      <xdr:colOff>9525</xdr:colOff>
      <xdr:row>290</xdr:row>
      <xdr:rowOff>152400</xdr:rowOff>
    </xdr:to>
    <xdr:sp macro="" textlink="">
      <xdr:nvSpPr>
        <xdr:cNvPr id="5" name="Line 1"/>
        <xdr:cNvSpPr>
          <a:spLocks noChangeShapeType="1"/>
        </xdr:cNvSpPr>
      </xdr:nvSpPr>
      <xdr:spPr bwMode="auto">
        <a:xfrm>
          <a:off x="4391025" y="44348400"/>
          <a:ext cx="3143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104775</xdr:colOff>
      <xdr:row>299</xdr:row>
      <xdr:rowOff>152400</xdr:rowOff>
    </xdr:from>
    <xdr:to>
      <xdr:col>10</xdr:col>
      <xdr:colOff>9525</xdr:colOff>
      <xdr:row>299</xdr:row>
      <xdr:rowOff>152400</xdr:rowOff>
    </xdr:to>
    <xdr:sp macro="" textlink="">
      <xdr:nvSpPr>
        <xdr:cNvPr id="6" name="Line 1"/>
        <xdr:cNvSpPr>
          <a:spLocks noChangeShapeType="1"/>
        </xdr:cNvSpPr>
      </xdr:nvSpPr>
      <xdr:spPr bwMode="auto">
        <a:xfrm>
          <a:off x="4391025" y="45720000"/>
          <a:ext cx="3143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104775</xdr:colOff>
      <xdr:row>299</xdr:row>
      <xdr:rowOff>152400</xdr:rowOff>
    </xdr:from>
    <xdr:to>
      <xdr:col>10</xdr:col>
      <xdr:colOff>9525</xdr:colOff>
      <xdr:row>299</xdr:row>
      <xdr:rowOff>152400</xdr:rowOff>
    </xdr:to>
    <xdr:sp macro="" textlink="">
      <xdr:nvSpPr>
        <xdr:cNvPr id="7" name="Line 1"/>
        <xdr:cNvSpPr>
          <a:spLocks noChangeShapeType="1"/>
        </xdr:cNvSpPr>
      </xdr:nvSpPr>
      <xdr:spPr bwMode="auto">
        <a:xfrm>
          <a:off x="4391025" y="45720000"/>
          <a:ext cx="3143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drawings/drawing5.xml><?xml version="1.0" encoding="utf-8"?>
<xdr:wsDr xmlns:xdr="http://schemas.openxmlformats.org/drawingml/2006/spreadsheetDrawing" xmlns:a="http://schemas.openxmlformats.org/drawingml/2006/main">
  <xdr:twoCellAnchor>
    <xdr:from>
      <xdr:col>29</xdr:col>
      <xdr:colOff>113242</xdr:colOff>
      <xdr:row>58</xdr:row>
      <xdr:rowOff>78316</xdr:rowOff>
    </xdr:from>
    <xdr:to>
      <xdr:col>39</xdr:col>
      <xdr:colOff>349250</xdr:colOff>
      <xdr:row>89</xdr:row>
      <xdr:rowOff>10583</xdr:rowOff>
    </xdr:to>
    <xdr:graphicFrame macro="">
      <xdr:nvGraphicFramePr>
        <xdr:cNvPr id="2" name="グラフ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29</xdr:col>
      <xdr:colOff>124884</xdr:colOff>
      <xdr:row>1</xdr:row>
      <xdr:rowOff>89957</xdr:rowOff>
    </xdr:from>
    <xdr:to>
      <xdr:col>39</xdr:col>
      <xdr:colOff>254000</xdr:colOff>
      <xdr:row>28</xdr:row>
      <xdr:rowOff>51857</xdr:rowOff>
    </xdr:to>
    <xdr:graphicFrame macro="">
      <xdr:nvGraphicFramePr>
        <xdr:cNvPr id="3" name="グラフ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29</xdr:col>
      <xdr:colOff>113241</xdr:colOff>
      <xdr:row>29</xdr:row>
      <xdr:rowOff>35983</xdr:rowOff>
    </xdr:from>
    <xdr:to>
      <xdr:col>39</xdr:col>
      <xdr:colOff>275166</xdr:colOff>
      <xdr:row>56</xdr:row>
      <xdr:rowOff>84666</xdr:rowOff>
    </xdr:to>
    <xdr:graphicFrame macro="">
      <xdr:nvGraphicFramePr>
        <xdr:cNvPr id="4" name="グラフ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1</xdr:col>
      <xdr:colOff>170393</xdr:colOff>
      <xdr:row>3</xdr:row>
      <xdr:rowOff>25401</xdr:rowOff>
    </xdr:from>
    <xdr:to>
      <xdr:col>11</xdr:col>
      <xdr:colOff>165100</xdr:colOff>
      <xdr:row>26</xdr:row>
      <xdr:rowOff>1</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11</xdr:col>
      <xdr:colOff>170392</xdr:colOff>
      <xdr:row>3</xdr:row>
      <xdr:rowOff>38101</xdr:rowOff>
    </xdr:from>
    <xdr:to>
      <xdr:col>22</xdr:col>
      <xdr:colOff>203200</xdr:colOff>
      <xdr:row>26</xdr:row>
      <xdr:rowOff>25400</xdr:rowOff>
    </xdr:to>
    <xdr:graphicFrame macro="">
      <xdr:nvGraphicFramePr>
        <xdr:cNvPr id="4"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183093</xdr:colOff>
      <xdr:row>23</xdr:row>
      <xdr:rowOff>76200</xdr:rowOff>
    </xdr:from>
    <xdr:to>
      <xdr:col>12</xdr:col>
      <xdr:colOff>114301</xdr:colOff>
      <xdr:row>44</xdr:row>
      <xdr:rowOff>127001</xdr:rowOff>
    </xdr:to>
    <xdr:graphicFrame macro="">
      <xdr:nvGraphicFramePr>
        <xdr:cNvPr id="5"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12</xdr:col>
      <xdr:colOff>119592</xdr:colOff>
      <xdr:row>23</xdr:row>
      <xdr:rowOff>88901</xdr:rowOff>
    </xdr:from>
    <xdr:to>
      <xdr:col>23</xdr:col>
      <xdr:colOff>114300</xdr:colOff>
      <xdr:row>44</xdr:row>
      <xdr:rowOff>101601</xdr:rowOff>
    </xdr:to>
    <xdr:graphicFrame macro="">
      <xdr:nvGraphicFramePr>
        <xdr:cNvPr id="6"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5</xdr:col>
      <xdr:colOff>304800</xdr:colOff>
      <xdr:row>70</xdr:row>
      <xdr:rowOff>50800</xdr:rowOff>
    </xdr:from>
    <xdr:to>
      <xdr:col>23</xdr:col>
      <xdr:colOff>165100</xdr:colOff>
      <xdr:row>96</xdr:row>
      <xdr:rowOff>25400</xdr:rowOff>
    </xdr:to>
    <xdr:graphicFrame macro="">
      <xdr:nvGraphicFramePr>
        <xdr:cNvPr id="8" name="グラフ 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theme/themeOverride1.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10.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11.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12.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13.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14.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15.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3.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4.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5.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6.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7.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8.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9.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www.kurogyou.jp/kankyou/kanri/index.html" TargetMode="External"/><Relationship Id="rId1" Type="http://schemas.openxmlformats.org/officeDocument/2006/relationships/hyperlink" Target="http://www.kurogyou.jp/kankyou/kanri/index.html" TargetMode="External"/><Relationship Id="rId4"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kurogyou.jp/kankyou/kanri/index.html" TargetMode="External"/><Relationship Id="rId1" Type="http://schemas.openxmlformats.org/officeDocument/2006/relationships/hyperlink" Target="http://www.kurogyou.jp/kankyou/kanri/index.html" TargetMode="External"/><Relationship Id="rId4" Type="http://schemas.openxmlformats.org/officeDocument/2006/relationships/drawing" Target="../drawings/drawing3.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H1270"/>
  <sheetViews>
    <sheetView tabSelected="1" zoomScale="75" zoomScaleNormal="75" workbookViewId="0">
      <selection activeCell="AW54" sqref="AW54"/>
    </sheetView>
  </sheetViews>
  <sheetFormatPr defaultColWidth="4.875" defaultRowHeight="12" customHeight="1" x14ac:dyDescent="0.15"/>
  <cols>
    <col min="1" max="1" width="1" style="31" customWidth="1"/>
    <col min="2" max="2" width="6.25" style="32" customWidth="1"/>
    <col min="3" max="4" width="4.375" style="8" customWidth="1"/>
    <col min="5" max="5" width="5.125" style="8" customWidth="1"/>
    <col min="6" max="6" width="6.25" style="32" customWidth="1"/>
    <col min="7" max="10" width="4.375" style="8" customWidth="1"/>
    <col min="11" max="11" width="5.125" style="8" customWidth="1"/>
    <col min="12" max="15" width="4.375" style="8" customWidth="1"/>
    <col min="16" max="16" width="5.125" style="8" customWidth="1"/>
    <col min="17" max="17" width="5.875" style="8" customWidth="1"/>
    <col min="18" max="18" width="5.375" style="8" customWidth="1"/>
    <col min="19" max="19" width="4.5" style="8" customWidth="1"/>
    <col min="20" max="20" width="5" style="32" customWidth="1"/>
    <col min="21" max="23" width="5" style="8" customWidth="1"/>
    <col min="24" max="24" width="5" style="32" customWidth="1"/>
    <col min="25" max="31" width="5" style="8" customWidth="1"/>
    <col min="32" max="33" width="4.625" style="74" customWidth="1"/>
    <col min="34" max="36" width="4.625" style="43" customWidth="1"/>
    <col min="37" max="37" width="4.625" style="74" customWidth="1"/>
    <col min="38" max="38" width="2.75" style="74" customWidth="1"/>
    <col min="39" max="41" width="4.375" style="8" customWidth="1"/>
    <col min="42" max="42" width="2" style="8" customWidth="1"/>
    <col min="43" max="43" width="4.625" style="8" customWidth="1"/>
    <col min="44" max="52" width="4.375" style="8" customWidth="1"/>
    <col min="53" max="16384" width="4.875" style="8"/>
  </cols>
  <sheetData>
    <row r="1" spans="1:38" ht="6.75" customHeight="1" x14ac:dyDescent="0.15">
      <c r="AH1" s="74"/>
      <c r="AI1" s="74"/>
      <c r="AJ1" s="74"/>
    </row>
    <row r="2" spans="1:38" ht="15.75" customHeight="1" x14ac:dyDescent="0.2">
      <c r="B2" s="96" t="s">
        <v>89</v>
      </c>
      <c r="Q2" s="492" t="s">
        <v>208</v>
      </c>
      <c r="R2" s="233"/>
      <c r="S2" s="233"/>
      <c r="T2" s="233"/>
      <c r="U2" s="233"/>
      <c r="W2"/>
      <c r="Y2" s="104" t="s">
        <v>209</v>
      </c>
      <c r="Z2" s="104"/>
      <c r="AA2" s="104"/>
      <c r="AB2" s="104"/>
      <c r="AF2" s="75"/>
      <c r="AG2" s="72"/>
      <c r="AK2" s="43"/>
    </row>
    <row r="3" spans="1:38" ht="9.9499999999999993" customHeight="1" x14ac:dyDescent="0.2">
      <c r="A3" s="8"/>
      <c r="K3" s="28"/>
      <c r="P3" s="24"/>
      <c r="R3" s="8" t="s">
        <v>119</v>
      </c>
      <c r="T3" s="8"/>
      <c r="X3" s="8"/>
      <c r="AF3" s="75"/>
      <c r="AG3" s="72"/>
      <c r="AK3" s="43"/>
    </row>
    <row r="4" spans="1:38" ht="12" customHeight="1" x14ac:dyDescent="0.2">
      <c r="A4" s="8"/>
      <c r="K4" s="28"/>
      <c r="P4" s="24"/>
      <c r="T4" s="72"/>
      <c r="U4" s="72"/>
      <c r="V4" s="72"/>
      <c r="W4" s="32"/>
    </row>
    <row r="5" spans="1:38" ht="11.25" customHeight="1" x14ac:dyDescent="0.15">
      <c r="A5" s="8"/>
      <c r="K5" s="28"/>
      <c r="P5" s="24"/>
    </row>
    <row r="6" spans="1:38" ht="9.9499999999999993" customHeight="1" x14ac:dyDescent="0.15">
      <c r="A6" s="8"/>
      <c r="K6" s="28"/>
      <c r="P6" s="24"/>
      <c r="R6" s="114" t="s">
        <v>118</v>
      </c>
      <c r="T6" s="8"/>
      <c r="W6" s="91" t="s">
        <v>142</v>
      </c>
      <c r="Z6" s="91" t="s">
        <v>127</v>
      </c>
      <c r="AF6" s="8"/>
      <c r="AG6" s="8"/>
      <c r="AH6" s="8"/>
      <c r="AI6" s="8"/>
      <c r="AJ6" s="8"/>
      <c r="AK6" s="8"/>
      <c r="AL6" s="8"/>
    </row>
    <row r="7" spans="1:38" ht="9.9499999999999993" customHeight="1" x14ac:dyDescent="0.15">
      <c r="A7" s="8"/>
      <c r="K7" s="28"/>
      <c r="P7" s="24"/>
      <c r="R7" s="57" t="s">
        <v>122</v>
      </c>
      <c r="S7" s="58" t="s">
        <v>117</v>
      </c>
      <c r="T7" s="8"/>
      <c r="U7" s="32"/>
      <c r="W7" s="29" t="s">
        <v>123</v>
      </c>
      <c r="X7" s="26" t="s">
        <v>120</v>
      </c>
      <c r="Z7" s="69" t="s">
        <v>128</v>
      </c>
      <c r="AA7" s="87"/>
      <c r="AB7" s="108">
        <v>8.2899999999999991</v>
      </c>
      <c r="AC7" s="27"/>
      <c r="AF7" s="8"/>
      <c r="AG7" s="8"/>
      <c r="AH7" s="8"/>
      <c r="AI7" s="8"/>
      <c r="AJ7" s="8"/>
      <c r="AK7" s="8"/>
      <c r="AL7" s="8"/>
    </row>
    <row r="8" spans="1:38" ht="9.9499999999999993" customHeight="1" x14ac:dyDescent="0.15">
      <c r="A8" s="8"/>
      <c r="K8" s="28"/>
      <c r="P8" s="24"/>
      <c r="R8" s="57">
        <v>4</v>
      </c>
      <c r="S8" s="468">
        <v>7.9322176308980252E-2</v>
      </c>
      <c r="T8" s="8"/>
      <c r="U8" s="32"/>
      <c r="W8" s="40">
        <v>2011</v>
      </c>
      <c r="X8" s="501">
        <v>12463</v>
      </c>
      <c r="Z8" s="69" t="s">
        <v>129</v>
      </c>
      <c r="AA8" s="87"/>
      <c r="AB8" s="108">
        <v>3.46</v>
      </c>
      <c r="AC8" s="27"/>
      <c r="AF8" s="8"/>
      <c r="AG8" s="8"/>
      <c r="AH8" s="8"/>
      <c r="AI8" s="8"/>
      <c r="AJ8" s="8"/>
      <c r="AK8" s="8"/>
      <c r="AL8" s="8"/>
    </row>
    <row r="9" spans="1:38" ht="9.9499999999999993" customHeight="1" x14ac:dyDescent="0.15">
      <c r="A9" s="8"/>
      <c r="P9" s="24"/>
      <c r="R9" s="57">
        <v>5</v>
      </c>
      <c r="S9" s="468">
        <v>8.9128643618102618E-2</v>
      </c>
      <c r="T9" s="8"/>
      <c r="U9" s="32"/>
      <c r="W9" s="40">
        <v>2012</v>
      </c>
      <c r="X9" s="501">
        <v>12956</v>
      </c>
      <c r="Z9" s="69" t="s">
        <v>130</v>
      </c>
      <c r="AA9" s="87"/>
      <c r="AB9" s="108">
        <v>3.1</v>
      </c>
      <c r="AC9" s="27"/>
      <c r="AF9" s="8"/>
      <c r="AG9" s="8"/>
      <c r="AH9" s="8"/>
      <c r="AI9" s="8"/>
      <c r="AJ9" s="8"/>
      <c r="AK9" s="8"/>
      <c r="AL9" s="8"/>
    </row>
    <row r="10" spans="1:38" ht="9.9499999999999993" customHeight="1" x14ac:dyDescent="0.15">
      <c r="A10" s="8"/>
      <c r="P10" s="24"/>
      <c r="R10" s="57">
        <v>6</v>
      </c>
      <c r="S10" s="468">
        <v>8.7466418700092655E-2</v>
      </c>
      <c r="T10" s="8"/>
      <c r="U10" s="32"/>
      <c r="W10" s="40">
        <v>2013</v>
      </c>
      <c r="X10" s="501">
        <v>12868</v>
      </c>
      <c r="Z10" s="69" t="s">
        <v>131</v>
      </c>
      <c r="AA10" s="87"/>
      <c r="AB10" s="108">
        <v>3.99</v>
      </c>
      <c r="AC10" s="27"/>
      <c r="AF10" s="8"/>
      <c r="AG10" s="8"/>
      <c r="AH10" s="8"/>
      <c r="AI10" s="8"/>
      <c r="AJ10" s="8"/>
      <c r="AK10" s="8"/>
      <c r="AL10" s="8"/>
    </row>
    <row r="11" spans="1:38" ht="9.9499999999999993" customHeight="1" x14ac:dyDescent="0.15">
      <c r="A11" s="8"/>
      <c r="P11" s="24"/>
      <c r="R11" s="57">
        <v>7</v>
      </c>
      <c r="S11" s="468">
        <v>9.3057188641443564E-2</v>
      </c>
      <c r="T11" s="8"/>
      <c r="U11" s="32"/>
      <c r="W11" s="40">
        <v>2014</v>
      </c>
      <c r="X11" s="501">
        <v>13563</v>
      </c>
      <c r="Z11" s="69" t="s">
        <v>132</v>
      </c>
      <c r="AA11" s="87"/>
      <c r="AB11" s="108">
        <v>6.57</v>
      </c>
      <c r="AC11" s="27"/>
      <c r="AF11" s="8"/>
      <c r="AG11" s="8"/>
      <c r="AH11" s="8"/>
      <c r="AI11" s="8"/>
      <c r="AJ11" s="8"/>
    </row>
    <row r="12" spans="1:38" ht="9.9499999999999993" customHeight="1" x14ac:dyDescent="0.15">
      <c r="A12" s="8"/>
      <c r="J12" s="26"/>
      <c r="K12" s="26"/>
      <c r="P12" s="24"/>
      <c r="R12" s="57">
        <v>8</v>
      </c>
      <c r="S12" s="468">
        <v>9.4364251114423536E-2</v>
      </c>
      <c r="T12" s="8"/>
      <c r="U12" s="32"/>
      <c r="W12" s="40">
        <v>2015</v>
      </c>
      <c r="X12" s="501">
        <v>13695</v>
      </c>
      <c r="Z12" s="69" t="s">
        <v>133</v>
      </c>
      <c r="AA12" s="87"/>
      <c r="AB12" s="108">
        <v>11.272254775308786</v>
      </c>
      <c r="AC12" s="27"/>
      <c r="AE12" s="8" t="s">
        <v>206</v>
      </c>
      <c r="AJ12" s="8"/>
    </row>
    <row r="13" spans="1:38" ht="9.9499999999999993" customHeight="1" x14ac:dyDescent="0.15">
      <c r="A13" s="8"/>
      <c r="J13" s="26"/>
      <c r="K13" s="26"/>
      <c r="P13" s="24"/>
      <c r="R13" s="57">
        <v>9</v>
      </c>
      <c r="S13" s="468">
        <v>8.7498753172037952E-2</v>
      </c>
      <c r="T13" s="8"/>
      <c r="U13" s="32"/>
      <c r="W13" s="40">
        <v>2016</v>
      </c>
      <c r="X13" s="501">
        <v>13314</v>
      </c>
      <c r="Z13" s="70" t="s">
        <v>121</v>
      </c>
      <c r="AA13" s="111"/>
      <c r="AB13" s="109">
        <f>AVERAGE(AB7:AB12)</f>
        <v>6.1137091292181305</v>
      </c>
      <c r="AC13" s="27"/>
      <c r="AE13" s="8" t="s">
        <v>145</v>
      </c>
      <c r="AJ13" s="8"/>
    </row>
    <row r="14" spans="1:38" ht="9.9499999999999993" customHeight="1" x14ac:dyDescent="0.15">
      <c r="A14" s="8"/>
      <c r="J14" s="26"/>
      <c r="K14" s="26"/>
      <c r="P14" s="24"/>
      <c r="R14" s="57">
        <v>10</v>
      </c>
      <c r="S14" s="468">
        <v>9.00306780289966E-2</v>
      </c>
      <c r="T14" s="8"/>
      <c r="U14" s="32"/>
      <c r="W14" s="40">
        <v>2017</v>
      </c>
      <c r="X14" s="501">
        <v>13196</v>
      </c>
      <c r="AC14" s="27"/>
      <c r="AE14" s="8" t="s">
        <v>146</v>
      </c>
    </row>
    <row r="15" spans="1:38" ht="9.9499999999999993" customHeight="1" x14ac:dyDescent="0.15">
      <c r="A15" s="8"/>
      <c r="J15" s="26"/>
      <c r="K15" s="26"/>
      <c r="M15" s="24"/>
      <c r="N15" s="24"/>
      <c r="O15" s="24"/>
      <c r="P15" s="24"/>
      <c r="R15" s="57">
        <v>11</v>
      </c>
      <c r="S15" s="468">
        <v>8.1438010045640843E-2</v>
      </c>
      <c r="T15" s="8"/>
      <c r="U15" s="32"/>
      <c r="W15" s="40">
        <v>2018</v>
      </c>
      <c r="X15" s="502">
        <f>-67.2*8^2+671.4*8+11810</f>
        <v>12880.4</v>
      </c>
      <c r="AE15" s="8" t="s">
        <v>832</v>
      </c>
    </row>
    <row r="16" spans="1:38" ht="9.9499999999999993" customHeight="1" x14ac:dyDescent="0.15">
      <c r="A16" s="8"/>
      <c r="J16" s="26"/>
      <c r="K16" s="26"/>
      <c r="M16" s="24"/>
      <c r="N16" s="24"/>
      <c r="O16" s="24"/>
      <c r="P16" s="24"/>
      <c r="R16" s="57">
        <v>12</v>
      </c>
      <c r="S16" s="468">
        <v>8.1735217189744303E-2</v>
      </c>
      <c r="T16" s="8"/>
      <c r="U16" s="32"/>
      <c r="Z16" s="91" t="s">
        <v>141</v>
      </c>
      <c r="AF16" s="115" t="s">
        <v>143</v>
      </c>
    </row>
    <row r="17" spans="1:60" ht="9.9499999999999993" customHeight="1" x14ac:dyDescent="0.15">
      <c r="A17" s="8"/>
      <c r="J17" s="26"/>
      <c r="K17" s="26"/>
      <c r="M17" s="24"/>
      <c r="N17" s="24"/>
      <c r="O17" s="24"/>
      <c r="P17" s="24"/>
      <c r="R17" s="57">
        <v>1</v>
      </c>
      <c r="S17" s="468">
        <v>7.4890020694885998E-2</v>
      </c>
      <c r="T17" s="8"/>
      <c r="U17" s="32"/>
      <c r="Y17" s="110"/>
      <c r="Z17" s="29">
        <v>0.05</v>
      </c>
      <c r="AA17" s="69" t="s">
        <v>124</v>
      </c>
      <c r="AF17" s="115" t="s">
        <v>144</v>
      </c>
    </row>
    <row r="18" spans="1:60" ht="9.9499999999999993" customHeight="1" x14ac:dyDescent="0.15">
      <c r="A18" s="8"/>
      <c r="J18" s="26"/>
      <c r="K18" s="26"/>
      <c r="M18" s="24"/>
      <c r="N18" s="24"/>
      <c r="O18" s="24"/>
      <c r="P18" s="24"/>
      <c r="R18" s="57">
        <v>2</v>
      </c>
      <c r="S18" s="468">
        <v>6.4081858761377689E-2</v>
      </c>
      <c r="T18" s="8"/>
      <c r="U18" s="32"/>
      <c r="Y18" s="110"/>
      <c r="Z18" s="29">
        <v>0.13</v>
      </c>
      <c r="AA18" s="69" t="s">
        <v>125</v>
      </c>
      <c r="AE18" s="74" t="s">
        <v>833</v>
      </c>
    </row>
    <row r="19" spans="1:60" ht="9.9499999999999993" customHeight="1" x14ac:dyDescent="0.15">
      <c r="A19" s="8"/>
      <c r="J19" s="26"/>
      <c r="K19" s="26"/>
      <c r="M19" s="24"/>
      <c r="N19" s="24"/>
      <c r="O19" s="24"/>
      <c r="P19" s="24"/>
      <c r="R19" s="57">
        <v>3</v>
      </c>
      <c r="S19" s="468">
        <v>7.7688555125821387E-2</v>
      </c>
      <c r="T19" s="8"/>
      <c r="U19" s="32"/>
    </row>
    <row r="20" spans="1:60" ht="9.9499999999999993" customHeight="1" x14ac:dyDescent="0.15">
      <c r="A20" s="8"/>
      <c r="J20" s="26"/>
      <c r="K20" s="26"/>
      <c r="M20" s="24"/>
      <c r="N20" s="24"/>
      <c r="O20" s="24"/>
      <c r="P20" s="24"/>
      <c r="R20" s="557" t="s">
        <v>134</v>
      </c>
      <c r="S20" s="558"/>
      <c r="T20" s="558"/>
      <c r="U20" s="32"/>
    </row>
    <row r="21" spans="1:60" ht="9.9499999999999993" customHeight="1" x14ac:dyDescent="0.15">
      <c r="A21" s="8"/>
      <c r="J21" s="26"/>
      <c r="K21" s="26"/>
      <c r="M21" s="24"/>
      <c r="N21" s="24"/>
      <c r="O21" s="24"/>
      <c r="P21" s="24"/>
      <c r="R21" s="558"/>
      <c r="S21" s="558"/>
      <c r="T21" s="558"/>
      <c r="W21" s="32"/>
      <c r="X21" s="8"/>
      <c r="Y21" s="513" t="s">
        <v>136</v>
      </c>
      <c r="Z21" s="513" t="s">
        <v>139</v>
      </c>
      <c r="AA21" s="513" t="s">
        <v>137</v>
      </c>
      <c r="AB21" s="513" t="s">
        <v>140</v>
      </c>
      <c r="AC21" s="513" t="s">
        <v>137</v>
      </c>
      <c r="AE21" s="74"/>
      <c r="AG21" s="43"/>
      <c r="AM21" s="513" t="s">
        <v>829</v>
      </c>
      <c r="AN21" s="513" t="s">
        <v>830</v>
      </c>
      <c r="AO21" s="513" t="s">
        <v>831</v>
      </c>
      <c r="AQ21" s="513" t="s">
        <v>84</v>
      </c>
      <c r="AS21" s="513" t="s">
        <v>840</v>
      </c>
      <c r="BG21" s="43"/>
      <c r="BH21" s="74"/>
    </row>
    <row r="22" spans="1:60" ht="9.9499999999999993" customHeight="1" x14ac:dyDescent="0.15">
      <c r="A22" s="8"/>
      <c r="J22" s="26"/>
      <c r="K22" s="26"/>
      <c r="M22" s="24"/>
      <c r="N22" s="24"/>
      <c r="O22" s="24"/>
      <c r="P22" s="24"/>
      <c r="R22" s="558"/>
      <c r="S22" s="558"/>
      <c r="T22" s="558"/>
      <c r="W22" s="32"/>
      <c r="X22" s="8"/>
      <c r="Y22" s="514"/>
      <c r="Z22" s="514"/>
      <c r="AA22" s="514"/>
      <c r="AB22" s="514"/>
      <c r="AC22" s="514"/>
      <c r="AE22" s="74"/>
      <c r="AG22" s="43"/>
      <c r="AM22" s="514"/>
      <c r="AN22" s="514"/>
      <c r="AO22" s="555"/>
      <c r="AQ22" s="514"/>
      <c r="AS22" s="514"/>
      <c r="BG22" s="43"/>
      <c r="BH22" s="74"/>
    </row>
    <row r="23" spans="1:60" ht="9.9499999999999993" customHeight="1" x14ac:dyDescent="0.15">
      <c r="A23" s="8"/>
      <c r="J23" s="26"/>
      <c r="K23" s="26"/>
      <c r="M23" s="24"/>
      <c r="N23" s="24"/>
      <c r="O23" s="24"/>
      <c r="P23" s="24"/>
      <c r="R23" s="558"/>
      <c r="S23" s="558"/>
      <c r="T23" s="558"/>
      <c r="W23" s="32"/>
      <c r="X23" s="8"/>
      <c r="Y23" s="514"/>
      <c r="Z23" s="514"/>
      <c r="AA23" s="514"/>
      <c r="AB23" s="514"/>
      <c r="AC23" s="514"/>
      <c r="AE23" s="74"/>
      <c r="AG23" s="43"/>
      <c r="AM23" s="514"/>
      <c r="AN23" s="514"/>
      <c r="AO23" s="555"/>
      <c r="AQ23" s="514"/>
      <c r="AS23" s="514"/>
      <c r="BG23" s="43"/>
      <c r="BH23" s="74"/>
    </row>
    <row r="24" spans="1:60" ht="9.9499999999999993" customHeight="1" x14ac:dyDescent="0.2">
      <c r="A24" s="8"/>
      <c r="J24" s="26"/>
      <c r="K24" s="26"/>
      <c r="M24" s="24"/>
      <c r="N24" s="24"/>
      <c r="O24" s="24"/>
      <c r="P24" s="24"/>
      <c r="S24" s="559" t="s">
        <v>207</v>
      </c>
      <c r="T24" s="560"/>
      <c r="V24" s="508" t="s">
        <v>135</v>
      </c>
      <c r="W24" s="509"/>
      <c r="X24" s="8"/>
      <c r="Y24" s="514"/>
      <c r="Z24" s="514"/>
      <c r="AA24" s="514"/>
      <c r="AB24" s="514"/>
      <c r="AC24" s="514"/>
      <c r="AE24" s="71">
        <v>89.3</v>
      </c>
      <c r="AF24" s="72" t="s">
        <v>67</v>
      </c>
      <c r="AL24" s="8"/>
      <c r="AM24" s="514"/>
      <c r="AN24" s="514"/>
      <c r="AO24" s="555"/>
      <c r="AQ24" s="514"/>
      <c r="AS24" s="514"/>
    </row>
    <row r="25" spans="1:60" ht="9.9499999999999993" customHeight="1" x14ac:dyDescent="0.15">
      <c r="A25" s="8"/>
      <c r="J25" s="26"/>
      <c r="K25" s="26"/>
      <c r="M25" s="24"/>
      <c r="N25" s="24"/>
      <c r="O25" s="24"/>
      <c r="P25" s="24"/>
      <c r="S25" s="561"/>
      <c r="T25" s="560"/>
      <c r="V25" s="510"/>
      <c r="W25" s="509"/>
      <c r="X25" s="8"/>
      <c r="Y25" s="514"/>
      <c r="Z25" s="514"/>
      <c r="AA25" s="514"/>
      <c r="AB25" s="514"/>
      <c r="AC25" s="514"/>
      <c r="AE25" s="113"/>
      <c r="AF25" s="8"/>
      <c r="AG25" s="112"/>
      <c r="AH25" s="8"/>
      <c r="AL25" s="8"/>
      <c r="AM25" s="514"/>
      <c r="AN25" s="514"/>
      <c r="AO25" s="555"/>
      <c r="AQ25" s="514"/>
      <c r="AS25" s="514"/>
    </row>
    <row r="26" spans="1:60" ht="9.9499999999999993" customHeight="1" x14ac:dyDescent="0.15">
      <c r="A26" s="8"/>
      <c r="J26" s="26"/>
      <c r="K26" s="26"/>
      <c r="M26" s="24"/>
      <c r="N26" s="24"/>
      <c r="O26" s="24"/>
      <c r="P26" s="24"/>
      <c r="S26" s="561"/>
      <c r="T26" s="560"/>
      <c r="V26" s="510"/>
      <c r="W26" s="509"/>
      <c r="X26" s="8"/>
      <c r="Y26" s="514"/>
      <c r="Z26" s="514"/>
      <c r="AA26" s="514"/>
      <c r="AB26" s="514"/>
      <c r="AC26" s="514"/>
      <c r="AE26" s="113"/>
      <c r="AF26" s="8"/>
      <c r="AG26" s="112"/>
      <c r="AH26" s="8"/>
      <c r="AL26" s="8"/>
      <c r="AM26" s="514"/>
      <c r="AN26" s="514"/>
      <c r="AO26" s="555"/>
      <c r="AQ26" s="514"/>
      <c r="AS26" s="514"/>
    </row>
    <row r="27" spans="1:60" ht="9.9499999999999993" customHeight="1" x14ac:dyDescent="0.15">
      <c r="A27" s="8"/>
      <c r="J27" s="26"/>
      <c r="K27" s="26"/>
      <c r="M27" s="24"/>
      <c r="N27" s="24"/>
      <c r="O27" s="24"/>
      <c r="P27" s="24"/>
      <c r="S27" s="561"/>
      <c r="T27" s="560"/>
      <c r="V27" s="510"/>
      <c r="W27" s="509"/>
      <c r="X27" s="8"/>
      <c r="Y27" s="514"/>
      <c r="Z27" s="514"/>
      <c r="AA27" s="514"/>
      <c r="AB27" s="514"/>
      <c r="AC27" s="514"/>
      <c r="AE27" s="74"/>
      <c r="AF27" s="82"/>
      <c r="AG27" s="83"/>
      <c r="AH27" s="83"/>
      <c r="AL27" s="84"/>
      <c r="AM27" s="514"/>
      <c r="AN27" s="514"/>
      <c r="AO27" s="555"/>
      <c r="AQ27" s="514"/>
      <c r="AS27" s="514"/>
      <c r="BG27" s="83"/>
      <c r="BH27" s="83"/>
    </row>
    <row r="28" spans="1:60" ht="12" customHeight="1" x14ac:dyDescent="0.15">
      <c r="S28" s="562"/>
      <c r="T28" s="563"/>
      <c r="V28" s="511"/>
      <c r="W28" s="512"/>
      <c r="X28" s="8"/>
      <c r="Y28" s="515"/>
      <c r="Z28" s="515"/>
      <c r="AA28" s="515"/>
      <c r="AB28" s="515"/>
      <c r="AC28" s="515"/>
      <c r="AD28" s="90"/>
      <c r="AE28" s="76">
        <f>8.021/365.25</f>
        <v>2.1960301163586587E-2</v>
      </c>
      <c r="AF28" s="76">
        <v>2.0619999999999998</v>
      </c>
      <c r="AG28" s="77">
        <v>30.07</v>
      </c>
      <c r="AH28" s="74" t="s">
        <v>69</v>
      </c>
      <c r="AL28" s="85"/>
      <c r="AM28" s="515"/>
      <c r="AN28" s="515"/>
      <c r="AO28" s="556"/>
      <c r="AQ28" s="515"/>
      <c r="AS28" s="515"/>
      <c r="BG28" s="85"/>
      <c r="BH28" s="85"/>
    </row>
    <row r="29" spans="1:60" ht="13.5" customHeight="1" x14ac:dyDescent="0.15">
      <c r="R29" s="37"/>
      <c r="S29" s="37" t="s">
        <v>828</v>
      </c>
      <c r="T29" s="38"/>
      <c r="U29" s="38"/>
      <c r="V29" s="38"/>
      <c r="W29" s="38"/>
      <c r="X29" s="477"/>
      <c r="Y29" s="540" t="s">
        <v>80</v>
      </c>
      <c r="Z29" s="516" t="s">
        <v>126</v>
      </c>
      <c r="AA29" s="532" t="s">
        <v>77</v>
      </c>
      <c r="AB29" s="532" t="s">
        <v>138</v>
      </c>
      <c r="AC29" s="532" t="s">
        <v>78</v>
      </c>
      <c r="AD29" s="535" t="s">
        <v>845</v>
      </c>
      <c r="AE29" s="530" t="s">
        <v>70</v>
      </c>
      <c r="AF29" s="528" t="s">
        <v>71</v>
      </c>
      <c r="AG29" s="528" t="s">
        <v>72</v>
      </c>
      <c r="AH29" s="538" t="s">
        <v>73</v>
      </c>
      <c r="AI29" s="538" t="s">
        <v>74</v>
      </c>
      <c r="AJ29" s="528" t="s">
        <v>75</v>
      </c>
      <c r="AK29" s="528" t="s">
        <v>76</v>
      </c>
      <c r="AM29" s="29"/>
      <c r="AN29" s="29"/>
      <c r="AO29" s="29"/>
      <c r="AQ29" s="521" t="s">
        <v>843</v>
      </c>
      <c r="AS29" s="521" t="s">
        <v>844</v>
      </c>
    </row>
    <row r="30" spans="1:60" ht="13.5" customHeight="1" x14ac:dyDescent="0.15">
      <c r="R30" s="35"/>
      <c r="S30" s="29" t="s">
        <v>841</v>
      </c>
      <c r="T30" s="29"/>
      <c r="U30" s="478"/>
      <c r="V30" s="87" t="s">
        <v>842</v>
      </c>
      <c r="W30" s="29"/>
      <c r="X30" s="478"/>
      <c r="Y30" s="541"/>
      <c r="Z30" s="517"/>
      <c r="AA30" s="533"/>
      <c r="AB30" s="533"/>
      <c r="AC30" s="533"/>
      <c r="AD30" s="536"/>
      <c r="AE30" s="531"/>
      <c r="AF30" s="529"/>
      <c r="AG30" s="529"/>
      <c r="AH30" s="539"/>
      <c r="AI30" s="539"/>
      <c r="AJ30" s="529"/>
      <c r="AK30" s="529"/>
      <c r="AM30" s="29"/>
      <c r="AN30" s="29"/>
      <c r="AO30" s="29"/>
      <c r="AQ30" s="522"/>
      <c r="AS30" s="522"/>
    </row>
    <row r="31" spans="1:60" ht="27.75" customHeight="1" x14ac:dyDescent="0.15">
      <c r="R31" s="39" t="s">
        <v>68</v>
      </c>
      <c r="S31" s="36" t="s">
        <v>1</v>
      </c>
      <c r="T31" s="36" t="s">
        <v>2</v>
      </c>
      <c r="U31" s="507" t="s">
        <v>81</v>
      </c>
      <c r="V31" s="484" t="s">
        <v>1</v>
      </c>
      <c r="W31" s="36" t="s">
        <v>2</v>
      </c>
      <c r="X31" s="507" t="s">
        <v>81</v>
      </c>
      <c r="Y31" s="542"/>
      <c r="Z31" s="518"/>
      <c r="AA31" s="534"/>
      <c r="AB31" s="534"/>
      <c r="AC31" s="534"/>
      <c r="AD31" s="537"/>
      <c r="AE31" s="531"/>
      <c r="AF31" s="529"/>
      <c r="AG31" s="529"/>
      <c r="AH31" s="539"/>
      <c r="AI31" s="539"/>
      <c r="AJ31" s="529"/>
      <c r="AK31" s="529"/>
      <c r="AM31" s="29"/>
      <c r="AN31" s="29"/>
      <c r="AO31" s="29"/>
      <c r="AQ31" s="523"/>
      <c r="AS31" s="523"/>
    </row>
    <row r="32" spans="1:60" ht="12" customHeight="1" x14ac:dyDescent="0.15">
      <c r="R32" s="73">
        <v>40614</v>
      </c>
      <c r="S32" s="105"/>
      <c r="T32" s="105"/>
      <c r="U32" s="488"/>
      <c r="V32" s="485"/>
      <c r="W32" s="105"/>
      <c r="X32" s="479"/>
      <c r="Y32" s="482"/>
      <c r="Z32" s="475"/>
      <c r="AA32" s="81"/>
      <c r="AB32" s="81"/>
      <c r="AC32" s="81"/>
      <c r="AD32" s="88"/>
      <c r="AE32" s="78">
        <v>1</v>
      </c>
      <c r="AF32" s="79">
        <v>1</v>
      </c>
      <c r="AG32" s="79">
        <v>1</v>
      </c>
      <c r="AH32" s="79">
        <f>AF32+AG32</f>
        <v>2</v>
      </c>
      <c r="AI32" s="86">
        <v>1000</v>
      </c>
      <c r="AJ32" s="86">
        <v>5000</v>
      </c>
      <c r="AK32" s="86">
        <v>5000</v>
      </c>
      <c r="AM32" s="29"/>
      <c r="AN32" s="29"/>
      <c r="AO32" s="29"/>
      <c r="AQ32" s="29"/>
    </row>
    <row r="33" spans="1:45" ht="9.9499999999999993" customHeight="1" x14ac:dyDescent="0.15">
      <c r="A33" s="8"/>
      <c r="R33" s="73">
        <v>40847</v>
      </c>
      <c r="S33" s="66">
        <f t="shared" ref="S33:S37" si="0">U33*AM33/AO33</f>
        <v>715.41089468112671</v>
      </c>
      <c r="T33" s="66">
        <f t="shared" ref="T33:T37" si="1">U33*AN33/AO33</f>
        <v>914.58910531887318</v>
      </c>
      <c r="U33" s="489">
        <v>1630</v>
      </c>
      <c r="V33" s="486">
        <f t="shared" ref="V33:V37" si="2">S33/濃度比</f>
        <v>117.01748963850675</v>
      </c>
      <c r="W33" s="456">
        <f t="shared" ref="W33:W37" si="3">T33/濃度比</f>
        <v>149.59643744710473</v>
      </c>
      <c r="X33" s="480">
        <f t="shared" ref="X33:X37" si="4">V33+W33</f>
        <v>266.61392708561146</v>
      </c>
      <c r="Y33" s="483">
        <f t="shared" ref="Y33:Y64" si="5">IF(MONTH(R33)&lt;=3,(INDEX(月値割合表,MATCH(MONTH(R33),月,0),2)*INDEX(年度別焼却量,MATCH(YEAR(R33)-1,年度,0),2)),(INDEX(月値割合表,MATCH(MONTH(R33),月,0),2)*INDEX(年度別焼却量,MATCH(YEAR(R33),年度,0),2)))</f>
        <v>1122.0523402753847</v>
      </c>
      <c r="Z33" s="476">
        <f t="shared" ref="Z33:Z64" si="6">Y33*飛灰発生率</f>
        <v>56.10261701376924</v>
      </c>
      <c r="AA33" s="66">
        <f t="shared" ref="AA33:AA37" si="7">(Z33*U33)/10^3</f>
        <v>91.447265732443867</v>
      </c>
      <c r="AB33" s="66">
        <f t="shared" ref="AB33:AB64" si="8">Y33*主灰発生率</f>
        <v>145.86680423580003</v>
      </c>
      <c r="AC33" s="66">
        <f t="shared" ref="AC33:AC37" si="9">(AB33*X33)/10^3</f>
        <v>38.890121508734751</v>
      </c>
      <c r="AD33" s="89">
        <f>(AA33+AC33)*10</f>
        <v>1303.3738724117861</v>
      </c>
      <c r="AE33" s="80">
        <f t="shared" ref="AE33" si="10">1*2.71828^(-0.69315/半I131*(R33-事故日)/365.25)</f>
        <v>1.8006367832335665E-9</v>
      </c>
      <c r="AF33" s="55">
        <f t="shared" ref="AF33" si="11">1*2.71828^(-0.69315/半Cs134*(R33-事故日)/365.25)</f>
        <v>0.80699395812298158</v>
      </c>
      <c r="AG33" s="55">
        <f t="shared" ref="AG33" si="12">1*2.71828^(-0.69315/半Cs137*(R33-事故日)/365.25)</f>
        <v>0.98540278484809218</v>
      </c>
      <c r="AH33" s="55">
        <f>AF33+AG33</f>
        <v>1.7923967429710737</v>
      </c>
      <c r="AI33" s="54">
        <f t="shared" ref="AI33:AI64" si="13">500*2.71828^(-0.69315/半Cs134*(R33-事故日)/365.25)+500*2.71828^(-0.69315/半Cs137*(R33-事故日)/365.25)</f>
        <v>896.19837148553688</v>
      </c>
      <c r="AJ33" s="54">
        <f t="shared" ref="AJ33:AJ64" si="14">5000*2.71828^(-0.69315/半Cs134*(R33-事故日)/365.25)</f>
        <v>4034.9697906149081</v>
      </c>
      <c r="AK33" s="54">
        <f t="shared" ref="AK33:AK64" si="15">5000*2.71828^(-0.69315/半Cs137*(R33-事故日)/365.25)</f>
        <v>4927.0139242404612</v>
      </c>
      <c r="AM33" s="473">
        <v>780.32479140673752</v>
      </c>
      <c r="AN33" s="473">
        <v>997.57574023096845</v>
      </c>
      <c r="AO33" s="66">
        <f t="shared" ref="AO33:AO37" si="16">AN33+AM33</f>
        <v>1777.9005316377061</v>
      </c>
      <c r="AQ33" s="54">
        <f ca="1">AD33*AJ33/(AJ33+AK33)*2.71828^(-0.69315/半Cs134*(NOW()-R33)/365.25)+AD33*AK33/(AJ33+AK33)*2.71828^(-0.69315/半Cs137*(NOW()-R33)/365.25)</f>
        <v>632.19577456828279</v>
      </c>
      <c r="AS33" s="29"/>
    </row>
    <row r="34" spans="1:45" ht="9.9499999999999993" customHeight="1" x14ac:dyDescent="0.15">
      <c r="A34" s="8"/>
      <c r="R34" s="73">
        <v>40877</v>
      </c>
      <c r="S34" s="66">
        <f t="shared" si="0"/>
        <v>491.82233728676283</v>
      </c>
      <c r="T34" s="66">
        <f t="shared" si="1"/>
        <v>646.76420750109617</v>
      </c>
      <c r="U34" s="490">
        <f>AO35*U33/AO34</f>
        <v>1138.5865447878589</v>
      </c>
      <c r="V34" s="486">
        <f t="shared" si="2"/>
        <v>80.445818878802456</v>
      </c>
      <c r="W34" s="456">
        <f t="shared" si="3"/>
        <v>105.78916887133776</v>
      </c>
      <c r="X34" s="480">
        <f t="shared" si="4"/>
        <v>186.23498775014022</v>
      </c>
      <c r="Y34" s="483">
        <f t="shared" si="5"/>
        <v>1014.9619191988219</v>
      </c>
      <c r="Z34" s="476">
        <f t="shared" si="6"/>
        <v>50.748095959941097</v>
      </c>
      <c r="AA34" s="66">
        <f t="shared" si="7"/>
        <v>57.78109923359203</v>
      </c>
      <c r="AB34" s="66">
        <f t="shared" si="8"/>
        <v>131.94504949584686</v>
      </c>
      <c r="AC34" s="66">
        <f t="shared" si="9"/>
        <v>24.572784676550683</v>
      </c>
      <c r="AD34" s="89">
        <f t="shared" ref="AD34:AD97" si="17">(AA34+AC34)*10</f>
        <v>823.53883910142713</v>
      </c>
      <c r="AE34" s="80">
        <f t="shared" ref="AE34:AE41" si="18">1*2.71828^(-0.69315/半I131*(R34-事故日)/365.25)</f>
        <v>1.347458248590723E-10</v>
      </c>
      <c r="AF34" s="55">
        <f t="shared" ref="AF34:AF41" si="19">1*2.71828^(-0.69315/半Cs134*(R34-事故日)/365.25)</f>
        <v>0.78501748951261763</v>
      </c>
      <c r="AG34" s="55">
        <f t="shared" ref="AG34:AG41" si="20">1*2.71828^(-0.69315/半Cs137*(R34-事故日)/365.25)</f>
        <v>0.98353886489292541</v>
      </c>
      <c r="AH34" s="55">
        <f t="shared" ref="AH34:AH41" si="21">AF34+AG34</f>
        <v>1.7685563544055429</v>
      </c>
      <c r="AI34" s="54">
        <f t="shared" si="13"/>
        <v>884.27817720277153</v>
      </c>
      <c r="AJ34" s="54">
        <f t="shared" si="14"/>
        <v>3925.0874475630881</v>
      </c>
      <c r="AK34" s="54">
        <f t="shared" si="15"/>
        <v>4917.6943244646272</v>
      </c>
      <c r="AM34" s="473">
        <v>604.99980469462264</v>
      </c>
      <c r="AN34" s="473">
        <v>795.59668107040034</v>
      </c>
      <c r="AO34" s="66">
        <f t="shared" si="16"/>
        <v>1400.5964857650229</v>
      </c>
      <c r="AQ34" s="54">
        <f ca="1">AD34*AJ34/(AJ34+AK34)*2.71828^(-0.69315/半Cs134*(NOW()-R34)/365.25)+AD34*AK34/(AJ34+AK34)*2.71828^(-0.69315/半Cs137*(NOW()-R34)/365.25)</f>
        <v>404.83859306509868</v>
      </c>
      <c r="AS34" s="29"/>
    </row>
    <row r="35" spans="1:45" ht="9.9499999999999993" customHeight="1" x14ac:dyDescent="0.15">
      <c r="A35" s="8"/>
      <c r="R35" s="73">
        <v>40908</v>
      </c>
      <c r="S35" s="66">
        <f t="shared" si="0"/>
        <v>413.12004805641823</v>
      </c>
      <c r="T35" s="66">
        <f t="shared" si="1"/>
        <v>558.40299470977186</v>
      </c>
      <c r="U35" s="490">
        <f t="shared" ref="U35:U98" si="22">AO36*U34/AO35</f>
        <v>971.52304276618997</v>
      </c>
      <c r="V35" s="486">
        <f t="shared" si="2"/>
        <v>67.572735196391534</v>
      </c>
      <c r="W35" s="456">
        <f t="shared" si="3"/>
        <v>91.336205715299513</v>
      </c>
      <c r="X35" s="480">
        <f t="shared" si="4"/>
        <v>158.90894091169105</v>
      </c>
      <c r="Y35" s="483">
        <f t="shared" si="5"/>
        <v>1018.6660118357833</v>
      </c>
      <c r="Z35" s="476">
        <f t="shared" si="6"/>
        <v>50.933300591789163</v>
      </c>
      <c r="AA35" s="66">
        <f t="shared" si="7"/>
        <v>49.482875169059987</v>
      </c>
      <c r="AB35" s="66">
        <f t="shared" si="8"/>
        <v>132.42658153865182</v>
      </c>
      <c r="AC35" s="66">
        <f t="shared" si="9"/>
        <v>21.043767820862858</v>
      </c>
      <c r="AD35" s="89">
        <f t="shared" si="17"/>
        <v>705.26642989922846</v>
      </c>
      <c r="AE35" s="80">
        <f t="shared" si="18"/>
        <v>9.2485608223033338E-12</v>
      </c>
      <c r="AF35" s="55">
        <f t="shared" si="19"/>
        <v>0.7629370109772029</v>
      </c>
      <c r="AG35" s="55">
        <f t="shared" si="20"/>
        <v>0.98161651809898232</v>
      </c>
      <c r="AH35" s="55">
        <f t="shared" si="21"/>
        <v>1.7445535290761853</v>
      </c>
      <c r="AI35" s="54">
        <f t="shared" si="13"/>
        <v>872.27676453809261</v>
      </c>
      <c r="AJ35" s="54">
        <f t="shared" si="14"/>
        <v>3814.6850548860143</v>
      </c>
      <c r="AK35" s="54">
        <f t="shared" si="15"/>
        <v>4908.0825904949115</v>
      </c>
      <c r="AM35" s="473">
        <v>416.02041273792702</v>
      </c>
      <c r="AN35" s="473">
        <v>562.32333779533371</v>
      </c>
      <c r="AO35" s="66">
        <f t="shared" si="16"/>
        <v>978.34375053326073</v>
      </c>
      <c r="AQ35" s="54">
        <f ca="1">AD35*AJ35/(AJ35+AK35)*2.71828^(-0.69315/半Cs134*(NOW()-R35)/365.25)+AD35*AK35/(AJ35+AK35)*2.71828^(-0.69315/半Cs137*(NOW()-R35)/365.25)</f>
        <v>351.46787582539434</v>
      </c>
      <c r="AS35" s="29"/>
    </row>
    <row r="36" spans="1:45" ht="9.9499999999999993" customHeight="1" x14ac:dyDescent="0.15">
      <c r="A36" s="8"/>
      <c r="R36" s="73">
        <v>40939</v>
      </c>
      <c r="S36" s="66">
        <f t="shared" si="0"/>
        <v>350.65168459585698</v>
      </c>
      <c r="T36" s="66">
        <f t="shared" si="1"/>
        <v>487.6891427640615</v>
      </c>
      <c r="U36" s="490">
        <f t="shared" si="22"/>
        <v>838.34082735991842</v>
      </c>
      <c r="V36" s="486">
        <f t="shared" si="2"/>
        <v>57.354983232691197</v>
      </c>
      <c r="W36" s="456">
        <f t="shared" si="3"/>
        <v>79.769765367694404</v>
      </c>
      <c r="X36" s="480">
        <f t="shared" si="4"/>
        <v>137.1247486003856</v>
      </c>
      <c r="Y36" s="483">
        <f t="shared" si="5"/>
        <v>933.3543279203642</v>
      </c>
      <c r="Z36" s="476">
        <f t="shared" si="6"/>
        <v>46.667716396018214</v>
      </c>
      <c r="AA36" s="66">
        <f t="shared" si="7"/>
        <v>39.123451974435945</v>
      </c>
      <c r="AB36" s="66">
        <f t="shared" si="8"/>
        <v>121.33606262964734</v>
      </c>
      <c r="AC36" s="66">
        <f t="shared" si="9"/>
        <v>16.638177084251033</v>
      </c>
      <c r="AD36" s="89">
        <f t="shared" si="17"/>
        <v>557.61629058686981</v>
      </c>
      <c r="AE36" s="80">
        <f t="shared" si="18"/>
        <v>6.3479426819572043E-13</v>
      </c>
      <c r="AF36" s="55">
        <f t="shared" si="19"/>
        <v>0.74147759826371729</v>
      </c>
      <c r="AG36" s="55">
        <f t="shared" si="20"/>
        <v>0.97969792857109983</v>
      </c>
      <c r="AH36" s="55">
        <f t="shared" si="21"/>
        <v>1.7211755268348172</v>
      </c>
      <c r="AI36" s="54">
        <f t="shared" si="13"/>
        <v>860.5877634174085</v>
      </c>
      <c r="AJ36" s="54">
        <f t="shared" si="14"/>
        <v>3707.3879913185865</v>
      </c>
      <c r="AK36" s="54">
        <f t="shared" si="15"/>
        <v>4898.4896428554994</v>
      </c>
      <c r="AM36" s="473">
        <v>349.16752653999816</v>
      </c>
      <c r="AN36" s="473">
        <v>485.62496397415384</v>
      </c>
      <c r="AO36" s="66">
        <f t="shared" si="16"/>
        <v>834.79249051415195</v>
      </c>
      <c r="AQ36" s="54">
        <f ca="1">AD36*AJ36/(AJ36+AK36)*2.71828^(-0.69315/半Cs134*(NOW()-R36)/365.25)+AD36*AK36/(AJ36+AK36)*2.71828^(-0.69315/半Cs137*(NOW()-R36)/365.25)</f>
        <v>281.66119324275235</v>
      </c>
      <c r="AS36" s="29"/>
    </row>
    <row r="37" spans="1:45" ht="9.9499999999999993" customHeight="1" x14ac:dyDescent="0.15">
      <c r="A37" s="8"/>
      <c r="R37" s="73">
        <v>40968</v>
      </c>
      <c r="S37" s="66">
        <f t="shared" si="0"/>
        <v>304.1263958796082</v>
      </c>
      <c r="T37" s="66">
        <f t="shared" si="1"/>
        <v>435.29304177975189</v>
      </c>
      <c r="U37" s="490">
        <f t="shared" si="22"/>
        <v>739.41943765936014</v>
      </c>
      <c r="V37" s="486">
        <f t="shared" si="2"/>
        <v>49.744989408500416</v>
      </c>
      <c r="W37" s="456">
        <f t="shared" si="3"/>
        <v>71.19950141223363</v>
      </c>
      <c r="X37" s="480">
        <f t="shared" si="4"/>
        <v>120.94449082073405</v>
      </c>
      <c r="Y37" s="483">
        <f t="shared" si="5"/>
        <v>798.6522057430501</v>
      </c>
      <c r="Z37" s="476">
        <f t="shared" si="6"/>
        <v>39.932610287152507</v>
      </c>
      <c r="AA37" s="66">
        <f t="shared" si="7"/>
        <v>29.526948242796689</v>
      </c>
      <c r="AB37" s="66">
        <f t="shared" si="8"/>
        <v>103.82478674659652</v>
      </c>
      <c r="AC37" s="66">
        <f t="shared" si="9"/>
        <v>12.557035967638413</v>
      </c>
      <c r="AD37" s="89">
        <f t="shared" si="17"/>
        <v>420.83984210435108</v>
      </c>
      <c r="AE37" s="80">
        <f t="shared" si="18"/>
        <v>5.1790792472681979E-14</v>
      </c>
      <c r="AF37" s="55">
        <f t="shared" si="19"/>
        <v>0.72194943728661909</v>
      </c>
      <c r="AG37" s="55">
        <f t="shared" si="20"/>
        <v>0.9779065139864257</v>
      </c>
      <c r="AH37" s="55">
        <f t="shared" si="21"/>
        <v>1.6998559512730447</v>
      </c>
      <c r="AI37" s="54">
        <f t="shared" si="13"/>
        <v>849.92797563652243</v>
      </c>
      <c r="AJ37" s="54">
        <f t="shared" si="14"/>
        <v>3609.7471864330955</v>
      </c>
      <c r="AK37" s="54">
        <f t="shared" si="15"/>
        <v>4889.5325699321284</v>
      </c>
      <c r="AM37" s="473">
        <v>296.28474897338879</v>
      </c>
      <c r="AN37" s="473">
        <v>424.0693716852881</v>
      </c>
      <c r="AO37" s="66">
        <f t="shared" si="16"/>
        <v>720.35412065867695</v>
      </c>
      <c r="AQ37" s="54">
        <f ca="1">AD37*AJ37/(AJ37+AK37)*2.71828^(-0.69315/半Cs134*(NOW()-R37)/365.25)+AD37*AK37/(AJ37+AK37)*2.71828^(-0.69315/半Cs137*(NOW()-R37)/365.25)</f>
        <v>215.23924151290976</v>
      </c>
      <c r="AS37" s="29"/>
    </row>
    <row r="38" spans="1:45" ht="9.9499999999999993" customHeight="1" x14ac:dyDescent="0.15">
      <c r="A38" s="8"/>
      <c r="R38" s="73">
        <v>40999</v>
      </c>
      <c r="S38" s="66">
        <f t="shared" ref="S38:S101" si="23">U38*AM38/AO38</f>
        <v>484.3800094987734</v>
      </c>
      <c r="T38" s="66">
        <f t="shared" ref="T38:T101" si="24">U38*AN38/AO38</f>
        <v>712.24314379408577</v>
      </c>
      <c r="U38" s="490">
        <f t="shared" si="22"/>
        <v>1196.6231532928591</v>
      </c>
      <c r="V38" s="486">
        <f t="shared" ref="V38:V66" si="25">S38/濃度比</f>
        <v>79.228500941247717</v>
      </c>
      <c r="W38" s="456">
        <f t="shared" ref="W38:W66" si="26">T38/濃度比</f>
        <v>116.49935067898349</v>
      </c>
      <c r="X38" s="480">
        <f t="shared" ref="X38:X98" si="27">V38+W38</f>
        <v>195.72785162023121</v>
      </c>
      <c r="Y38" s="483">
        <f t="shared" si="5"/>
        <v>968.23246253311197</v>
      </c>
      <c r="Z38" s="476">
        <f t="shared" si="6"/>
        <v>48.411623126655599</v>
      </c>
      <c r="AA38" s="66">
        <f t="shared" ref="AA38:AA99" si="28">(Z38*U38)/10^3</f>
        <v>57.930469121844119</v>
      </c>
      <c r="AB38" s="66">
        <f t="shared" si="8"/>
        <v>125.87022012930456</v>
      </c>
      <c r="AC38" s="66">
        <f t="shared" ref="AC38:AC99" si="29">(AB38*X38)/10^3</f>
        <v>24.63630776887436</v>
      </c>
      <c r="AD38" s="89">
        <f t="shared" si="17"/>
        <v>825.66776890718472</v>
      </c>
      <c r="AE38" s="80">
        <f t="shared" si="18"/>
        <v>3.5547690974458839E-15</v>
      </c>
      <c r="AF38" s="55">
        <f t="shared" si="19"/>
        <v>0.70164289728384921</v>
      </c>
      <c r="AG38" s="55">
        <f t="shared" si="20"/>
        <v>0.9759951757373343</v>
      </c>
      <c r="AH38" s="55">
        <f t="shared" si="21"/>
        <v>1.6776380730211835</v>
      </c>
      <c r="AI38" s="54">
        <f t="shared" si="13"/>
        <v>838.81903651059179</v>
      </c>
      <c r="AJ38" s="54">
        <f t="shared" si="14"/>
        <v>3508.214486419246</v>
      </c>
      <c r="AK38" s="54">
        <f t="shared" si="15"/>
        <v>4879.9758786866714</v>
      </c>
      <c r="AM38" s="473">
        <v>257.18468336880449</v>
      </c>
      <c r="AN38" s="473">
        <v>378.17008098214609</v>
      </c>
      <c r="AO38" s="66">
        <f>AN38+AM38</f>
        <v>635.35476435095052</v>
      </c>
      <c r="AQ38" s="54">
        <f ca="1">AD38*AJ38/(AJ38+AK38)*2.71828^(-0.69315/半Cs134*(NOW()-R38)/365.25)+AD38*AK38/(AJ38+AK38)*2.71828^(-0.69315/半Cs137*(NOW()-R38)/365.25)</f>
        <v>427.88176841067934</v>
      </c>
      <c r="AS38" s="29"/>
    </row>
    <row r="39" spans="1:45" ht="9.9499999999999993" customHeight="1" x14ac:dyDescent="0.15">
      <c r="A39" s="8"/>
      <c r="R39" s="73">
        <v>41029</v>
      </c>
      <c r="S39" s="66">
        <f t="shared" si="23"/>
        <v>679.2915208959887</v>
      </c>
      <c r="T39" s="66">
        <f t="shared" si="24"/>
        <v>1028.0041863058041</v>
      </c>
      <c r="U39" s="490">
        <f t="shared" si="22"/>
        <v>1707.2957072017928</v>
      </c>
      <c r="V39" s="486">
        <f t="shared" si="25"/>
        <v>111.10955829572839</v>
      </c>
      <c r="W39" s="456">
        <f t="shared" si="26"/>
        <v>168.14738231376629</v>
      </c>
      <c r="X39" s="480">
        <f t="shared" si="27"/>
        <v>279.25694060949468</v>
      </c>
      <c r="Y39" s="483">
        <f t="shared" si="5"/>
        <v>1027.698116259148</v>
      </c>
      <c r="Z39" s="476">
        <f t="shared" si="6"/>
        <v>51.384905812957406</v>
      </c>
      <c r="AA39" s="66">
        <f t="shared" si="28"/>
        <v>87.729229109430634</v>
      </c>
      <c r="AB39" s="66">
        <f t="shared" si="8"/>
        <v>133.60075511368925</v>
      </c>
      <c r="AC39" s="66">
        <f t="shared" si="29"/>
        <v>37.308938136167164</v>
      </c>
      <c r="AD39" s="89">
        <f t="shared" si="17"/>
        <v>1250.3816724559781</v>
      </c>
      <c r="AE39" s="80">
        <f t="shared" si="18"/>
        <v>2.660116124911772E-16</v>
      </c>
      <c r="AF39" s="55">
        <f t="shared" si="19"/>
        <v>0.68253540217482955</v>
      </c>
      <c r="AG39" s="55">
        <f t="shared" si="20"/>
        <v>0.97414905056681977</v>
      </c>
      <c r="AH39" s="55">
        <f t="shared" si="21"/>
        <v>1.6566844527416493</v>
      </c>
      <c r="AI39" s="54">
        <f t="shared" si="13"/>
        <v>828.34222637082462</v>
      </c>
      <c r="AJ39" s="54">
        <f t="shared" si="14"/>
        <v>3412.677010874148</v>
      </c>
      <c r="AK39" s="54">
        <f t="shared" si="15"/>
        <v>4870.7452528340991</v>
      </c>
      <c r="AM39" s="473">
        <v>409.10074926559156</v>
      </c>
      <c r="AN39" s="473">
        <v>619.11163311909479</v>
      </c>
      <c r="AO39" s="66">
        <f t="shared" ref="AO39:AO102" si="30">AN39+AM39</f>
        <v>1028.2123823846864</v>
      </c>
      <c r="AQ39" s="54">
        <f ca="1">AD39*AJ39/(AJ39+AK39)*2.71828^(-0.69315/半Cs134*(NOW()-R39)/365.25)+AD39*AK39/(AJ39+AK39)*2.71828^(-0.69315/半Cs137*(NOW()-R39)/365.25)</f>
        <v>656.17476865274023</v>
      </c>
      <c r="AS39" s="29"/>
    </row>
    <row r="40" spans="1:45" ht="9.9499999999999993" customHeight="1" x14ac:dyDescent="0.15">
      <c r="A40" s="8"/>
      <c r="R40" s="73">
        <v>41060</v>
      </c>
      <c r="S40" s="66">
        <f t="shared" si="23"/>
        <v>681.63756984372571</v>
      </c>
      <c r="T40" s="66">
        <f t="shared" si="24"/>
        <v>1060.8703316769111</v>
      </c>
      <c r="U40" s="490">
        <f t="shared" si="22"/>
        <v>1742.5079015206368</v>
      </c>
      <c r="V40" s="486">
        <f t="shared" si="25"/>
        <v>111.49329407676595</v>
      </c>
      <c r="W40" s="456">
        <f t="shared" si="26"/>
        <v>173.52319340920027</v>
      </c>
      <c r="X40" s="480">
        <f t="shared" si="27"/>
        <v>285.01648748596619</v>
      </c>
      <c r="Y40" s="483">
        <f t="shared" si="5"/>
        <v>1154.7507067161375</v>
      </c>
      <c r="Z40" s="476">
        <f t="shared" si="6"/>
        <v>57.737535335806882</v>
      </c>
      <c r="AA40" s="66">
        <f t="shared" si="28"/>
        <v>100.60811153697047</v>
      </c>
      <c r="AB40" s="66">
        <f t="shared" si="8"/>
        <v>150.11759187309789</v>
      </c>
      <c r="AC40" s="66">
        <f t="shared" si="29"/>
        <v>42.785988745522182</v>
      </c>
      <c r="AD40" s="89">
        <f t="shared" si="17"/>
        <v>1433.9410028249265</v>
      </c>
      <c r="AE40" s="80">
        <f t="shared" si="18"/>
        <v>1.8258262028799214E-17</v>
      </c>
      <c r="AF40" s="55">
        <f t="shared" si="19"/>
        <v>0.66333747537865251</v>
      </c>
      <c r="AG40" s="55">
        <f t="shared" si="20"/>
        <v>0.97224505635670411</v>
      </c>
      <c r="AH40" s="55">
        <f t="shared" si="21"/>
        <v>1.6355825317353565</v>
      </c>
      <c r="AI40" s="54">
        <f t="shared" si="13"/>
        <v>817.79126586767825</v>
      </c>
      <c r="AJ40" s="54">
        <f t="shared" si="14"/>
        <v>3316.6873768932624</v>
      </c>
      <c r="AK40" s="54">
        <f t="shared" si="15"/>
        <v>4861.2252817835206</v>
      </c>
      <c r="AM40" s="473">
        <v>573.86923058251261</v>
      </c>
      <c r="AN40" s="473">
        <v>893.14449191352446</v>
      </c>
      <c r="AO40" s="66">
        <f t="shared" si="30"/>
        <v>1467.0137224960372</v>
      </c>
      <c r="AQ40" s="54">
        <f ca="1">AD40*AJ40/(AJ40+AK40)*2.71828^(-0.69315/半Cs134*(NOW()-R40)/365.25)+AD40*AK40/(AJ40+AK40)*2.71828^(-0.69315/半Cs137*(NOW()-R40)/365.25)</f>
        <v>762.21158221450548</v>
      </c>
      <c r="AS40" s="29"/>
    </row>
    <row r="41" spans="1:45" ht="9.9499999999999993" customHeight="1" x14ac:dyDescent="0.15">
      <c r="A41" s="8"/>
      <c r="R41" s="73">
        <v>41090</v>
      </c>
      <c r="S41" s="66">
        <f t="shared" si="23"/>
        <v>603.58964164881604</v>
      </c>
      <c r="T41" s="66">
        <f t="shared" si="24"/>
        <v>967.23363584903029</v>
      </c>
      <c r="U41" s="490">
        <f t="shared" si="22"/>
        <v>1570.8232774978464</v>
      </c>
      <c r="V41" s="486">
        <f t="shared" si="25"/>
        <v>98.727242152262463</v>
      </c>
      <c r="W41" s="456">
        <f t="shared" si="26"/>
        <v>158.20733623497193</v>
      </c>
      <c r="X41" s="480">
        <f t="shared" si="27"/>
        <v>256.93457838723441</v>
      </c>
      <c r="Y41" s="483">
        <f t="shared" si="5"/>
        <v>1133.2149206784004</v>
      </c>
      <c r="Z41" s="476">
        <f t="shared" si="6"/>
        <v>56.66074603392002</v>
      </c>
      <c r="AA41" s="66">
        <f t="shared" si="28"/>
        <v>89.004018790475357</v>
      </c>
      <c r="AB41" s="66">
        <f t="shared" si="8"/>
        <v>147.31793968819207</v>
      </c>
      <c r="AC41" s="66">
        <f t="shared" si="29"/>
        <v>37.851072722661655</v>
      </c>
      <c r="AD41" s="89">
        <f t="shared" si="17"/>
        <v>1268.5509151313702</v>
      </c>
      <c r="AE41" s="80">
        <f t="shared" si="18"/>
        <v>1.3663080752718988E-18</v>
      </c>
      <c r="AF41" s="55">
        <f t="shared" si="19"/>
        <v>0.64527313293965327</v>
      </c>
      <c r="AG41" s="55">
        <f t="shared" si="20"/>
        <v>0.97040602465340442</v>
      </c>
      <c r="AH41" s="55">
        <f t="shared" si="21"/>
        <v>1.6156791575930578</v>
      </c>
      <c r="AI41" s="54">
        <f t="shared" si="13"/>
        <v>807.83957879652883</v>
      </c>
      <c r="AJ41" s="54">
        <f t="shared" si="14"/>
        <v>3226.3656646982663</v>
      </c>
      <c r="AK41" s="54">
        <f t="shared" si="15"/>
        <v>4852.0301232670217</v>
      </c>
      <c r="AM41" s="473">
        <v>575.32683836377066</v>
      </c>
      <c r="AN41" s="473">
        <v>921.94337224211188</v>
      </c>
      <c r="AO41" s="66">
        <f t="shared" si="30"/>
        <v>1497.2702106058825</v>
      </c>
      <c r="AQ41" s="54">
        <f ca="1">AD41*AJ41/(AJ41+AK41)*2.71828^(-0.69315/半Cs134*(NOW()-R41)/365.25)+AD41*AK41/(AJ41+AK41)*2.71828^(-0.69315/半Cs137*(NOW()-R41)/365.25)</f>
        <v>682.60506177728746</v>
      </c>
      <c r="AS41" s="29"/>
    </row>
    <row r="42" spans="1:45" ht="9.9499999999999993" customHeight="1" x14ac:dyDescent="0.15">
      <c r="A42" s="8"/>
      <c r="R42" s="73">
        <v>41121</v>
      </c>
      <c r="S42" s="66">
        <f t="shared" si="23"/>
        <v>487.49172350025464</v>
      </c>
      <c r="T42" s="66">
        <f t="shared" si="24"/>
        <v>803.75233942594718</v>
      </c>
      <c r="U42" s="490">
        <f t="shared" si="22"/>
        <v>1291.2440629262019</v>
      </c>
      <c r="V42" s="486">
        <f t="shared" si="25"/>
        <v>79.737474125236787</v>
      </c>
      <c r="W42" s="456">
        <f t="shared" si="26"/>
        <v>131.4672193979136</v>
      </c>
      <c r="X42" s="480">
        <f t="shared" si="27"/>
        <v>211.20469352315038</v>
      </c>
      <c r="Y42" s="483">
        <f t="shared" si="5"/>
        <v>1205.6489360385428</v>
      </c>
      <c r="Z42" s="476">
        <f t="shared" si="6"/>
        <v>60.282446801927144</v>
      </c>
      <c r="AA42" s="66">
        <f t="shared" si="28"/>
        <v>77.839351531653023</v>
      </c>
      <c r="AB42" s="66">
        <f t="shared" si="8"/>
        <v>156.73436168501058</v>
      </c>
      <c r="AC42" s="66">
        <f t="shared" si="29"/>
        <v>33.103032824229267</v>
      </c>
      <c r="AD42" s="89">
        <f t="shared" si="17"/>
        <v>1109.4238435588229</v>
      </c>
      <c r="AE42" s="80">
        <f t="shared" ref="AE42:AE60" si="31">1*2.71828^(-0.69315/半I131*(R42-事故日)/365.25)</f>
        <v>9.3779405405491647E-20</v>
      </c>
      <c r="AF42" s="55">
        <f t="shared" ref="AF42:AF60" si="32">1*2.71828^(-0.69315/半Cs134*(R42-事故日)/365.25)</f>
        <v>0.62712329583194792</v>
      </c>
      <c r="AG42" s="55">
        <f t="shared" ref="AG42:AG60" si="33">1*2.71828^(-0.69315/半Cs137*(R42-事故日)/365.25)</f>
        <v>0.96850934626386409</v>
      </c>
      <c r="AH42" s="55">
        <f t="shared" ref="AH42:AH60" si="34">AF42+AG42</f>
        <v>1.595632642095812</v>
      </c>
      <c r="AI42" s="54">
        <f t="shared" si="13"/>
        <v>797.81632104790606</v>
      </c>
      <c r="AJ42" s="54">
        <f t="shared" si="14"/>
        <v>3135.6164791597398</v>
      </c>
      <c r="AK42" s="54">
        <f t="shared" si="15"/>
        <v>4842.5467313193203</v>
      </c>
      <c r="AM42" s="473">
        <v>509.57916792906292</v>
      </c>
      <c r="AN42" s="473">
        <v>840.16902975276457</v>
      </c>
      <c r="AO42" s="66">
        <f t="shared" si="30"/>
        <v>1349.7481976818276</v>
      </c>
      <c r="AQ42" s="54">
        <f ca="1">AD42*AJ42/(AJ42+AK42)*2.71828^(-0.69315/半Cs134*(NOW()-R42)/365.25)+AD42*AK42/(AJ42+AK42)*2.71828^(-0.69315/半Cs137*(NOW()-R42)/365.25)</f>
        <v>604.47912462301838</v>
      </c>
      <c r="AS42" s="29"/>
    </row>
    <row r="43" spans="1:45" ht="9.9499999999999993" customHeight="1" x14ac:dyDescent="0.15">
      <c r="A43" s="8"/>
      <c r="R43" s="73">
        <v>41152</v>
      </c>
      <c r="S43" s="66">
        <f t="shared" si="23"/>
        <v>422.80139269600051</v>
      </c>
      <c r="T43" s="66">
        <f t="shared" si="24"/>
        <v>717.98477710247107</v>
      </c>
      <c r="U43" s="490">
        <f t="shared" si="22"/>
        <v>1140.7861697984715</v>
      </c>
      <c r="V43" s="486">
        <f t="shared" si="25"/>
        <v>69.156282014691087</v>
      </c>
      <c r="W43" s="456">
        <f t="shared" si="26"/>
        <v>117.43849141777746</v>
      </c>
      <c r="X43" s="480">
        <f t="shared" si="27"/>
        <v>186.59477343246854</v>
      </c>
      <c r="Y43" s="483">
        <f t="shared" si="5"/>
        <v>1222.5832374384713</v>
      </c>
      <c r="Z43" s="476">
        <f t="shared" si="6"/>
        <v>61.129161871923571</v>
      </c>
      <c r="AA43" s="66">
        <f t="shared" si="28"/>
        <v>69.735302434862461</v>
      </c>
      <c r="AB43" s="66">
        <f t="shared" si="8"/>
        <v>158.93582086700127</v>
      </c>
      <c r="AC43" s="66">
        <f t="shared" si="29"/>
        <v>29.65659348498151</v>
      </c>
      <c r="AD43" s="89">
        <f t="shared" si="17"/>
        <v>993.91895919843978</v>
      </c>
      <c r="AE43" s="80">
        <f t="shared" si="31"/>
        <v>6.4367451509480468E-21</v>
      </c>
      <c r="AF43" s="55">
        <f t="shared" si="32"/>
        <v>0.60948396593463194</v>
      </c>
      <c r="AG43" s="55">
        <f t="shared" si="33"/>
        <v>0.96661637497096375</v>
      </c>
      <c r="AH43" s="55">
        <f t="shared" si="34"/>
        <v>1.5761003409055956</v>
      </c>
      <c r="AI43" s="54">
        <f t="shared" si="13"/>
        <v>788.05017045279783</v>
      </c>
      <c r="AJ43" s="54">
        <f t="shared" si="14"/>
        <v>3047.4198296731597</v>
      </c>
      <c r="AK43" s="54">
        <f t="shared" si="15"/>
        <v>4833.081874854819</v>
      </c>
      <c r="AM43" s="473">
        <v>411.21213975516696</v>
      </c>
      <c r="AN43" s="473">
        <v>698.30436134875242</v>
      </c>
      <c r="AO43" s="66">
        <f t="shared" si="30"/>
        <v>1109.5165011039194</v>
      </c>
      <c r="AQ43" s="54">
        <f ca="1">AD43*AJ43/(AJ43+AK43)*2.71828^(-0.69315/半Cs134*(NOW()-R43)/365.25)+AD43*AK43/(AJ43+AK43)*2.71828^(-0.69315/半Cs137*(NOW()-R43)/365.25)</f>
        <v>548.25655899368394</v>
      </c>
      <c r="AS43" s="29"/>
    </row>
    <row r="44" spans="1:45" ht="9.9499999999999993" customHeight="1" x14ac:dyDescent="0.15">
      <c r="A44" s="8"/>
      <c r="R44" s="73">
        <v>41182</v>
      </c>
      <c r="S44" s="66">
        <f t="shared" si="23"/>
        <v>364.07729931276612</v>
      </c>
      <c r="T44" s="66">
        <f t="shared" si="24"/>
        <v>636.88622729644635</v>
      </c>
      <c r="U44" s="490">
        <f t="shared" si="22"/>
        <v>1000.9635266092125</v>
      </c>
      <c r="V44" s="486">
        <f t="shared" si="25"/>
        <v>59.550968424846737</v>
      </c>
      <c r="W44" s="456">
        <f t="shared" si="26"/>
        <v>104.17345899769629</v>
      </c>
      <c r="X44" s="480">
        <f t="shared" si="27"/>
        <v>163.72442742254302</v>
      </c>
      <c r="Y44" s="483">
        <f t="shared" si="5"/>
        <v>1133.6338460969237</v>
      </c>
      <c r="Z44" s="476">
        <f t="shared" si="6"/>
        <v>56.681692304846187</v>
      </c>
      <c r="AA44" s="66">
        <f t="shared" si="28"/>
        <v>56.736306623637098</v>
      </c>
      <c r="AB44" s="66">
        <f t="shared" si="8"/>
        <v>147.37239999260009</v>
      </c>
      <c r="AC44" s="66">
        <f t="shared" si="29"/>
        <v>24.128461806674434</v>
      </c>
      <c r="AD44" s="89">
        <f t="shared" si="17"/>
        <v>808.64768430311528</v>
      </c>
      <c r="AE44" s="80">
        <f t="shared" si="31"/>
        <v>4.8167656178532491E-22</v>
      </c>
      <c r="AF44" s="55">
        <f t="shared" si="32"/>
        <v>0.59288618956832939</v>
      </c>
      <c r="AG44" s="55">
        <f t="shared" si="33"/>
        <v>0.96478799009322358</v>
      </c>
      <c r="AH44" s="55">
        <f t="shared" si="34"/>
        <v>1.557674179661553</v>
      </c>
      <c r="AI44" s="54">
        <f t="shared" si="13"/>
        <v>778.83708983077645</v>
      </c>
      <c r="AJ44" s="54">
        <f t="shared" si="14"/>
        <v>2964.4309478416471</v>
      </c>
      <c r="AK44" s="54">
        <f t="shared" si="15"/>
        <v>4823.9399504661178</v>
      </c>
      <c r="AM44" s="473">
        <v>356.53734281810824</v>
      </c>
      <c r="AN44" s="473">
        <v>623.69646112611258</v>
      </c>
      <c r="AO44" s="66">
        <f t="shared" si="30"/>
        <v>980.23380394422088</v>
      </c>
      <c r="AQ44" s="54">
        <f ca="1">AD44*AJ44/(AJ44+AK44)*2.71828^(-0.69315/半Cs134*(NOW()-R44)/365.25)+AD44*AK44/(AJ44+AK44)*2.71828^(-0.69315/半Cs137*(NOW()-R44)/365.25)</f>
        <v>451.33545402037737</v>
      </c>
      <c r="AS44" s="29"/>
    </row>
    <row r="45" spans="1:45" ht="9.9499999999999993" customHeight="1" x14ac:dyDescent="0.15">
      <c r="A45" s="8"/>
      <c r="R45" s="73">
        <v>41213</v>
      </c>
      <c r="S45" s="66">
        <f t="shared" si="23"/>
        <v>283.57955059143063</v>
      </c>
      <c r="T45" s="66">
        <f t="shared" si="24"/>
        <v>510.55114315135921</v>
      </c>
      <c r="U45" s="490">
        <f t="shared" si="22"/>
        <v>794.13069374278984</v>
      </c>
      <c r="V45" s="486">
        <f t="shared" si="25"/>
        <v>46.384207131505619</v>
      </c>
      <c r="W45" s="456">
        <f t="shared" si="26"/>
        <v>83.509230216952204</v>
      </c>
      <c r="X45" s="480">
        <f t="shared" si="27"/>
        <v>129.89343734845784</v>
      </c>
      <c r="Y45" s="483">
        <f t="shared" si="5"/>
        <v>1166.4374645436799</v>
      </c>
      <c r="Z45" s="476">
        <f t="shared" si="6"/>
        <v>58.321873227184</v>
      </c>
      <c r="AA45" s="66">
        <f t="shared" si="28"/>
        <v>46.315189646282668</v>
      </c>
      <c r="AB45" s="66">
        <f t="shared" si="8"/>
        <v>151.63687039067838</v>
      </c>
      <c r="AC45" s="66">
        <f t="shared" si="29"/>
        <v>19.696634323807803</v>
      </c>
      <c r="AD45" s="89">
        <f t="shared" si="17"/>
        <v>660.11823970090472</v>
      </c>
      <c r="AE45" s="80">
        <f t="shared" si="31"/>
        <v>3.3060875786011955E-23</v>
      </c>
      <c r="AF45" s="55">
        <f t="shared" si="32"/>
        <v>0.57620985947683678</v>
      </c>
      <c r="AG45" s="55">
        <f t="shared" si="33"/>
        <v>0.96290229226694357</v>
      </c>
      <c r="AH45" s="55">
        <f t="shared" si="34"/>
        <v>1.5391121517437805</v>
      </c>
      <c r="AI45" s="54">
        <f t="shared" si="13"/>
        <v>769.55607587189024</v>
      </c>
      <c r="AJ45" s="54">
        <f t="shared" si="14"/>
        <v>2881.0492973841838</v>
      </c>
      <c r="AK45" s="54">
        <f t="shared" si="15"/>
        <v>4814.5114613347178</v>
      </c>
      <c r="AM45" s="473">
        <v>307.13308957269703</v>
      </c>
      <c r="AN45" s="473">
        <v>552.95647959774908</v>
      </c>
      <c r="AO45" s="66">
        <f t="shared" si="30"/>
        <v>860.08956917044611</v>
      </c>
      <c r="AQ45" s="54">
        <f ca="1">AD45*AJ45/(AJ45+AK45)*2.71828^(-0.69315/半Cs134*(NOW()-R45)/365.25)+AD45*AK45/(AJ45+AK45)*2.71828^(-0.69315/半Cs137*(NOW()-R45)/365.25)</f>
        <v>372.87922721555418</v>
      </c>
      <c r="AS45" s="29"/>
    </row>
    <row r="46" spans="1:45" ht="9.9499999999999993" customHeight="1" x14ac:dyDescent="0.15">
      <c r="A46" s="8"/>
      <c r="R46" s="73">
        <v>41243</v>
      </c>
      <c r="S46" s="66">
        <f t="shared" si="23"/>
        <v>195.72448632441436</v>
      </c>
      <c r="T46" s="66">
        <f t="shared" si="24"/>
        <v>363.03100248648281</v>
      </c>
      <c r="U46" s="490">
        <f t="shared" si="22"/>
        <v>558.75548881089719</v>
      </c>
      <c r="V46" s="486">
        <f t="shared" si="25"/>
        <v>32.014033083292134</v>
      </c>
      <c r="W46" s="456">
        <f t="shared" si="26"/>
        <v>59.379828973464768</v>
      </c>
      <c r="X46" s="480">
        <f t="shared" si="27"/>
        <v>91.393862056756902</v>
      </c>
      <c r="Y46" s="483">
        <f t="shared" si="5"/>
        <v>1055.1108581513229</v>
      </c>
      <c r="Z46" s="476">
        <f t="shared" si="6"/>
        <v>52.755542907566145</v>
      </c>
      <c r="AA46" s="66">
        <f t="shared" si="28"/>
        <v>29.477449164801381</v>
      </c>
      <c r="AB46" s="66">
        <f t="shared" si="8"/>
        <v>137.16441155967198</v>
      </c>
      <c r="AC46" s="66">
        <f t="shared" si="29"/>
        <v>12.535985309180893</v>
      </c>
      <c r="AD46" s="89">
        <f t="shared" si="17"/>
        <v>420.13434473982272</v>
      </c>
      <c r="AE46" s="80">
        <f t="shared" si="31"/>
        <v>2.4740219792409111E-24</v>
      </c>
      <c r="AF46" s="55">
        <f t="shared" si="32"/>
        <v>0.56051822044743371</v>
      </c>
      <c r="AG46" s="55">
        <f t="shared" si="33"/>
        <v>0.96108093269192596</v>
      </c>
      <c r="AH46" s="55">
        <f t="shared" si="34"/>
        <v>1.5215991531393596</v>
      </c>
      <c r="AI46" s="54">
        <f t="shared" si="13"/>
        <v>760.79957656967986</v>
      </c>
      <c r="AJ46" s="54">
        <f t="shared" si="14"/>
        <v>2802.5911022371683</v>
      </c>
      <c r="AK46" s="54">
        <f t="shared" si="15"/>
        <v>4805.4046634596298</v>
      </c>
      <c r="AM46" s="473">
        <v>239.02359257858782</v>
      </c>
      <c r="AN46" s="473">
        <v>443.34245582281784</v>
      </c>
      <c r="AO46" s="66">
        <f t="shared" si="30"/>
        <v>682.36604840140569</v>
      </c>
      <c r="AQ46" s="54">
        <f ca="1">AD46*AJ46/(AJ46+AK46)*2.71828^(-0.69315/半Cs134*(NOW()-R46)/365.25)+AD46*AK46/(AJ46+AK46)*2.71828^(-0.69315/半Cs137*(NOW()-R46)/365.25)</f>
        <v>240.05162567503996</v>
      </c>
      <c r="AS46" s="29"/>
    </row>
    <row r="47" spans="1:45" ht="9.9499999999999993" customHeight="1" x14ac:dyDescent="0.15">
      <c r="A47" s="8"/>
      <c r="R47" s="73">
        <v>41274</v>
      </c>
      <c r="S47" s="66">
        <f t="shared" si="23"/>
        <v>165.13208636493482</v>
      </c>
      <c r="T47" s="66">
        <f t="shared" si="24"/>
        <v>315.2902991040844</v>
      </c>
      <c r="U47" s="490">
        <f t="shared" si="22"/>
        <v>480.42238546901922</v>
      </c>
      <c r="V47" s="486">
        <f t="shared" si="25"/>
        <v>27.010131308954374</v>
      </c>
      <c r="W47" s="456">
        <f t="shared" si="26"/>
        <v>51.571033629531904</v>
      </c>
      <c r="X47" s="480">
        <f t="shared" si="27"/>
        <v>78.581164938486282</v>
      </c>
      <c r="Y47" s="483">
        <f t="shared" si="5"/>
        <v>1058.9614739103272</v>
      </c>
      <c r="Z47" s="476">
        <f t="shared" si="6"/>
        <v>52.948073695516364</v>
      </c>
      <c r="AA47" s="66">
        <f t="shared" si="28"/>
        <v>25.437439870789401</v>
      </c>
      <c r="AB47" s="66">
        <f t="shared" si="8"/>
        <v>137.66499160834255</v>
      </c>
      <c r="AC47" s="66">
        <f t="shared" si="29"/>
        <v>10.817875411830496</v>
      </c>
      <c r="AD47" s="89">
        <f t="shared" si="17"/>
        <v>362.55315282619898</v>
      </c>
      <c r="AE47" s="80">
        <f t="shared" si="31"/>
        <v>1.6980966033386048E-25</v>
      </c>
      <c r="AF47" s="55">
        <f t="shared" si="32"/>
        <v>0.5447523162470288</v>
      </c>
      <c r="AG47" s="55">
        <f t="shared" si="33"/>
        <v>0.95920248038502987</v>
      </c>
      <c r="AH47" s="55">
        <f t="shared" si="34"/>
        <v>1.5039547966320588</v>
      </c>
      <c r="AI47" s="54">
        <f t="shared" si="13"/>
        <v>751.97739831602939</v>
      </c>
      <c r="AJ47" s="54">
        <f t="shared" si="14"/>
        <v>2723.7615812351441</v>
      </c>
      <c r="AK47" s="54">
        <f t="shared" si="15"/>
        <v>4796.0124019251489</v>
      </c>
      <c r="AM47" s="473">
        <v>165.02717411945301</v>
      </c>
      <c r="AN47" s="473">
        <v>315.08998786242449</v>
      </c>
      <c r="AO47" s="66">
        <f t="shared" si="30"/>
        <v>480.11716198187753</v>
      </c>
      <c r="AQ47" s="54">
        <f ca="1">AD47*AJ47/(AJ47+AK47)*2.71828^(-0.69315/半Cs134*(NOW()-R47)/365.25)+AD47*AK47/(AJ47+AK47)*2.71828^(-0.69315/半Cs137*(NOW()-R47)/365.25)</f>
        <v>209.58182947791894</v>
      </c>
      <c r="AS47" s="29"/>
    </row>
    <row r="48" spans="1:45" ht="9.9499999999999993" customHeight="1" x14ac:dyDescent="0.15">
      <c r="A48" s="8"/>
      <c r="R48" s="73">
        <v>41305</v>
      </c>
      <c r="S48" s="66">
        <f t="shared" si="23"/>
        <v>140.83688200157792</v>
      </c>
      <c r="T48" s="66">
        <f t="shared" si="24"/>
        <v>277.07671485708994</v>
      </c>
      <c r="U48" s="490">
        <f t="shared" si="22"/>
        <v>417.91359685866786</v>
      </c>
      <c r="V48" s="486">
        <f t="shared" si="25"/>
        <v>23.036241833701574</v>
      </c>
      <c r="W48" s="456">
        <f t="shared" si="26"/>
        <v>45.320558927625122</v>
      </c>
      <c r="X48" s="480">
        <f t="shared" si="27"/>
        <v>68.356800761326696</v>
      </c>
      <c r="Y48" s="483">
        <f t="shared" si="5"/>
        <v>970.27510812294304</v>
      </c>
      <c r="Z48" s="476">
        <f t="shared" si="6"/>
        <v>48.513755406147155</v>
      </c>
      <c r="AA48" s="66">
        <f t="shared" si="28"/>
        <v>20.274558018904603</v>
      </c>
      <c r="AB48" s="66">
        <f t="shared" si="8"/>
        <v>126.13576405598261</v>
      </c>
      <c r="AC48" s="66">
        <f t="shared" si="29"/>
        <v>8.6222372924525175</v>
      </c>
      <c r="AD48" s="89">
        <f t="shared" si="17"/>
        <v>288.96795311357118</v>
      </c>
      <c r="AE48" s="80">
        <f t="shared" si="31"/>
        <v>1.1655240327148518E-26</v>
      </c>
      <c r="AF48" s="55">
        <f t="shared" si="32"/>
        <v>0.52942986549057769</v>
      </c>
      <c r="AG48" s="55">
        <f t="shared" si="33"/>
        <v>0.95732769955152308</v>
      </c>
      <c r="AH48" s="55">
        <f t="shared" si="34"/>
        <v>1.4867575650421008</v>
      </c>
      <c r="AI48" s="54">
        <f t="shared" si="13"/>
        <v>743.37878252105043</v>
      </c>
      <c r="AJ48" s="54">
        <f t="shared" si="14"/>
        <v>2647.1493274528884</v>
      </c>
      <c r="AK48" s="54">
        <f t="shared" si="15"/>
        <v>4786.6384977576154</v>
      </c>
      <c r="AM48" s="473">
        <v>139.11647465194233</v>
      </c>
      <c r="AN48" s="473">
        <v>273.69205588226487</v>
      </c>
      <c r="AO48" s="66">
        <f t="shared" si="30"/>
        <v>412.80853053420719</v>
      </c>
      <c r="AQ48" s="54">
        <f ca="1">AD48*AJ48/(AJ48+AK48)*2.71828^(-0.69315/半Cs134*(NOW()-R48)/365.25)+AD48*AK48/(AJ48+AK48)*2.71828^(-0.69315/半Cs137*(NOW()-R48)/365.25)</f>
        <v>168.97647601614469</v>
      </c>
      <c r="AS48" s="29"/>
    </row>
    <row r="49" spans="1:45" ht="9.9499999999999993" customHeight="1" x14ac:dyDescent="0.15">
      <c r="A49" s="8"/>
      <c r="R49" s="73">
        <v>41333</v>
      </c>
      <c r="S49" s="66">
        <f t="shared" si="23"/>
        <v>122.87100399770961</v>
      </c>
      <c r="T49" s="66">
        <f t="shared" si="24"/>
        <v>249.10542924690489</v>
      </c>
      <c r="U49" s="490">
        <f t="shared" si="22"/>
        <v>371.9764332446145</v>
      </c>
      <c r="V49" s="486">
        <f t="shared" si="25"/>
        <v>20.09762018452836</v>
      </c>
      <c r="W49" s="456">
        <f t="shared" si="26"/>
        <v>40.745384509119177</v>
      </c>
      <c r="X49" s="480">
        <f t="shared" si="27"/>
        <v>60.843004693647536</v>
      </c>
      <c r="Y49" s="483">
        <f t="shared" si="5"/>
        <v>830.24456211240931</v>
      </c>
      <c r="Z49" s="476">
        <f t="shared" si="6"/>
        <v>41.512228105620466</v>
      </c>
      <c r="AA49" s="66">
        <f t="shared" si="28"/>
        <v>15.44157054676554</v>
      </c>
      <c r="AB49" s="66">
        <f t="shared" si="8"/>
        <v>107.93179307461321</v>
      </c>
      <c r="AC49" s="66">
        <f t="shared" si="29"/>
        <v>6.5668945926324858</v>
      </c>
      <c r="AD49" s="89">
        <f t="shared" si="17"/>
        <v>220.08465139398027</v>
      </c>
      <c r="AE49" s="80">
        <f t="shared" si="31"/>
        <v>1.0367430977394584E-27</v>
      </c>
      <c r="AF49" s="55">
        <f t="shared" si="32"/>
        <v>0.51596100801327405</v>
      </c>
      <c r="AG49" s="55">
        <f t="shared" si="33"/>
        <v>0.95563749886173965</v>
      </c>
      <c r="AH49" s="55">
        <f t="shared" si="34"/>
        <v>1.4715985068750137</v>
      </c>
      <c r="AI49" s="54">
        <f t="shared" si="13"/>
        <v>735.79925343750688</v>
      </c>
      <c r="AJ49" s="54">
        <f t="shared" si="14"/>
        <v>2579.8050400663701</v>
      </c>
      <c r="AK49" s="54">
        <f t="shared" si="15"/>
        <v>4778.1874943086987</v>
      </c>
      <c r="AM49" s="473">
        <v>118.61671988026326</v>
      </c>
      <c r="AN49" s="473">
        <v>240.48040595634467</v>
      </c>
      <c r="AO49" s="66">
        <f t="shared" si="30"/>
        <v>359.09712583660792</v>
      </c>
      <c r="AQ49" s="54">
        <f ca="1">AD49*AJ49/(AJ49+AK49)*2.71828^(-0.69315/半Cs134*(NOW()-R49)/365.25)+AD49*AK49/(AJ49+AK49)*2.71828^(-0.69315/半Cs137*(NOW()-R49)/365.25)</f>
        <v>130.02208968395169</v>
      </c>
      <c r="AS49" s="29"/>
    </row>
    <row r="50" spans="1:45" ht="9.9499999999999993" customHeight="1" x14ac:dyDescent="0.15">
      <c r="A50" s="8"/>
      <c r="R50" s="73">
        <v>41364</v>
      </c>
      <c r="S50" s="66">
        <f t="shared" si="23"/>
        <v>196.95793241838669</v>
      </c>
      <c r="T50" s="66">
        <f t="shared" si="24"/>
        <v>410.23245975317519</v>
      </c>
      <c r="U50" s="490">
        <f t="shared" si="22"/>
        <v>607.19039217156183</v>
      </c>
      <c r="V50" s="486">
        <f t="shared" si="25"/>
        <v>32.215783946459233</v>
      </c>
      <c r="W50" s="456">
        <f t="shared" si="26"/>
        <v>67.100421541585334</v>
      </c>
      <c r="X50" s="480">
        <f t="shared" si="27"/>
        <v>99.316205488044574</v>
      </c>
      <c r="Y50" s="483">
        <f t="shared" si="5"/>
        <v>1006.5329202101419</v>
      </c>
      <c r="Z50" s="476">
        <f t="shared" si="6"/>
        <v>50.326646010507098</v>
      </c>
      <c r="AA50" s="66">
        <f t="shared" si="28"/>
        <v>30.557855927799174</v>
      </c>
      <c r="AB50" s="66">
        <f t="shared" si="8"/>
        <v>130.84927962731845</v>
      </c>
      <c r="AC50" s="66">
        <f t="shared" si="29"/>
        <v>12.995453943429364</v>
      </c>
      <c r="AD50" s="89">
        <f t="shared" si="17"/>
        <v>435.53309871228532</v>
      </c>
      <c r="AE50" s="80">
        <f t="shared" si="31"/>
        <v>7.1159025569621376E-29</v>
      </c>
      <c r="AF50" s="55">
        <f t="shared" si="32"/>
        <v>0.50144838107852741</v>
      </c>
      <c r="AG50" s="55">
        <f t="shared" si="33"/>
        <v>0.95376968585741206</v>
      </c>
      <c r="AH50" s="55">
        <f t="shared" si="34"/>
        <v>1.4552180669359394</v>
      </c>
      <c r="AI50" s="54">
        <f t="shared" si="13"/>
        <v>727.60903346796977</v>
      </c>
      <c r="AJ50" s="54">
        <f t="shared" si="14"/>
        <v>2507.2419053926369</v>
      </c>
      <c r="AK50" s="54">
        <f t="shared" si="15"/>
        <v>4768.8484292870608</v>
      </c>
      <c r="AM50" s="473">
        <v>103.67867524959496</v>
      </c>
      <c r="AN50" s="473">
        <v>215.9464076889418</v>
      </c>
      <c r="AO50" s="66">
        <f t="shared" si="30"/>
        <v>319.62508293853676</v>
      </c>
      <c r="AQ50" s="54">
        <f ca="1">AD50*AJ50/(AJ50+AK50)*2.71828^(-0.69315/半Cs134*(NOW()-R50)/365.25)+AD50*AK50/(AJ50+AK50)*2.71828^(-0.69315/半Cs137*(NOW()-R50)/365.25)</f>
        <v>260.20150923348922</v>
      </c>
      <c r="AS50" s="29"/>
    </row>
    <row r="51" spans="1:45" ht="9.9499999999999993" customHeight="1" x14ac:dyDescent="0.15">
      <c r="A51" s="8"/>
      <c r="R51" s="73">
        <v>41394</v>
      </c>
      <c r="S51" s="66">
        <f t="shared" si="23"/>
        <v>277.73908454428442</v>
      </c>
      <c r="T51" s="66">
        <f t="shared" si="24"/>
        <v>596.0414178479574</v>
      </c>
      <c r="U51" s="490">
        <f t="shared" si="22"/>
        <v>873.78050239224171</v>
      </c>
      <c r="V51" s="486">
        <f t="shared" si="25"/>
        <v>45.428900635284869</v>
      </c>
      <c r="W51" s="456">
        <f t="shared" si="26"/>
        <v>97.492603139950802</v>
      </c>
      <c r="X51" s="480">
        <f t="shared" si="27"/>
        <v>142.92150377523566</v>
      </c>
      <c r="Y51" s="483">
        <f t="shared" si="5"/>
        <v>1020.7177647439579</v>
      </c>
      <c r="Z51" s="476">
        <f t="shared" si="6"/>
        <v>51.035888237197895</v>
      </c>
      <c r="AA51" s="66">
        <f t="shared" si="28"/>
        <v>44.594164063933071</v>
      </c>
      <c r="AB51" s="66">
        <f t="shared" si="8"/>
        <v>132.69330941671453</v>
      </c>
      <c r="AC51" s="66">
        <f t="shared" si="29"/>
        <v>18.964727322749482</v>
      </c>
      <c r="AD51" s="89">
        <f t="shared" si="17"/>
        <v>635.58891386682558</v>
      </c>
      <c r="AE51" s="80">
        <f t="shared" si="31"/>
        <v>5.3249948495041996E-30</v>
      </c>
      <c r="AF51" s="55">
        <f t="shared" si="32"/>
        <v>0.4877926845326423</v>
      </c>
      <c r="AG51" s="55">
        <f t="shared" si="33"/>
        <v>0.95196560089090099</v>
      </c>
      <c r="AH51" s="55">
        <f t="shared" si="34"/>
        <v>1.4397582854235433</v>
      </c>
      <c r="AI51" s="54">
        <f t="shared" si="13"/>
        <v>719.87914271177169</v>
      </c>
      <c r="AJ51" s="54">
        <f t="shared" si="14"/>
        <v>2438.9634226632115</v>
      </c>
      <c r="AK51" s="54">
        <f t="shared" si="15"/>
        <v>4759.8280044545045</v>
      </c>
      <c r="AM51" s="473">
        <v>165.83835031059999</v>
      </c>
      <c r="AN51" s="473">
        <v>355.89706653956932</v>
      </c>
      <c r="AO51" s="66">
        <f t="shared" si="30"/>
        <v>521.73541685016926</v>
      </c>
      <c r="AQ51" s="54">
        <f ca="1">AD51*AJ51/(AJ51+AK51)*2.71828^(-0.69315/半Cs134*(NOW()-R51)/365.25)+AD51*AK51/(AJ51+AK51)*2.71828^(-0.69315/半Cs137*(NOW()-R51)/365.25)</f>
        <v>383.79865734199211</v>
      </c>
      <c r="AS51" s="29"/>
    </row>
    <row r="52" spans="1:45" ht="9.9499999999999993" customHeight="1" x14ac:dyDescent="0.15">
      <c r="A52" s="8"/>
      <c r="R52" s="73">
        <v>41425</v>
      </c>
      <c r="S52" s="66">
        <f t="shared" si="23"/>
        <v>280.39567655079156</v>
      </c>
      <c r="T52" s="66">
        <f t="shared" si="24"/>
        <v>619.41350082707004</v>
      </c>
      <c r="U52" s="490">
        <f t="shared" si="22"/>
        <v>899.8091773778616</v>
      </c>
      <c r="V52" s="486">
        <f t="shared" si="25"/>
        <v>45.863430958916226</v>
      </c>
      <c r="W52" s="456">
        <f t="shared" si="26"/>
        <v>101.31550057997043</v>
      </c>
      <c r="X52" s="480">
        <f t="shared" si="27"/>
        <v>147.17893153888667</v>
      </c>
      <c r="Y52" s="483">
        <f t="shared" si="5"/>
        <v>1146.9073860777444</v>
      </c>
      <c r="Z52" s="476">
        <f t="shared" si="6"/>
        <v>57.345369303887225</v>
      </c>
      <c r="AA52" s="66">
        <f t="shared" si="28"/>
        <v>51.599889579760443</v>
      </c>
      <c r="AB52" s="66">
        <f t="shared" si="8"/>
        <v>149.09796019010676</v>
      </c>
      <c r="AC52" s="66">
        <f t="shared" si="29"/>
        <v>21.944078475407373</v>
      </c>
      <c r="AD52" s="89">
        <f t="shared" si="17"/>
        <v>735.43968055167829</v>
      </c>
      <c r="AE52" s="80">
        <f t="shared" si="31"/>
        <v>3.654921315417359E-31</v>
      </c>
      <c r="AF52" s="55">
        <f t="shared" si="32"/>
        <v>0.47407235849603085</v>
      </c>
      <c r="AG52" s="55">
        <f t="shared" si="33"/>
        <v>0.95010496468613248</v>
      </c>
      <c r="AH52" s="55">
        <f t="shared" si="34"/>
        <v>1.4241773231821633</v>
      </c>
      <c r="AI52" s="54">
        <f t="shared" si="13"/>
        <v>712.08866159108163</v>
      </c>
      <c r="AJ52" s="54">
        <f t="shared" si="14"/>
        <v>2370.3617924801542</v>
      </c>
      <c r="AK52" s="54">
        <f t="shared" si="15"/>
        <v>4750.5248234306628</v>
      </c>
      <c r="AM52" s="473">
        <v>233.9638030289768</v>
      </c>
      <c r="AN52" s="473">
        <v>516.84227119223203</v>
      </c>
      <c r="AO52" s="66">
        <f t="shared" si="30"/>
        <v>750.80607422120886</v>
      </c>
      <c r="AQ52" s="54">
        <f ca="1">AD52*AJ52/(AJ52+AK52)*2.71828^(-0.69315/半Cs134*(NOW()-R52)/365.25)+AD52*AK52/(AJ52+AK52)*2.71828^(-0.69315/半Cs137*(NOW()-R52)/365.25)</f>
        <v>448.95179901869011</v>
      </c>
      <c r="AS52" s="29"/>
    </row>
    <row r="53" spans="1:45" ht="9.9499999999999993" customHeight="1" x14ac:dyDescent="0.15">
      <c r="A53" s="8"/>
      <c r="R53" s="73">
        <v>41455</v>
      </c>
      <c r="S53" s="66">
        <f t="shared" si="23"/>
        <v>249.83938880276239</v>
      </c>
      <c r="T53" s="66">
        <f t="shared" si="24"/>
        <v>568.68140476369069</v>
      </c>
      <c r="U53" s="490">
        <f t="shared" si="22"/>
        <v>818.52079356645299</v>
      </c>
      <c r="V53" s="486">
        <f t="shared" si="25"/>
        <v>40.865435944400879</v>
      </c>
      <c r="W53" s="456">
        <f t="shared" si="26"/>
        <v>93.01741262859494</v>
      </c>
      <c r="X53" s="480">
        <f t="shared" si="27"/>
        <v>133.88284857299581</v>
      </c>
      <c r="Y53" s="483">
        <f t="shared" si="5"/>
        <v>1125.5178758327922</v>
      </c>
      <c r="Z53" s="476">
        <f t="shared" si="6"/>
        <v>56.275893791639618</v>
      </c>
      <c r="AA53" s="66">
        <f t="shared" si="28"/>
        <v>46.062989244994284</v>
      </c>
      <c r="AB53" s="66">
        <f t="shared" si="8"/>
        <v>146.31732385826299</v>
      </c>
      <c r="AC53" s="66">
        <f t="shared" si="29"/>
        <v>19.589380113721809</v>
      </c>
      <c r="AD53" s="89">
        <f t="shared" si="17"/>
        <v>656.52369358716101</v>
      </c>
      <c r="AE53" s="80">
        <f t="shared" si="31"/>
        <v>2.7350623514227466E-32</v>
      </c>
      <c r="AF53" s="55">
        <f t="shared" si="32"/>
        <v>0.46116217967664802</v>
      </c>
      <c r="AG53" s="55">
        <f t="shared" si="33"/>
        <v>0.94830781165347233</v>
      </c>
      <c r="AH53" s="55">
        <f t="shared" si="34"/>
        <v>1.4094699913301203</v>
      </c>
      <c r="AI53" s="54">
        <f t="shared" si="13"/>
        <v>704.73499566506018</v>
      </c>
      <c r="AJ53" s="54">
        <f t="shared" si="14"/>
        <v>2305.8108983832403</v>
      </c>
      <c r="AK53" s="54">
        <f t="shared" si="15"/>
        <v>4741.5390582673617</v>
      </c>
      <c r="AM53" s="473">
        <v>235.99730221839258</v>
      </c>
      <c r="AN53" s="473">
        <v>537.1742141586318</v>
      </c>
      <c r="AO53" s="66">
        <f t="shared" si="30"/>
        <v>773.17151637702432</v>
      </c>
      <c r="AQ53" s="54">
        <f ca="1">AD53*AJ53/(AJ53+AK53)*2.71828^(-0.69315/半Cs134*(NOW()-R53)/365.25)+AD53*AK53/(AJ53+AK53)*2.71828^(-0.69315/半Cs137*(NOW()-R53)/365.25)</f>
        <v>404.95922283745091</v>
      </c>
      <c r="AS53" s="29"/>
    </row>
    <row r="54" spans="1:45" ht="9.9499999999999993" customHeight="1" thickBot="1" x14ac:dyDescent="0.2">
      <c r="A54" s="8"/>
      <c r="R54" s="73">
        <v>41486</v>
      </c>
      <c r="S54" s="66">
        <f t="shared" si="23"/>
        <v>203.17260742788247</v>
      </c>
      <c r="T54" s="66">
        <f t="shared" si="24"/>
        <v>476.06381862770093</v>
      </c>
      <c r="U54" s="490">
        <f t="shared" si="22"/>
        <v>679.23642605558337</v>
      </c>
      <c r="V54" s="486">
        <f t="shared" si="25"/>
        <v>33.232298615074249</v>
      </c>
      <c r="W54" s="456">
        <f t="shared" si="26"/>
        <v>77.868247992456219</v>
      </c>
      <c r="X54" s="480">
        <f t="shared" si="27"/>
        <v>111.10054660753048</v>
      </c>
      <c r="Y54" s="483">
        <f t="shared" si="5"/>
        <v>1197.4599034380958</v>
      </c>
      <c r="Z54" s="476">
        <f t="shared" si="6"/>
        <v>59.87299517190479</v>
      </c>
      <c r="AA54" s="66">
        <f t="shared" si="28"/>
        <v>40.66791925780781</v>
      </c>
      <c r="AB54" s="66">
        <f t="shared" si="8"/>
        <v>155.66978744695245</v>
      </c>
      <c r="AC54" s="66">
        <f t="shared" si="29"/>
        <v>17.294998475634504</v>
      </c>
      <c r="AD54" s="89">
        <f t="shared" si="17"/>
        <v>579.62917733442305</v>
      </c>
      <c r="AE54" s="80">
        <f t="shared" si="31"/>
        <v>1.8772671091205407E-33</v>
      </c>
      <c r="AF54" s="55">
        <f t="shared" si="32"/>
        <v>0.44819089974246817</v>
      </c>
      <c r="AG54" s="55">
        <f t="shared" si="33"/>
        <v>0.94645432467245549</v>
      </c>
      <c r="AH54" s="55">
        <f t="shared" si="34"/>
        <v>1.3946452244149237</v>
      </c>
      <c r="AI54" s="54">
        <f t="shared" si="13"/>
        <v>697.32261220746182</v>
      </c>
      <c r="AJ54" s="54">
        <f t="shared" si="14"/>
        <v>2240.9544987123409</v>
      </c>
      <c r="AK54" s="54">
        <f t="shared" si="15"/>
        <v>4732.2716233622778</v>
      </c>
      <c r="AM54" s="473">
        <v>210.37751968720471</v>
      </c>
      <c r="AN54" s="473">
        <v>492.94600607645924</v>
      </c>
      <c r="AO54" s="66">
        <f t="shared" si="30"/>
        <v>703.32352576366395</v>
      </c>
      <c r="AQ54" s="54">
        <f ca="1">AD54*AJ54/(AJ54+AK54)*2.71828^(-0.69315/半Cs134*(NOW()-R54)/365.25)+AD54*AK54/(AJ54+AK54)*2.71828^(-0.69315/半Cs137*(NOW()-R54)/365.25)</f>
        <v>361.32933255785269</v>
      </c>
      <c r="AS54" s="29"/>
    </row>
    <row r="55" spans="1:45" ht="9.9499999999999993" customHeight="1" thickTop="1" x14ac:dyDescent="0.15">
      <c r="A55" s="8"/>
      <c r="C55" s="8" t="s">
        <v>86</v>
      </c>
      <c r="L55" s="524">
        <f ca="1">SUM(AQ33:AQ121)/10/1000</f>
        <v>1.9125406932647402</v>
      </c>
      <c r="M55" s="525"/>
      <c r="R55" s="73">
        <v>41517</v>
      </c>
      <c r="S55" s="66">
        <f t="shared" si="23"/>
        <v>177.48238511916301</v>
      </c>
      <c r="T55" s="66">
        <f t="shared" si="24"/>
        <v>428.45739496341622</v>
      </c>
      <c r="U55" s="490">
        <f t="shared" si="22"/>
        <v>605.9397800825792</v>
      </c>
      <c r="V55" s="486">
        <f t="shared" si="25"/>
        <v>29.030230481681564</v>
      </c>
      <c r="W55" s="456">
        <f t="shared" si="26"/>
        <v>70.081416355869507</v>
      </c>
      <c r="X55" s="480">
        <f t="shared" si="27"/>
        <v>99.111646837551064</v>
      </c>
      <c r="Y55" s="483">
        <f t="shared" si="5"/>
        <v>1214.2791833404021</v>
      </c>
      <c r="Z55" s="476">
        <f t="shared" si="6"/>
        <v>60.713959167020107</v>
      </c>
      <c r="AA55" s="66">
        <f t="shared" si="28"/>
        <v>36.789003065606856</v>
      </c>
      <c r="AB55" s="66">
        <f t="shared" si="8"/>
        <v>157.85629383425228</v>
      </c>
      <c r="AC55" s="66">
        <f t="shared" si="29"/>
        <v>15.645397245585102</v>
      </c>
      <c r="AD55" s="89">
        <f t="shared" si="17"/>
        <v>524.34400311191962</v>
      </c>
      <c r="AE55" s="80">
        <f t="shared" si="31"/>
        <v>1.2885014475639218E-34</v>
      </c>
      <c r="AF55" s="55">
        <f t="shared" si="32"/>
        <v>0.43558446781739618</v>
      </c>
      <c r="AG55" s="55">
        <f t="shared" si="33"/>
        <v>0.94460446036958878</v>
      </c>
      <c r="AH55" s="55">
        <f t="shared" si="34"/>
        <v>1.380188928186985</v>
      </c>
      <c r="AI55" s="54">
        <f t="shared" si="13"/>
        <v>690.09446409349243</v>
      </c>
      <c r="AJ55" s="54">
        <f t="shared" si="14"/>
        <v>2177.9223390869811</v>
      </c>
      <c r="AK55" s="54">
        <f t="shared" si="15"/>
        <v>4723.0223018479437</v>
      </c>
      <c r="AM55" s="473">
        <v>170.95121332497234</v>
      </c>
      <c r="AN55" s="473">
        <v>412.69059731125117</v>
      </c>
      <c r="AO55" s="66">
        <f t="shared" si="30"/>
        <v>583.64181063622345</v>
      </c>
      <c r="AQ55" s="54">
        <f ca="1">AD55*AJ55/(AJ55+AK55)*2.71828^(-0.69315/半Cs134*(NOW()-R55)/365.25)+AD55*AK55/(AJ55+AK55)*2.71828^(-0.69315/半Cs137*(NOW()-R55)/365.25)</f>
        <v>330.28928907733842</v>
      </c>
      <c r="AS55" s="29"/>
    </row>
    <row r="56" spans="1:45" ht="9.9499999999999993" customHeight="1" thickBot="1" x14ac:dyDescent="0.2">
      <c r="A56" s="8"/>
      <c r="D56" s="519" t="s">
        <v>83</v>
      </c>
      <c r="E56" s="520"/>
      <c r="F56" s="520"/>
      <c r="G56" s="520"/>
      <c r="H56" s="520"/>
      <c r="I56" s="520"/>
      <c r="J56" s="520"/>
      <c r="L56" s="526"/>
      <c r="M56" s="527"/>
      <c r="N56" s="92" t="s">
        <v>82</v>
      </c>
      <c r="R56" s="73">
        <v>41547</v>
      </c>
      <c r="S56" s="66">
        <f t="shared" si="23"/>
        <v>153.99814835698274</v>
      </c>
      <c r="T56" s="66">
        <f t="shared" si="24"/>
        <v>382.91351198561</v>
      </c>
      <c r="U56" s="490">
        <f t="shared" si="22"/>
        <v>536.91166034259277</v>
      </c>
      <c r="V56" s="486">
        <f t="shared" si="25"/>
        <v>25.188988403293116</v>
      </c>
      <c r="W56" s="456">
        <f t="shared" si="26"/>
        <v>62.631947953758804</v>
      </c>
      <c r="X56" s="480">
        <f t="shared" si="27"/>
        <v>87.82093635705192</v>
      </c>
      <c r="Y56" s="483">
        <f t="shared" si="5"/>
        <v>1125.9339558177844</v>
      </c>
      <c r="Z56" s="476">
        <f t="shared" si="6"/>
        <v>56.296697790889226</v>
      </c>
      <c r="AA56" s="66">
        <f t="shared" si="28"/>
        <v>30.226353482711506</v>
      </c>
      <c r="AB56" s="66">
        <f t="shared" si="8"/>
        <v>146.37141425631197</v>
      </c>
      <c r="AC56" s="66">
        <f t="shared" si="29"/>
        <v>12.854474655895256</v>
      </c>
      <c r="AD56" s="89">
        <f t="shared" si="17"/>
        <v>430.80828138606762</v>
      </c>
      <c r="AE56" s="80">
        <f t="shared" si="31"/>
        <v>9.6421550420804856E-36</v>
      </c>
      <c r="AF56" s="55">
        <f t="shared" si="32"/>
        <v>0.42372241075018297</v>
      </c>
      <c r="AG56" s="55">
        <f t="shared" si="33"/>
        <v>0.94281771171158302</v>
      </c>
      <c r="AH56" s="55">
        <f t="shared" si="34"/>
        <v>1.3665401224617659</v>
      </c>
      <c r="AI56" s="54">
        <f t="shared" si="13"/>
        <v>683.27006123088302</v>
      </c>
      <c r="AJ56" s="54">
        <f t="shared" si="14"/>
        <v>2118.612053750915</v>
      </c>
      <c r="AK56" s="54">
        <f t="shared" si="15"/>
        <v>4714.0885585579153</v>
      </c>
      <c r="AM56" s="473">
        <v>149.33704588042201</v>
      </c>
      <c r="AN56" s="473">
        <v>371.32376796552376</v>
      </c>
      <c r="AO56" s="66">
        <f t="shared" si="30"/>
        <v>520.66081384594577</v>
      </c>
      <c r="AQ56" s="54">
        <f ca="1">AD56*AJ56/(AJ56+AK56)*2.71828^(-0.69315/半Cs134*(NOW()-R56)/365.25)+AD56*AK56/(AJ56+AK56)*2.71828^(-0.69315/半Cs137*(NOW()-R56)/365.25)</f>
        <v>274.08065265115357</v>
      </c>
      <c r="AS56" s="29"/>
    </row>
    <row r="57" spans="1:45" ht="9.9499999999999993" customHeight="1" thickTop="1" x14ac:dyDescent="0.15">
      <c r="A57" s="8"/>
      <c r="D57" s="520"/>
      <c r="E57" s="520"/>
      <c r="F57" s="520"/>
      <c r="G57" s="520"/>
      <c r="H57" s="520"/>
      <c r="I57" s="520"/>
      <c r="J57" s="520"/>
      <c r="R57" s="73">
        <v>41578</v>
      </c>
      <c r="S57" s="456">
        <f t="shared" si="23"/>
        <v>120.94290774744007</v>
      </c>
      <c r="T57" s="66">
        <f t="shared" si="24"/>
        <v>309.44683627690432</v>
      </c>
      <c r="U57" s="490">
        <f t="shared" si="22"/>
        <v>430.3897440243444</v>
      </c>
      <c r="V57" s="486">
        <f t="shared" si="25"/>
        <v>19.782247599814617</v>
      </c>
      <c r="W57" s="456">
        <f t="shared" si="26"/>
        <v>50.615236959511492</v>
      </c>
      <c r="X57" s="480">
        <f t="shared" si="27"/>
        <v>70.397484559326102</v>
      </c>
      <c r="Y57" s="483">
        <f t="shared" si="5"/>
        <v>1158.5147648771283</v>
      </c>
      <c r="Z57" s="476">
        <f t="shared" si="6"/>
        <v>57.925738243856415</v>
      </c>
      <c r="AA57" s="66">
        <f t="shared" si="28"/>
        <v>24.93064365519454</v>
      </c>
      <c r="AB57" s="66">
        <f t="shared" si="8"/>
        <v>150.60691943402668</v>
      </c>
      <c r="AC57" s="66">
        <f t="shared" si="29"/>
        <v>10.602348285384563</v>
      </c>
      <c r="AD57" s="89">
        <f t="shared" si="17"/>
        <v>355.32991940579103</v>
      </c>
      <c r="AE57" s="80">
        <f t="shared" si="31"/>
        <v>6.6180942866338505E-37</v>
      </c>
      <c r="AF57" s="55">
        <f t="shared" si="32"/>
        <v>0.41180421310422693</v>
      </c>
      <c r="AG57" s="55">
        <f t="shared" si="33"/>
        <v>0.94097495524300301</v>
      </c>
      <c r="AH57" s="55">
        <f t="shared" si="34"/>
        <v>1.3527791683472299</v>
      </c>
      <c r="AI57" s="54">
        <f t="shared" si="13"/>
        <v>676.38958417361505</v>
      </c>
      <c r="AJ57" s="54">
        <f t="shared" si="14"/>
        <v>2059.0210655211345</v>
      </c>
      <c r="AK57" s="54">
        <f t="shared" si="15"/>
        <v>4704.8747762150151</v>
      </c>
      <c r="AM57" s="473">
        <v>129.64230851652673</v>
      </c>
      <c r="AN57" s="473">
        <v>331.7052894234115</v>
      </c>
      <c r="AO57" s="66">
        <f t="shared" si="30"/>
        <v>461.34759793993823</v>
      </c>
      <c r="AQ57" s="54">
        <f ca="1">AD57*AJ57/(AJ57+AK57)*2.71828^(-0.69315/半Cs134*(NOW()-R57)/365.25)+AD57*AK57/(AJ57+AK57)*2.71828^(-0.69315/半Cs137*(NOW()-R57)/365.25)</f>
        <v>228.36082039648849</v>
      </c>
      <c r="AS57" s="29"/>
    </row>
    <row r="58" spans="1:45" ht="9.9499999999999993" customHeight="1" x14ac:dyDescent="0.15">
      <c r="A58" s="8"/>
      <c r="R58" s="73">
        <v>41608</v>
      </c>
      <c r="S58" s="456">
        <f t="shared" si="23"/>
        <v>84.171322383052214</v>
      </c>
      <c r="T58" s="66">
        <f t="shared" si="24"/>
        <v>221.73978667613926</v>
      </c>
      <c r="U58" s="490">
        <f t="shared" si="22"/>
        <v>305.91110905919146</v>
      </c>
      <c r="V58" s="486">
        <f t="shared" si="25"/>
        <v>13.767636078855572</v>
      </c>
      <c r="W58" s="456">
        <f t="shared" si="26"/>
        <v>36.269273200522235</v>
      </c>
      <c r="X58" s="480">
        <f t="shared" si="27"/>
        <v>50.036909279377809</v>
      </c>
      <c r="Y58" s="483">
        <f t="shared" si="5"/>
        <v>1047.9443132673064</v>
      </c>
      <c r="Z58" s="476">
        <f t="shared" si="6"/>
        <v>52.397215663365323</v>
      </c>
      <c r="AA58" s="66">
        <f t="shared" si="28"/>
        <v>16.028890355193724</v>
      </c>
      <c r="AB58" s="66">
        <f t="shared" si="8"/>
        <v>136.23276072474982</v>
      </c>
      <c r="AC58" s="66">
        <f t="shared" si="29"/>
        <v>6.8166662892634911</v>
      </c>
      <c r="AD58" s="89">
        <f t="shared" si="17"/>
        <v>228.45556644457216</v>
      </c>
      <c r="AE58" s="80">
        <f t="shared" si="31"/>
        <v>4.9524733802570308E-38</v>
      </c>
      <c r="AF58" s="55">
        <f t="shared" si="32"/>
        <v>0.4005897519898583</v>
      </c>
      <c r="AG58" s="55">
        <f t="shared" si="33"/>
        <v>0.93919507190660667</v>
      </c>
      <c r="AH58" s="55">
        <f t="shared" si="34"/>
        <v>1.3397848238964649</v>
      </c>
      <c r="AI58" s="54">
        <f t="shared" si="13"/>
        <v>669.89241194823251</v>
      </c>
      <c r="AJ58" s="54">
        <f t="shared" si="14"/>
        <v>2002.9487599492916</v>
      </c>
      <c r="AK58" s="54">
        <f t="shared" si="15"/>
        <v>4695.975359533033</v>
      </c>
      <c r="AM58" s="473">
        <v>101.75511358546811</v>
      </c>
      <c r="AN58" s="473">
        <v>268.06228702177407</v>
      </c>
      <c r="AO58" s="66">
        <f t="shared" si="30"/>
        <v>369.81740060724218</v>
      </c>
      <c r="AQ58" s="54">
        <f ca="1">AD58*AJ58/(AJ58+AK58)*2.71828^(-0.69315/半Cs134*(NOW()-R58)/365.25)+AD58*AK58/(AJ58+AK58)*2.71828^(-0.69315/半Cs137*(NOW()-R58)/365.25)</f>
        <v>148.24614687948306</v>
      </c>
      <c r="AS58" s="29"/>
    </row>
    <row r="59" spans="1:45" ht="9.9499999999999993" customHeight="1" x14ac:dyDescent="0.15">
      <c r="A59" s="8"/>
      <c r="R59" s="73">
        <v>41639</v>
      </c>
      <c r="S59" s="456">
        <f t="shared" si="23"/>
        <v>71.695173688246314</v>
      </c>
      <c r="T59" s="66">
        <f t="shared" si="24"/>
        <v>194.25122456970036</v>
      </c>
      <c r="U59" s="490">
        <f t="shared" si="22"/>
        <v>265.94639825794667</v>
      </c>
      <c r="V59" s="486">
        <f t="shared" si="25"/>
        <v>11.726952030741321</v>
      </c>
      <c r="W59" s="456">
        <f t="shared" si="26"/>
        <v>31.773056333568611</v>
      </c>
      <c r="X59" s="480">
        <f t="shared" si="27"/>
        <v>43.500008364309934</v>
      </c>
      <c r="Y59" s="483">
        <f t="shared" si="5"/>
        <v>1051.7687747976297</v>
      </c>
      <c r="Z59" s="476">
        <f t="shared" si="6"/>
        <v>52.588438739881489</v>
      </c>
      <c r="AA59" s="66">
        <f t="shared" si="28"/>
        <v>13.985705872880153</v>
      </c>
      <c r="AB59" s="66">
        <f t="shared" si="8"/>
        <v>136.72994072369187</v>
      </c>
      <c r="AC59" s="66">
        <f t="shared" si="29"/>
        <v>5.9477535651321976</v>
      </c>
      <c r="AD59" s="89">
        <f t="shared" si="17"/>
        <v>199.33459438012349</v>
      </c>
      <c r="AE59" s="80">
        <f t="shared" si="31"/>
        <v>3.3992334327278875E-39</v>
      </c>
      <c r="AF59" s="55">
        <f t="shared" si="32"/>
        <v>0.38932221522986743</v>
      </c>
      <c r="AG59" s="55">
        <f t="shared" si="33"/>
        <v>0.93735939596149476</v>
      </c>
      <c r="AH59" s="55">
        <f t="shared" si="34"/>
        <v>1.3266816111913622</v>
      </c>
      <c r="AI59" s="54">
        <f t="shared" si="13"/>
        <v>663.3408055956811</v>
      </c>
      <c r="AJ59" s="54">
        <f t="shared" si="14"/>
        <v>1946.6110761493371</v>
      </c>
      <c r="AK59" s="54">
        <f t="shared" si="15"/>
        <v>4686.7969798074737</v>
      </c>
      <c r="AM59" s="473">
        <v>70.862502391671043</v>
      </c>
      <c r="AN59" s="473">
        <v>191.99518123089607</v>
      </c>
      <c r="AO59" s="66">
        <f t="shared" si="30"/>
        <v>262.85768362256709</v>
      </c>
      <c r="AQ59" s="54">
        <f ca="1">AD59*AJ59/(AJ59+AK59)*2.71828^(-0.69315/半Cs134*(NOW()-R59)/365.25)+AD59*AK59/(AJ59+AK59)*2.71828^(-0.69315/半Cs137*(NOW()-R59)/365.25)</f>
        <v>130.62692130715175</v>
      </c>
      <c r="AS59" s="29"/>
    </row>
    <row r="60" spans="1:45" ht="9.9499999999999993" customHeight="1" x14ac:dyDescent="0.15">
      <c r="A60" s="8"/>
      <c r="R60" s="73">
        <v>41670</v>
      </c>
      <c r="S60" s="456">
        <f t="shared" si="23"/>
        <v>61.746622250564862</v>
      </c>
      <c r="T60" s="66">
        <f t="shared" si="24"/>
        <v>172.18570227346484</v>
      </c>
      <c r="U60" s="490">
        <f t="shared" si="22"/>
        <v>233.9323245240297</v>
      </c>
      <c r="V60" s="486">
        <f t="shared" si="25"/>
        <v>10.099699044475397</v>
      </c>
      <c r="W60" s="456">
        <f t="shared" si="26"/>
        <v>28.163868877989181</v>
      </c>
      <c r="X60" s="480">
        <f t="shared" si="27"/>
        <v>38.263567922464574</v>
      </c>
      <c r="Y60" s="483">
        <f t="shared" si="5"/>
        <v>963.684786301793</v>
      </c>
      <c r="Z60" s="476">
        <f t="shared" si="6"/>
        <v>48.184239315089656</v>
      </c>
      <c r="AA60" s="66">
        <f t="shared" si="28"/>
        <v>11.271851108401064</v>
      </c>
      <c r="AB60" s="66">
        <f t="shared" si="8"/>
        <v>125.2790222192331</v>
      </c>
      <c r="AC60" s="66">
        <f t="shared" si="29"/>
        <v>4.7936223759455743</v>
      </c>
      <c r="AD60" s="89">
        <f t="shared" si="17"/>
        <v>160.6547348434664</v>
      </c>
      <c r="AE60" s="80">
        <f t="shared" si="31"/>
        <v>2.3331347880107796E-40</v>
      </c>
      <c r="AF60" s="55">
        <f t="shared" si="32"/>
        <v>0.37837160466184006</v>
      </c>
      <c r="AG60" s="55">
        <f t="shared" si="33"/>
        <v>0.93552730788249949</v>
      </c>
      <c r="AH60" s="55">
        <f t="shared" si="34"/>
        <v>1.3138989125443397</v>
      </c>
      <c r="AI60" s="54">
        <f t="shared" si="13"/>
        <v>656.94945627216975</v>
      </c>
      <c r="AJ60" s="54">
        <f t="shared" si="14"/>
        <v>1891.8580233092002</v>
      </c>
      <c r="AK60" s="54">
        <f t="shared" si="15"/>
        <v>4677.6365394124978</v>
      </c>
      <c r="AM60" s="473">
        <v>60.317385686309684</v>
      </c>
      <c r="AN60" s="473">
        <v>168.20015468298203</v>
      </c>
      <c r="AO60" s="66">
        <f t="shared" si="30"/>
        <v>228.51754036929171</v>
      </c>
      <c r="AQ60" s="54">
        <f ca="1">AD60*AJ60/(AJ60+AK60)*2.71828^(-0.69315/半Cs134*(NOW()-R60)/365.25)+AD60*AK60/(AJ60+AK60)*2.71828^(-0.69315/半Cs137*(NOW()-R60)/365.25)</f>
        <v>106.30368034900688</v>
      </c>
      <c r="AS60" s="29"/>
    </row>
    <row r="61" spans="1:45" ht="9.9499999999999993" customHeight="1" x14ac:dyDescent="0.15">
      <c r="A61" s="8"/>
      <c r="R61" s="73">
        <v>41698</v>
      </c>
      <c r="S61" s="456">
        <f t="shared" si="23"/>
        <v>54.383028310866585</v>
      </c>
      <c r="T61" s="66">
        <f t="shared" si="24"/>
        <v>156.02609069116639</v>
      </c>
      <c r="U61" s="490">
        <f t="shared" si="22"/>
        <v>210.40911900203298</v>
      </c>
      <c r="V61" s="486">
        <f t="shared" si="25"/>
        <v>8.8952593526184849</v>
      </c>
      <c r="W61" s="456">
        <f t="shared" si="26"/>
        <v>25.520692495084443</v>
      </c>
      <c r="X61" s="480">
        <f t="shared" si="27"/>
        <v>34.415951847702928</v>
      </c>
      <c r="Y61" s="483">
        <f t="shared" si="5"/>
        <v>824.60535854140812</v>
      </c>
      <c r="Z61" s="476">
        <f t="shared" si="6"/>
        <v>41.230267927070408</v>
      </c>
      <c r="AA61" s="66">
        <f t="shared" si="28"/>
        <v>8.6752243507526625</v>
      </c>
      <c r="AB61" s="66">
        <f t="shared" si="8"/>
        <v>107.19869661038305</v>
      </c>
      <c r="AC61" s="66">
        <f t="shared" si="29"/>
        <v>3.6893451806794584</v>
      </c>
      <c r="AD61" s="89">
        <f t="shared" si="17"/>
        <v>123.64569531432122</v>
      </c>
      <c r="AE61" s="80">
        <f t="shared" ref="AE61:AE121" si="35">1*2.71828^(-0.69315/半I131*(R61-事故日)/365.25)</f>
        <v>2.0753423521707304E-41</v>
      </c>
      <c r="AF61" s="55">
        <f t="shared" ref="AF61:AF121" si="36">1*2.71828^(-0.69315/半Cs134*(R61-事故日)/365.25)</f>
        <v>0.36874571547644858</v>
      </c>
      <c r="AG61" s="55">
        <f t="shared" ref="AG61:AG121" si="37">1*2.71828^(-0.69315/半Cs137*(R61-事故日)/365.25)</f>
        <v>0.93387559666403686</v>
      </c>
      <c r="AH61" s="55">
        <f t="shared" ref="AH61:AH121" si="38">AF61+AG61</f>
        <v>1.3026213121404855</v>
      </c>
      <c r="AI61" s="54">
        <f t="shared" si="13"/>
        <v>651.31065607024266</v>
      </c>
      <c r="AJ61" s="54">
        <f t="shared" si="14"/>
        <v>1843.728577382243</v>
      </c>
      <c r="AK61" s="54">
        <f t="shared" si="15"/>
        <v>4669.3779833201843</v>
      </c>
      <c r="AM61" s="473">
        <v>51.953462130357451</v>
      </c>
      <c r="AN61" s="473">
        <v>149.05561249246404</v>
      </c>
      <c r="AO61" s="66">
        <f t="shared" si="30"/>
        <v>201.00907462282149</v>
      </c>
      <c r="AQ61" s="54">
        <f ca="1">AD61*AJ61/(AJ61+AK61)*2.71828^(-0.69315/半Cs134*(NOW()-R61)/365.25)+AD61*AK61/(AJ61+AK61)*2.71828^(-0.69315/半Cs137*(NOW()-R61)/365.25)</f>
        <v>82.523482280446359</v>
      </c>
      <c r="AS61" s="29"/>
    </row>
    <row r="62" spans="1:45" ht="9.9499999999999993" customHeight="1" x14ac:dyDescent="0.15">
      <c r="A62" s="8"/>
      <c r="R62" s="73">
        <v>41729</v>
      </c>
      <c r="S62" s="456">
        <f t="shared" si="23"/>
        <v>88.132910206554385</v>
      </c>
      <c r="T62" s="66">
        <f t="shared" si="24"/>
        <v>259.33778585201696</v>
      </c>
      <c r="U62" s="490">
        <f t="shared" si="22"/>
        <v>347.47069605857138</v>
      </c>
      <c r="V62" s="486">
        <f t="shared" si="25"/>
        <v>14.415620426781004</v>
      </c>
      <c r="W62" s="456">
        <f t="shared" si="26"/>
        <v>42.419058605946979</v>
      </c>
      <c r="X62" s="480">
        <f t="shared" si="27"/>
        <v>56.834679032727983</v>
      </c>
      <c r="Y62" s="483">
        <f t="shared" si="5"/>
        <v>999.69632735906964</v>
      </c>
      <c r="Z62" s="476">
        <f t="shared" si="6"/>
        <v>49.984816367953485</v>
      </c>
      <c r="AA62" s="66">
        <f t="shared" si="28"/>
        <v>17.368258935732669</v>
      </c>
      <c r="AB62" s="66">
        <f t="shared" si="8"/>
        <v>129.96052255667905</v>
      </c>
      <c r="AC62" s="66">
        <f t="shared" si="29"/>
        <v>7.3862645864344598</v>
      </c>
      <c r="AD62" s="89">
        <f t="shared" si="17"/>
        <v>247.54523522167131</v>
      </c>
      <c r="AE62" s="80">
        <f t="shared" si="35"/>
        <v>1.4244545232646259E-42</v>
      </c>
      <c r="AF62" s="55">
        <f t="shared" si="36"/>
        <v>0.35837386776047103</v>
      </c>
      <c r="AG62" s="55">
        <f t="shared" si="37"/>
        <v>0.93205031774190272</v>
      </c>
      <c r="AH62" s="55">
        <f t="shared" si="38"/>
        <v>1.2904241855023737</v>
      </c>
      <c r="AI62" s="54">
        <f t="shared" si="13"/>
        <v>645.2120927511869</v>
      </c>
      <c r="AJ62" s="54">
        <f t="shared" si="14"/>
        <v>1791.8693388023551</v>
      </c>
      <c r="AK62" s="54">
        <f t="shared" si="15"/>
        <v>4660.2515887095133</v>
      </c>
      <c r="AM62" s="473">
        <v>45.857451210423051</v>
      </c>
      <c r="AN62" s="473">
        <v>134.93903507617941</v>
      </c>
      <c r="AO62" s="66">
        <f t="shared" si="30"/>
        <v>180.79648628660246</v>
      </c>
      <c r="AQ62" s="54">
        <f ca="1">AD62*AJ62/(AJ62+AK62)*2.71828^(-0.69315/半Cs134*(NOW()-R62)/365.25)+AD62*AK62/(AJ62+AK62)*2.71828^(-0.69315/半Cs137*(NOW()-R62)/365.25)</f>
        <v>166.77801529799936</v>
      </c>
      <c r="AS62" s="29"/>
    </row>
    <row r="63" spans="1:45" ht="9.9499999999999993" customHeight="1" x14ac:dyDescent="0.15">
      <c r="A63" s="8"/>
      <c r="R63" s="73">
        <v>41759</v>
      </c>
      <c r="S63" s="456">
        <f t="shared" si="23"/>
        <v>125.64246909743669</v>
      </c>
      <c r="T63" s="66">
        <f t="shared" si="24"/>
        <v>380.04040405227181</v>
      </c>
      <c r="U63" s="490">
        <f t="shared" si="22"/>
        <v>505.68287314970848</v>
      </c>
      <c r="V63" s="486">
        <f t="shared" si="25"/>
        <v>20.550939935460235</v>
      </c>
      <c r="W63" s="456">
        <f t="shared" si="26"/>
        <v>62.162002807103512</v>
      </c>
      <c r="X63" s="480">
        <f t="shared" si="27"/>
        <v>82.71294274256374</v>
      </c>
      <c r="Y63" s="483">
        <f t="shared" si="5"/>
        <v>1075.8466772786992</v>
      </c>
      <c r="Z63" s="476">
        <f t="shared" si="6"/>
        <v>53.792333863934964</v>
      </c>
      <c r="AA63" s="66">
        <f t="shared" si="28"/>
        <v>27.20186194174299</v>
      </c>
      <c r="AB63" s="66">
        <f t="shared" si="8"/>
        <v>139.86006804623091</v>
      </c>
      <c r="AC63" s="66">
        <f t="shared" si="29"/>
        <v>11.568237800278967</v>
      </c>
      <c r="AD63" s="89">
        <f t="shared" si="17"/>
        <v>387.70099742021955</v>
      </c>
      <c r="AE63" s="80">
        <f t="shared" si="35"/>
        <v>1.0659523425198939E-43</v>
      </c>
      <c r="AF63" s="55">
        <f t="shared" si="36"/>
        <v>0.34861444889947824</v>
      </c>
      <c r="AG63" s="55">
        <f t="shared" si="37"/>
        <v>0.93028731563436728</v>
      </c>
      <c r="AH63" s="55">
        <f t="shared" si="38"/>
        <v>1.2789017645338454</v>
      </c>
      <c r="AI63" s="54">
        <f t="shared" si="13"/>
        <v>639.45088226692269</v>
      </c>
      <c r="AJ63" s="54">
        <f t="shared" si="14"/>
        <v>1743.0722444973912</v>
      </c>
      <c r="AK63" s="54">
        <f t="shared" si="15"/>
        <v>4651.4365781718361</v>
      </c>
      <c r="AM63" s="473">
        <v>74.18256226289806</v>
      </c>
      <c r="AN63" s="473">
        <v>224.38568056284529</v>
      </c>
      <c r="AO63" s="66">
        <f t="shared" si="30"/>
        <v>298.56824282574337</v>
      </c>
      <c r="AQ63" s="54">
        <f ca="1">AD63*AJ63/(AJ63+AK63)*2.71828^(-0.69315/半Cs134*(NOW()-R63)/365.25)+AD63*AK63/(AJ63+AK63)*2.71828^(-0.69315/半Cs137*(NOW()-R63)/365.25)</f>
        <v>263.55815323731656</v>
      </c>
      <c r="AS63" s="29"/>
    </row>
    <row r="64" spans="1:45" ht="9.9499999999999993" customHeight="1" x14ac:dyDescent="0.15">
      <c r="A64" s="8"/>
      <c r="R64" s="73">
        <v>41790</v>
      </c>
      <c r="S64" s="456">
        <f t="shared" si="23"/>
        <v>128.38655708568712</v>
      </c>
      <c r="T64" s="66">
        <f t="shared" si="24"/>
        <v>398.67713700277227</v>
      </c>
      <c r="U64" s="490">
        <f t="shared" si="22"/>
        <v>527.06369408845933</v>
      </c>
      <c r="V64" s="486">
        <f t="shared" si="25"/>
        <v>20.999781699150972</v>
      </c>
      <c r="W64" s="456">
        <f t="shared" si="26"/>
        <v>65.210354070894155</v>
      </c>
      <c r="X64" s="480">
        <f t="shared" si="27"/>
        <v>86.210135770045127</v>
      </c>
      <c r="Y64" s="483">
        <f t="shared" si="5"/>
        <v>1208.8517933923258</v>
      </c>
      <c r="Z64" s="476">
        <f t="shared" si="6"/>
        <v>60.442589669616297</v>
      </c>
      <c r="AA64" s="66">
        <f t="shared" si="28"/>
        <v>31.857094591540918</v>
      </c>
      <c r="AB64" s="66">
        <f t="shared" si="8"/>
        <v>157.15073314100235</v>
      </c>
      <c r="AC64" s="66">
        <f t="shared" si="29"/>
        <v>13.547986040447942</v>
      </c>
      <c r="AD64" s="89">
        <f t="shared" si="17"/>
        <v>454.05080631988858</v>
      </c>
      <c r="AE64" s="80">
        <f t="shared" si="35"/>
        <v>7.3163863027168415E-45</v>
      </c>
      <c r="AF64" s="55">
        <f t="shared" si="36"/>
        <v>0.33880884079660717</v>
      </c>
      <c r="AG64" s="55">
        <f t="shared" si="37"/>
        <v>0.92846905008077352</v>
      </c>
      <c r="AH64" s="55">
        <f t="shared" si="38"/>
        <v>1.2672778908773807</v>
      </c>
      <c r="AI64" s="54">
        <f t="shared" si="13"/>
        <v>633.63894543869037</v>
      </c>
      <c r="AJ64" s="54">
        <f t="shared" si="14"/>
        <v>1694.0442039830359</v>
      </c>
      <c r="AK64" s="54">
        <f t="shared" si="15"/>
        <v>4642.3452504038678</v>
      </c>
      <c r="AM64" s="473">
        <v>105.84250840758911</v>
      </c>
      <c r="AN64" s="473">
        <v>328.67139039305005</v>
      </c>
      <c r="AO64" s="66">
        <f t="shared" si="30"/>
        <v>434.51389880063914</v>
      </c>
      <c r="AQ64" s="54">
        <f ca="1">AD64*AJ64/(AJ64+AK64)*2.71828^(-0.69315/半Cs134*(NOW()-R64)/365.25)+AD64*AK64/(AJ64+AK64)*2.71828^(-0.69315/半Cs137*(NOW()-R64)/365.25)</f>
        <v>311.49373564851209</v>
      </c>
      <c r="AS64" s="29"/>
    </row>
    <row r="65" spans="1:45" ht="9.9499999999999993" customHeight="1" x14ac:dyDescent="0.15">
      <c r="A65" s="8"/>
      <c r="R65" s="73">
        <v>41820</v>
      </c>
      <c r="S65" s="456">
        <f t="shared" si="23"/>
        <v>115.80023716241209</v>
      </c>
      <c r="T65" s="66">
        <f t="shared" si="24"/>
        <v>369.29210120754243</v>
      </c>
      <c r="U65" s="490">
        <f t="shared" si="22"/>
        <v>485.09233836995452</v>
      </c>
      <c r="V65" s="486">
        <f t="shared" si="25"/>
        <v>18.941077292831814</v>
      </c>
      <c r="W65" s="456">
        <f t="shared" si="26"/>
        <v>60.403937021251522</v>
      </c>
      <c r="X65" s="480">
        <f t="shared" si="27"/>
        <v>79.345014314083329</v>
      </c>
      <c r="Y65" s="483">
        <f t="shared" ref="Y65:Y96" si="39">IF(MONTH(R65)&lt;=3,(INDEX(月値割合表,MATCH(MONTH(R65),月,0),2)*INDEX(年度別焼却量,MATCH(YEAR(R65)-1,年度,0),2)),(INDEX(月値割合表,MATCH(MONTH(R65),月,0),2)*INDEX(年度別焼却量,MATCH(YEAR(R65),年度,0),2)))</f>
        <v>1186.3070368293568</v>
      </c>
      <c r="Z65" s="476">
        <f t="shared" ref="Z65:Z96" si="40">Y65*飛灰発生率</f>
        <v>59.315351841467844</v>
      </c>
      <c r="AA65" s="66">
        <f t="shared" si="28"/>
        <v>28.773422726014225</v>
      </c>
      <c r="AB65" s="66">
        <f t="shared" ref="AB65:AB96" si="41">Y65*主灰発生率</f>
        <v>154.21991478781638</v>
      </c>
      <c r="AC65" s="66">
        <f t="shared" si="29"/>
        <v>12.236581346356003</v>
      </c>
      <c r="AD65" s="89">
        <f t="shared" si="17"/>
        <v>410.10004072370231</v>
      </c>
      <c r="AE65" s="80">
        <f t="shared" si="35"/>
        <v>5.475021484215217E-46</v>
      </c>
      <c r="AF65" s="55">
        <f t="shared" si="36"/>
        <v>0.32958222666928594</v>
      </c>
      <c r="AG65" s="55">
        <f t="shared" si="37"/>
        <v>0.92671282205218397</v>
      </c>
      <c r="AH65" s="55">
        <f t="shared" si="38"/>
        <v>1.2562950487214699</v>
      </c>
      <c r="AI65" s="54">
        <f t="shared" ref="AI65:AI96" si="42">500*2.71828^(-0.69315/半Cs134*(R65-事故日)/365.25)+500*2.71828^(-0.69315/半Cs137*(R65-事故日)/365.25)</f>
        <v>628.14752436073491</v>
      </c>
      <c r="AJ65" s="54">
        <f t="shared" ref="AJ65:AJ96" si="43">5000*2.71828^(-0.69315/半Cs134*(R65-事故日)/365.25)</f>
        <v>1647.9111333464298</v>
      </c>
      <c r="AK65" s="54">
        <f t="shared" ref="AK65:AK96" si="44">5000*2.71828^(-0.69315/半Cs137*(R65-事故日)/365.25)</f>
        <v>4633.5641102609197</v>
      </c>
      <c r="AM65" s="473">
        <v>108.11191571214584</v>
      </c>
      <c r="AN65" s="473">
        <v>344.77370251768696</v>
      </c>
      <c r="AO65" s="66">
        <f t="shared" si="30"/>
        <v>452.8856182298328</v>
      </c>
      <c r="AQ65" s="54">
        <f ca="1">AD65*AJ65/(AJ65+AK65)*2.71828^(-0.69315/半Cs134*(NOW()-R65)/365.25)+AD65*AK65/(AJ65+AK65)*2.71828^(-0.69315/半Cs137*(NOW()-R65)/365.25)</f>
        <v>283.80163185269373</v>
      </c>
      <c r="AS65" s="29"/>
    </row>
    <row r="66" spans="1:45" ht="9.9499999999999993" customHeight="1" x14ac:dyDescent="0.15">
      <c r="A66" s="8"/>
      <c r="R66" s="73">
        <v>41851</v>
      </c>
      <c r="S66" s="456">
        <f t="shared" si="23"/>
        <v>95.443011381311607</v>
      </c>
      <c r="T66" s="66">
        <f t="shared" si="24"/>
        <v>312.18152067933403</v>
      </c>
      <c r="U66" s="490">
        <f t="shared" si="22"/>
        <v>407.62453206064561</v>
      </c>
      <c r="V66" s="486">
        <f t="shared" si="25"/>
        <v>15.611310476839387</v>
      </c>
      <c r="W66" s="456">
        <f t="shared" si="26"/>
        <v>51.062540608512442</v>
      </c>
      <c r="X66" s="480">
        <f t="shared" si="27"/>
        <v>66.673851085351828</v>
      </c>
      <c r="Y66" s="483">
        <f t="shared" si="39"/>
        <v>1262.1346495438991</v>
      </c>
      <c r="Z66" s="476">
        <f t="shared" si="40"/>
        <v>63.106732477194953</v>
      </c>
      <c r="AA66" s="66">
        <f t="shared" si="28"/>
        <v>25.723852295892939</v>
      </c>
      <c r="AB66" s="66">
        <f t="shared" si="41"/>
        <v>164.07750444070689</v>
      </c>
      <c r="AC66" s="66">
        <f t="shared" si="29"/>
        <v>10.939679097535844</v>
      </c>
      <c r="AD66" s="89">
        <f t="shared" si="17"/>
        <v>366.63531393428786</v>
      </c>
      <c r="AE66" s="80">
        <f t="shared" si="35"/>
        <v>3.7578952263003711E-47</v>
      </c>
      <c r="AF66" s="55">
        <f t="shared" si="36"/>
        <v>0.32031194495092125</v>
      </c>
      <c r="AG66" s="55">
        <f t="shared" si="37"/>
        <v>0.92490154291928284</v>
      </c>
      <c r="AH66" s="55">
        <f t="shared" si="38"/>
        <v>1.2452134878702041</v>
      </c>
      <c r="AI66" s="54">
        <f t="shared" si="42"/>
        <v>622.60674393510203</v>
      </c>
      <c r="AJ66" s="54">
        <f t="shared" si="43"/>
        <v>1601.5597247546061</v>
      </c>
      <c r="AK66" s="54">
        <f t="shared" si="44"/>
        <v>4624.5077145964142</v>
      </c>
      <c r="AM66" s="473">
        <v>97.596369725625379</v>
      </c>
      <c r="AN66" s="473">
        <v>319.22487223296105</v>
      </c>
      <c r="AO66" s="66">
        <f t="shared" si="30"/>
        <v>416.82124195858643</v>
      </c>
      <c r="AQ66" s="54">
        <f ca="1">AD66*AJ66/(AJ66+AK66)*2.71828^(-0.69315/半Cs134*(NOW()-R66)/365.25)+AD66*AK66/(AJ66+AK66)*2.71828^(-0.69315/半Cs137*(NOW()-R66)/365.25)</f>
        <v>255.98068757488065</v>
      </c>
      <c r="AS66" s="29"/>
    </row>
    <row r="67" spans="1:45" ht="9.9499999999999993" customHeight="1" x14ac:dyDescent="0.15">
      <c r="A67" s="8"/>
      <c r="R67" s="73">
        <v>41882</v>
      </c>
      <c r="S67" s="456">
        <f t="shared" si="23"/>
        <v>84.522644014068447</v>
      </c>
      <c r="T67" s="66">
        <f t="shared" si="24"/>
        <v>283.66482061468474</v>
      </c>
      <c r="U67" s="490">
        <f t="shared" si="22"/>
        <v>368.18746462875316</v>
      </c>
      <c r="V67" s="486">
        <f t="shared" ref="V67:V98" si="45">S67/濃度比</f>
        <v>13.825100643098123</v>
      </c>
      <c r="W67" s="456">
        <f t="shared" ref="W67:W98" si="46">T67/濃度比</f>
        <v>46.398154478599153</v>
      </c>
      <c r="X67" s="480">
        <f t="shared" si="27"/>
        <v>60.223255121697278</v>
      </c>
      <c r="Y67" s="483">
        <f t="shared" si="39"/>
        <v>1279.8623378649265</v>
      </c>
      <c r="Z67" s="476">
        <f t="shared" si="40"/>
        <v>63.993116893246331</v>
      </c>
      <c r="AA67" s="66">
        <f t="shared" si="28"/>
        <v>23.561463462615801</v>
      </c>
      <c r="AB67" s="66">
        <f t="shared" si="41"/>
        <v>166.38210392244045</v>
      </c>
      <c r="AC67" s="66">
        <f t="shared" si="29"/>
        <v>10.02007189220588</v>
      </c>
      <c r="AD67" s="89">
        <f t="shared" si="17"/>
        <v>335.81535354821682</v>
      </c>
      <c r="AE67" s="80">
        <f t="shared" si="35"/>
        <v>2.5793097931332256E-48</v>
      </c>
      <c r="AF67" s="55">
        <f t="shared" si="36"/>
        <v>0.31130241189005053</v>
      </c>
      <c r="AG67" s="55">
        <f t="shared" si="37"/>
        <v>0.92309380396843077</v>
      </c>
      <c r="AH67" s="55">
        <f t="shared" si="38"/>
        <v>1.2343962158584814</v>
      </c>
      <c r="AI67" s="54">
        <f t="shared" si="42"/>
        <v>617.19810792924068</v>
      </c>
      <c r="AJ67" s="54">
        <f t="shared" si="43"/>
        <v>1556.5120594502528</v>
      </c>
      <c r="AK67" s="54">
        <f t="shared" si="44"/>
        <v>4615.469019842154</v>
      </c>
      <c r="AM67" s="473">
        <v>80.406251667208807</v>
      </c>
      <c r="AN67" s="473">
        <v>269.8498753976699</v>
      </c>
      <c r="AO67" s="66">
        <f t="shared" si="30"/>
        <v>350.25612706487868</v>
      </c>
      <c r="AQ67" s="54">
        <f ca="1">AD67*AJ67/(AJ67+AK67)*2.71828^(-0.69315/半Cs134*(NOW()-R67)/365.25)+AD67*AK67/(AJ67+AK67)*2.71828^(-0.69315/半Cs137*(NOW()-R67)/365.25)</f>
        <v>236.51717912195539</v>
      </c>
      <c r="AS67" s="29"/>
    </row>
    <row r="68" spans="1:45" ht="9.9499999999999993" customHeight="1" x14ac:dyDescent="0.15">
      <c r="A68" s="8"/>
      <c r="R68" s="73">
        <v>41912</v>
      </c>
      <c r="S68" s="456">
        <f t="shared" si="23"/>
        <v>74.370005861431991</v>
      </c>
      <c r="T68" s="66">
        <f t="shared" si="24"/>
        <v>255.89002654559187</v>
      </c>
      <c r="U68" s="490">
        <f t="shared" si="22"/>
        <v>330.26003240702386</v>
      </c>
      <c r="V68" s="487">
        <f t="shared" si="45"/>
        <v>12.164465840549894</v>
      </c>
      <c r="W68" s="456">
        <f t="shared" si="46"/>
        <v>41.855119557890568</v>
      </c>
      <c r="X68" s="480">
        <f t="shared" si="27"/>
        <v>54.019585398440462</v>
      </c>
      <c r="Y68" s="483">
        <f t="shared" si="39"/>
        <v>1186.7455892723508</v>
      </c>
      <c r="Z68" s="476">
        <f t="shared" si="40"/>
        <v>59.337279463617541</v>
      </c>
      <c r="AA68" s="66">
        <f t="shared" si="28"/>
        <v>19.596731838598959</v>
      </c>
      <c r="AB68" s="66">
        <f t="shared" si="41"/>
        <v>154.27692660540561</v>
      </c>
      <c r="AC68" s="66">
        <f t="shared" si="29"/>
        <v>8.33397561176964</v>
      </c>
      <c r="AD68" s="89">
        <f t="shared" si="17"/>
        <v>279.30707450368601</v>
      </c>
      <c r="AE68" s="80">
        <f t="shared" si="35"/>
        <v>1.9301573136737445E-49</v>
      </c>
      <c r="AF68" s="55">
        <f t="shared" si="36"/>
        <v>0.30282486678036363</v>
      </c>
      <c r="AG68" s="55">
        <f t="shared" si="37"/>
        <v>0.92134774338471437</v>
      </c>
      <c r="AH68" s="55">
        <f t="shared" si="38"/>
        <v>1.2241726101650781</v>
      </c>
      <c r="AI68" s="54">
        <f t="shared" si="42"/>
        <v>612.08630508253896</v>
      </c>
      <c r="AJ68" s="54">
        <f t="shared" si="43"/>
        <v>1514.1243339018181</v>
      </c>
      <c r="AK68" s="54">
        <f t="shared" si="44"/>
        <v>4606.7387169235717</v>
      </c>
      <c r="AM68" s="473">
        <v>71.242019646000585</v>
      </c>
      <c r="AN68" s="473">
        <v>245.12734787655489</v>
      </c>
      <c r="AO68" s="66">
        <f t="shared" si="30"/>
        <v>316.36936752255548</v>
      </c>
      <c r="AQ68" s="54">
        <f ca="1">AD68*AJ68/(AJ68+AK68)*2.71828^(-0.69315/半Cs134*(NOW()-R68)/365.25)+AD68*AK68/(AJ68+AK68)*2.71828^(-0.69315/半Cs137*(NOW()-R68)/365.25)</f>
        <v>198.36086877374882</v>
      </c>
      <c r="AS68" s="29"/>
    </row>
    <row r="69" spans="1:45" ht="9.9499999999999993" customHeight="1" x14ac:dyDescent="0.15">
      <c r="A69" s="8"/>
      <c r="R69" s="73">
        <v>41943</v>
      </c>
      <c r="S69" s="456">
        <f t="shared" si="23"/>
        <v>59.290516611559006</v>
      </c>
      <c r="T69" s="66">
        <f t="shared" si="24"/>
        <v>208.86980985832184</v>
      </c>
      <c r="U69" s="490">
        <f t="shared" si="22"/>
        <v>268.16032646988083</v>
      </c>
      <c r="V69" s="487">
        <f t="shared" si="45"/>
        <v>9.6979616397192832</v>
      </c>
      <c r="W69" s="456">
        <f t="shared" si="46"/>
        <v>34.164171936166966</v>
      </c>
      <c r="X69" s="480">
        <f t="shared" si="27"/>
        <v>43.862133575886247</v>
      </c>
      <c r="Y69" s="483">
        <f t="shared" si="39"/>
        <v>1221.0860861072808</v>
      </c>
      <c r="Z69" s="476">
        <f t="shared" si="40"/>
        <v>61.054304305364042</v>
      </c>
      <c r="AA69" s="66">
        <f t="shared" si="28"/>
        <v>16.372342174917872</v>
      </c>
      <c r="AB69" s="66">
        <f t="shared" si="41"/>
        <v>158.74119119394652</v>
      </c>
      <c r="AC69" s="66">
        <f t="shared" si="29"/>
        <v>6.9627273321441798</v>
      </c>
      <c r="AD69" s="89">
        <f t="shared" si="17"/>
        <v>233.35069507062053</v>
      </c>
      <c r="AE69" s="80">
        <f t="shared" si="35"/>
        <v>1.324803742957914E-50</v>
      </c>
      <c r="AF69" s="55">
        <f t="shared" si="36"/>
        <v>0.29430719926306415</v>
      </c>
      <c r="AG69" s="55">
        <f t="shared" si="37"/>
        <v>0.91954695040761636</v>
      </c>
      <c r="AH69" s="55">
        <f t="shared" si="38"/>
        <v>1.2138541496706805</v>
      </c>
      <c r="AI69" s="54">
        <f t="shared" si="42"/>
        <v>606.92707483534025</v>
      </c>
      <c r="AJ69" s="54">
        <f t="shared" si="43"/>
        <v>1471.5359963153207</v>
      </c>
      <c r="AK69" s="54">
        <f t="shared" si="44"/>
        <v>4597.7347520380818</v>
      </c>
      <c r="AM69" s="473">
        <v>62.743993337793334</v>
      </c>
      <c r="AN69" s="473">
        <v>221.03578628056266</v>
      </c>
      <c r="AO69" s="66">
        <f t="shared" si="30"/>
        <v>283.77977961835597</v>
      </c>
      <c r="AQ69" s="54">
        <f ca="1">AD69*AJ69/(AJ69+AK69)*2.71828^(-0.69315/半Cs134*(NOW()-R69)/365.25)+AD69*AK69/(AJ69+AK69)*2.71828^(-0.69315/半Cs137*(NOW()-R69)/365.25)</f>
        <v>167.13188659352772</v>
      </c>
      <c r="AS69" s="29"/>
    </row>
    <row r="70" spans="1:45" ht="9.9499999999999993" customHeight="1" x14ac:dyDescent="0.15">
      <c r="A70" s="8"/>
      <c r="R70" s="73">
        <v>41973</v>
      </c>
      <c r="S70" s="456">
        <f t="shared" si="23"/>
        <v>41.890684115058569</v>
      </c>
      <c r="T70" s="66">
        <f t="shared" si="24"/>
        <v>151.10226480771061</v>
      </c>
      <c r="U70" s="490">
        <f t="shared" si="22"/>
        <v>192.99294892276919</v>
      </c>
      <c r="V70" s="487">
        <f t="shared" si="45"/>
        <v>6.8519262578028277</v>
      </c>
      <c r="W70" s="456">
        <f t="shared" si="46"/>
        <v>24.715317921419459</v>
      </c>
      <c r="X70" s="480">
        <f t="shared" si="27"/>
        <v>31.567244179222286</v>
      </c>
      <c r="Y70" s="483">
        <f t="shared" si="39"/>
        <v>1104.5437302490268</v>
      </c>
      <c r="Z70" s="476">
        <f t="shared" si="40"/>
        <v>55.22718651245134</v>
      </c>
      <c r="AA70" s="66">
        <f t="shared" si="28"/>
        <v>10.658457585745769</v>
      </c>
      <c r="AB70" s="66">
        <f t="shared" si="41"/>
        <v>143.59068493237348</v>
      </c>
      <c r="AC70" s="66">
        <f t="shared" si="29"/>
        <v>4.532762213122008</v>
      </c>
      <c r="AD70" s="89">
        <f t="shared" si="17"/>
        <v>151.91219798867778</v>
      </c>
      <c r="AE70" s="80">
        <f t="shared" si="35"/>
        <v>9.9138135343810258E-52</v>
      </c>
      <c r="AF70" s="55">
        <f t="shared" si="36"/>
        <v>0.28629247640014133</v>
      </c>
      <c r="AG70" s="55">
        <f t="shared" si="37"/>
        <v>0.91780759880750729</v>
      </c>
      <c r="AH70" s="55">
        <f t="shared" si="38"/>
        <v>1.2041000752076485</v>
      </c>
      <c r="AI70" s="54">
        <f t="shared" si="42"/>
        <v>602.05003760382431</v>
      </c>
      <c r="AJ70" s="54">
        <f t="shared" si="43"/>
        <v>1431.4623820007066</v>
      </c>
      <c r="AK70" s="54">
        <f t="shared" si="44"/>
        <v>4589.037994037536</v>
      </c>
      <c r="AM70" s="473">
        <v>50.01450377954864</v>
      </c>
      <c r="AN70" s="473">
        <v>180.4053801930381</v>
      </c>
      <c r="AO70" s="66">
        <f t="shared" si="30"/>
        <v>230.41988397258675</v>
      </c>
      <c r="AQ70" s="54">
        <f ca="1">AD70*AJ70/(AJ70+AK70)*2.71828^(-0.69315/半Cs134*(NOW()-R70)/365.25)+AD70*AK70/(AJ70+AK70)*2.71828^(-0.69315/半Cs137*(NOW()-R70)/365.25)</f>
        <v>109.68488595625229</v>
      </c>
      <c r="AS70" s="29"/>
    </row>
    <row r="71" spans="1:45" ht="9.9499999999999993" customHeight="1" x14ac:dyDescent="0.15">
      <c r="A71" s="8"/>
      <c r="R71" s="73">
        <v>42004</v>
      </c>
      <c r="S71" s="456">
        <f t="shared" si="23"/>
        <v>36.258539228439432</v>
      </c>
      <c r="T71" s="66">
        <f t="shared" si="24"/>
        <v>133.72159399222977</v>
      </c>
      <c r="U71" s="490">
        <f t="shared" si="22"/>
        <v>169.98013322066922</v>
      </c>
      <c r="V71" s="487">
        <f t="shared" si="45"/>
        <v>5.9306941926883034</v>
      </c>
      <c r="W71" s="456">
        <f t="shared" si="46"/>
        <v>21.872416754856498</v>
      </c>
      <c r="X71" s="480">
        <f t="shared" si="27"/>
        <v>27.803110947544802</v>
      </c>
      <c r="Y71" s="483">
        <f t="shared" si="39"/>
        <v>1108.5747507445019</v>
      </c>
      <c r="Z71" s="476">
        <f t="shared" si="40"/>
        <v>55.428737537225096</v>
      </c>
      <c r="AA71" s="66">
        <f t="shared" si="28"/>
        <v>9.4217841908310316</v>
      </c>
      <c r="AB71" s="66">
        <f t="shared" si="41"/>
        <v>144.11471759678525</v>
      </c>
      <c r="AC71" s="66">
        <f t="shared" si="29"/>
        <v>4.0068374825175077</v>
      </c>
      <c r="AD71" s="89">
        <f t="shared" si="17"/>
        <v>134.28621673348539</v>
      </c>
      <c r="AE71" s="80">
        <f t="shared" si="35"/>
        <v>6.8045527606952513E-53</v>
      </c>
      <c r="AF71" s="55">
        <f t="shared" si="36"/>
        <v>0.27823982156829957</v>
      </c>
      <c r="AG71" s="55">
        <f t="shared" si="37"/>
        <v>0.91601372511527013</v>
      </c>
      <c r="AH71" s="55">
        <f t="shared" si="38"/>
        <v>1.1942535466835698</v>
      </c>
      <c r="AI71" s="54">
        <f t="shared" si="42"/>
        <v>597.12677334178488</v>
      </c>
      <c r="AJ71" s="54">
        <f t="shared" si="43"/>
        <v>1391.1991078414978</v>
      </c>
      <c r="AK71" s="54">
        <f t="shared" si="44"/>
        <v>4580.0686255763503</v>
      </c>
      <c r="AM71" s="473">
        <v>35.37357944595378</v>
      </c>
      <c r="AN71" s="473">
        <v>130.45785984156714</v>
      </c>
      <c r="AO71" s="66">
        <f t="shared" si="30"/>
        <v>165.83143928752094</v>
      </c>
      <c r="AQ71" s="54">
        <f ca="1">AD71*AJ71/(AJ71+AK71)*2.71828^(-0.69315/半Cs134*(NOW()-R71)/365.25)+AD71*AK71/(AJ71+AK71)*2.71828^(-0.69315/半Cs137*(NOW()-R71)/365.25)</f>
        <v>97.757845804653215</v>
      </c>
      <c r="AS71" s="29"/>
    </row>
    <row r="72" spans="1:45" ht="9.9499999999999993" customHeight="1" x14ac:dyDescent="0.15">
      <c r="A72" s="8"/>
      <c r="R72" s="73">
        <v>42035</v>
      </c>
      <c r="S72" s="456">
        <f t="shared" si="23"/>
        <v>31.75156823196</v>
      </c>
      <c r="T72" s="66">
        <f t="shared" si="24"/>
        <v>119.72192862585521</v>
      </c>
      <c r="U72" s="490">
        <f t="shared" si="22"/>
        <v>151.47349685781521</v>
      </c>
      <c r="V72" s="487">
        <f t="shared" si="45"/>
        <v>5.1935032499690807</v>
      </c>
      <c r="W72" s="456">
        <f t="shared" si="46"/>
        <v>19.582535919756165</v>
      </c>
      <c r="X72" s="480">
        <f t="shared" si="27"/>
        <v>24.776039169725244</v>
      </c>
      <c r="Y72" s="483">
        <f t="shared" si="39"/>
        <v>1015.7333506847388</v>
      </c>
      <c r="Z72" s="476">
        <f t="shared" si="40"/>
        <v>50.78666753423694</v>
      </c>
      <c r="AA72" s="66">
        <f t="shared" si="28"/>
        <v>7.6928341251661454</v>
      </c>
      <c r="AB72" s="66">
        <f t="shared" si="41"/>
        <v>132.04533558901605</v>
      </c>
      <c r="AC72" s="66">
        <f t="shared" si="29"/>
        <v>3.2715604067329762</v>
      </c>
      <c r="AD72" s="89">
        <f t="shared" si="17"/>
        <v>109.6439453189912</v>
      </c>
      <c r="AE72" s="80">
        <f t="shared" si="35"/>
        <v>4.6704467571950257E-54</v>
      </c>
      <c r="AF72" s="55">
        <f t="shared" si="36"/>
        <v>0.27041366675020662</v>
      </c>
      <c r="AG72" s="55">
        <f t="shared" si="37"/>
        <v>0.91422335758579321</v>
      </c>
      <c r="AH72" s="55">
        <f t="shared" si="38"/>
        <v>1.1846370243359998</v>
      </c>
      <c r="AI72" s="54">
        <f t="shared" si="42"/>
        <v>592.31851216799987</v>
      </c>
      <c r="AJ72" s="54">
        <f t="shared" si="43"/>
        <v>1352.0683337510332</v>
      </c>
      <c r="AK72" s="54">
        <f t="shared" si="44"/>
        <v>4571.116787928966</v>
      </c>
      <c r="AM72" s="473">
        <v>30.616258916097483</v>
      </c>
      <c r="AN72" s="473">
        <v>115.44115043282261</v>
      </c>
      <c r="AO72" s="66">
        <f t="shared" si="30"/>
        <v>146.05740934892009</v>
      </c>
      <c r="AQ72" s="54">
        <f ca="1">AD72*AJ72/(AJ72+AK72)*2.71828^(-0.69315/半Cs134*(NOW()-R72)/365.25)+AD72*AK72/(AJ72+AK72)*2.71828^(-0.69315/半Cs137*(NOW()-R72)/365.25)</f>
        <v>80.46667880805856</v>
      </c>
      <c r="AS72" s="29"/>
    </row>
    <row r="73" spans="1:45" ht="9.9499999999999993" customHeight="1" x14ac:dyDescent="0.15">
      <c r="A73" s="8"/>
      <c r="R73" s="73">
        <v>42063</v>
      </c>
      <c r="S73" s="456">
        <f t="shared" si="23"/>
        <v>28.410449264720903</v>
      </c>
      <c r="T73" s="66">
        <f t="shared" si="24"/>
        <v>109.43520518793267</v>
      </c>
      <c r="U73" s="490">
        <f t="shared" si="22"/>
        <v>137.84565445265358</v>
      </c>
      <c r="V73" s="487">
        <f t="shared" si="45"/>
        <v>4.6470070237630452</v>
      </c>
      <c r="W73" s="456">
        <f t="shared" si="46"/>
        <v>17.899969212622338</v>
      </c>
      <c r="X73" s="480">
        <f t="shared" si="27"/>
        <v>22.546976236385383</v>
      </c>
      <c r="Y73" s="483">
        <f t="shared" si="39"/>
        <v>869.14225038056554</v>
      </c>
      <c r="Z73" s="476">
        <f t="shared" si="40"/>
        <v>43.457112519028279</v>
      </c>
      <c r="AA73" s="66">
        <f t="shared" si="28"/>
        <v>5.9903741158080575</v>
      </c>
      <c r="AB73" s="66">
        <f t="shared" si="41"/>
        <v>112.98849254947352</v>
      </c>
      <c r="AC73" s="66">
        <f t="shared" si="29"/>
        <v>2.5475488564979862</v>
      </c>
      <c r="AD73" s="89">
        <f t="shared" si="17"/>
        <v>85.379229723060433</v>
      </c>
      <c r="AE73" s="80">
        <f t="shared" si="35"/>
        <v>4.1544003409376277E-55</v>
      </c>
      <c r="AF73" s="55">
        <f t="shared" si="36"/>
        <v>0.2635342604779542</v>
      </c>
      <c r="AG73" s="55">
        <f t="shared" si="37"/>
        <v>0.91260925935137294</v>
      </c>
      <c r="AH73" s="55">
        <f t="shared" si="38"/>
        <v>1.1761435198293271</v>
      </c>
      <c r="AI73" s="54">
        <f t="shared" si="42"/>
        <v>588.07175991466352</v>
      </c>
      <c r="AJ73" s="54">
        <f t="shared" si="43"/>
        <v>1317.671302389771</v>
      </c>
      <c r="AK73" s="54">
        <f t="shared" si="44"/>
        <v>4563.0462967568646</v>
      </c>
      <c r="AM73" s="473">
        <v>26.825455260075476</v>
      </c>
      <c r="AN73" s="473">
        <v>103.32991123415472</v>
      </c>
      <c r="AO73" s="66">
        <f t="shared" si="30"/>
        <v>130.15536649423021</v>
      </c>
      <c r="AQ73" s="54">
        <f ca="1">AD73*AJ73/(AJ73+AK73)*2.71828^(-0.69315/半Cs134*(NOW()-R73)/365.25)+AD73*AK73/(AJ73+AK73)*2.71828^(-0.69315/半Cs137*(NOW()-R73)/365.25)</f>
        <v>63.111519462393574</v>
      </c>
      <c r="AS73" s="29"/>
    </row>
    <row r="74" spans="1:45" ht="9.9499999999999993" customHeight="1" x14ac:dyDescent="0.15">
      <c r="A74" s="8"/>
      <c r="R74" s="73">
        <v>42094</v>
      </c>
      <c r="S74" s="456">
        <f t="shared" si="23"/>
        <v>46.836751168825771</v>
      </c>
      <c r="T74" s="66">
        <f t="shared" si="24"/>
        <v>183.77726618971994</v>
      </c>
      <c r="U74" s="490">
        <f t="shared" si="22"/>
        <v>230.61401735854571</v>
      </c>
      <c r="V74" s="487">
        <f t="shared" si="45"/>
        <v>7.6609387491118053</v>
      </c>
      <c r="W74" s="456">
        <f t="shared" si="46"/>
        <v>30.059864201165034</v>
      </c>
      <c r="X74" s="480">
        <f t="shared" si="27"/>
        <v>37.720802950276841</v>
      </c>
      <c r="Y74" s="483">
        <f t="shared" si="39"/>
        <v>1053.6898731715155</v>
      </c>
      <c r="Z74" s="476">
        <f t="shared" si="40"/>
        <v>52.684493658575775</v>
      </c>
      <c r="AA74" s="66">
        <f t="shared" si="28"/>
        <v>12.149782735104985</v>
      </c>
      <c r="AB74" s="66">
        <f t="shared" si="41"/>
        <v>136.97968351229702</v>
      </c>
      <c r="AC74" s="66">
        <f t="shared" si="29"/>
        <v>5.1669836499586408</v>
      </c>
      <c r="AD74" s="89">
        <f t="shared" si="17"/>
        <v>173.16766385063627</v>
      </c>
      <c r="AE74" s="80">
        <f t="shared" si="35"/>
        <v>2.8514593512299113E-56</v>
      </c>
      <c r="AF74" s="55">
        <f t="shared" si="36"/>
        <v>0.25612173443927633</v>
      </c>
      <c r="AG74" s="55">
        <f t="shared" si="37"/>
        <v>0.91082554591974574</v>
      </c>
      <c r="AH74" s="55">
        <f t="shared" si="38"/>
        <v>1.1669472803590222</v>
      </c>
      <c r="AI74" s="54">
        <f t="shared" si="42"/>
        <v>583.47364017951099</v>
      </c>
      <c r="AJ74" s="54">
        <f t="shared" si="43"/>
        <v>1280.6086721963816</v>
      </c>
      <c r="AK74" s="54">
        <f t="shared" si="44"/>
        <v>4554.1277295987284</v>
      </c>
      <c r="AM74" s="473">
        <v>24.055786950387642</v>
      </c>
      <c r="AN74" s="473">
        <v>94.389697224070218</v>
      </c>
      <c r="AO74" s="66">
        <f t="shared" si="30"/>
        <v>118.44548417445786</v>
      </c>
      <c r="AQ74" s="54">
        <f ca="1">AD74*AJ74/(AJ74+AK74)*2.71828^(-0.69315/半Cs134*(NOW()-R74)/365.25)+AD74*AK74/(AJ74+AK74)*2.71828^(-0.69315/半Cs137*(NOW()-R74)/365.25)</f>
        <v>129.01264700164657</v>
      </c>
      <c r="AS74" s="29"/>
    </row>
    <row r="75" spans="1:45" ht="9.9499999999999993" customHeight="1" x14ac:dyDescent="0.15">
      <c r="A75" s="8"/>
      <c r="R75" s="73">
        <v>42124</v>
      </c>
      <c r="S75" s="456">
        <f t="shared" si="23"/>
        <v>67.958920667765028</v>
      </c>
      <c r="T75" s="66">
        <f t="shared" si="24"/>
        <v>271.94687570884491</v>
      </c>
      <c r="U75" s="490">
        <f t="shared" si="22"/>
        <v>339.90579637660994</v>
      </c>
      <c r="V75" s="487">
        <f t="shared" si="45"/>
        <v>11.115824981430897</v>
      </c>
      <c r="W75" s="456">
        <f t="shared" si="46"/>
        <v>44.481487418035478</v>
      </c>
      <c r="X75" s="480">
        <f t="shared" si="27"/>
        <v>55.597312399466375</v>
      </c>
      <c r="Y75" s="483">
        <f t="shared" si="39"/>
        <v>1086.3172045514846</v>
      </c>
      <c r="Z75" s="476">
        <f t="shared" si="40"/>
        <v>54.315860227574234</v>
      </c>
      <c r="AA75" s="66">
        <f t="shared" si="28"/>
        <v>18.462275726534255</v>
      </c>
      <c r="AB75" s="66">
        <f t="shared" si="41"/>
        <v>141.22123659169299</v>
      </c>
      <c r="AC75" s="66">
        <f t="shared" si="29"/>
        <v>7.8515212082273074</v>
      </c>
      <c r="AD75" s="89">
        <f t="shared" si="17"/>
        <v>263.13796934761564</v>
      </c>
      <c r="AE75" s="80">
        <f t="shared" si="35"/>
        <v>2.1338131371703155E-57</v>
      </c>
      <c r="AF75" s="55">
        <f t="shared" si="36"/>
        <v>0.2491468975143151</v>
      </c>
      <c r="AG75" s="55">
        <f t="shared" si="37"/>
        <v>0.90910269112694431</v>
      </c>
      <c r="AH75" s="55">
        <f t="shared" si="38"/>
        <v>1.1582495886412594</v>
      </c>
      <c r="AI75" s="54">
        <f t="shared" si="42"/>
        <v>579.12479432062969</v>
      </c>
      <c r="AJ75" s="54">
        <f t="shared" si="43"/>
        <v>1245.7344875715755</v>
      </c>
      <c r="AK75" s="54">
        <f t="shared" si="44"/>
        <v>4545.5134556347211</v>
      </c>
      <c r="AM75" s="473">
        <v>39.618591477361534</v>
      </c>
      <c r="AN75" s="473">
        <v>158.53918906284284</v>
      </c>
      <c r="AO75" s="66">
        <f t="shared" si="30"/>
        <v>198.15778054020439</v>
      </c>
      <c r="AQ75" s="54">
        <f ca="1">AD75*AJ75/(AJ75+AK75)*2.71828^(-0.69315/半Cs134*(NOW()-R75)/365.25)+AD75*AK75/(AJ75+AK75)*2.71828^(-0.69315/半Cs137*(NOW()-R75)/365.25)</f>
        <v>197.51409277633974</v>
      </c>
      <c r="AS75" s="29"/>
    </row>
    <row r="76" spans="1:45" ht="9.9499999999999993" customHeight="1" x14ac:dyDescent="0.15">
      <c r="A76" s="8"/>
      <c r="R76" s="73">
        <v>42155</v>
      </c>
      <c r="S76" s="456">
        <f t="shared" si="23"/>
        <v>70.718425582122151</v>
      </c>
      <c r="T76" s="66">
        <f t="shared" si="24"/>
        <v>288.19332522730991</v>
      </c>
      <c r="U76" s="490">
        <f t="shared" si="22"/>
        <v>358.91175080943208</v>
      </c>
      <c r="V76" s="487">
        <f t="shared" si="45"/>
        <v>11.567188442798257</v>
      </c>
      <c r="W76" s="456">
        <f t="shared" si="46"/>
        <v>47.138867606572958</v>
      </c>
      <c r="X76" s="480">
        <f t="shared" si="27"/>
        <v>58.706056049371213</v>
      </c>
      <c r="Y76" s="483">
        <f t="shared" si="39"/>
        <v>1220.6167743499154</v>
      </c>
      <c r="Z76" s="476">
        <f t="shared" si="40"/>
        <v>61.030838717495776</v>
      </c>
      <c r="AA76" s="66">
        <f t="shared" si="28"/>
        <v>21.904685177464483</v>
      </c>
      <c r="AB76" s="66">
        <f t="shared" si="41"/>
        <v>158.68018066548902</v>
      </c>
      <c r="AC76" s="66">
        <f t="shared" si="29"/>
        <v>9.3154875800725492</v>
      </c>
      <c r="AD76" s="89">
        <f t="shared" si="17"/>
        <v>312.20172757537034</v>
      </c>
      <c r="AE76" s="80">
        <f t="shared" si="35"/>
        <v>1.4645871664810387E-58</v>
      </c>
      <c r="AF76" s="55">
        <f t="shared" si="36"/>
        <v>0.24213905017814233</v>
      </c>
      <c r="AG76" s="55">
        <f t="shared" si="37"/>
        <v>0.90732583135451128</v>
      </c>
      <c r="AH76" s="55">
        <f t="shared" si="38"/>
        <v>1.1494648815326536</v>
      </c>
      <c r="AI76" s="54">
        <f t="shared" si="42"/>
        <v>574.73244076632682</v>
      </c>
      <c r="AJ76" s="54">
        <f t="shared" si="43"/>
        <v>1210.6952508907116</v>
      </c>
      <c r="AK76" s="54">
        <f t="shared" si="44"/>
        <v>4536.6291567725566</v>
      </c>
      <c r="AM76" s="473">
        <v>57.547823700643598</v>
      </c>
      <c r="AN76" s="473">
        <v>234.52019095962723</v>
      </c>
      <c r="AO76" s="66">
        <f t="shared" si="30"/>
        <v>292.06801466027082</v>
      </c>
      <c r="AQ76" s="54">
        <f ca="1">AD76*AJ76/(AJ76+AK76)*2.71828^(-0.69315/半Cs134*(NOW()-R76)/365.25)+AD76*AK76/(AJ76+AK76)*2.71828^(-0.69315/半Cs137*(NOW()-R76)/365.25)</f>
        <v>236.1328009914788</v>
      </c>
      <c r="AS76" s="29"/>
    </row>
    <row r="77" spans="1:45" ht="9.9499999999999993" customHeight="1" x14ac:dyDescent="0.15">
      <c r="A77" s="8"/>
      <c r="R77" s="73">
        <v>42185</v>
      </c>
      <c r="S77" s="456">
        <f t="shared" si="23"/>
        <v>64.961961451884974</v>
      </c>
      <c r="T77" s="66">
        <f t="shared" si="24"/>
        <v>269.4990414966594</v>
      </c>
      <c r="U77" s="490">
        <f t="shared" si="22"/>
        <v>334.46100294854438</v>
      </c>
      <c r="V77" s="487">
        <f t="shared" si="45"/>
        <v>10.625621873540592</v>
      </c>
      <c r="W77" s="456">
        <f t="shared" si="46"/>
        <v>44.081102944314438</v>
      </c>
      <c r="X77" s="480">
        <f t="shared" si="27"/>
        <v>54.706724817855033</v>
      </c>
      <c r="Y77" s="483">
        <f t="shared" si="39"/>
        <v>1197.852604097769</v>
      </c>
      <c r="Z77" s="476">
        <f t="shared" si="40"/>
        <v>59.892630204888455</v>
      </c>
      <c r="AA77" s="66">
        <f t="shared" si="28"/>
        <v>20.031749167553276</v>
      </c>
      <c r="AB77" s="66">
        <f t="shared" si="41"/>
        <v>155.72083853270999</v>
      </c>
      <c r="AC77" s="66">
        <f t="shared" si="29"/>
        <v>8.5189770620146028</v>
      </c>
      <c r="AD77" s="89">
        <f t="shared" si="17"/>
        <v>285.5072622956788</v>
      </c>
      <c r="AE77" s="80">
        <f t="shared" si="35"/>
        <v>1.095984529823413E-59</v>
      </c>
      <c r="AF77" s="55">
        <f t="shared" si="36"/>
        <v>0.23554499680014632</v>
      </c>
      <c r="AG77" s="55">
        <f t="shared" si="37"/>
        <v>0.90560959638044347</v>
      </c>
      <c r="AH77" s="55">
        <f t="shared" si="38"/>
        <v>1.1411545931805898</v>
      </c>
      <c r="AI77" s="54">
        <f t="shared" si="42"/>
        <v>570.57729659029485</v>
      </c>
      <c r="AJ77" s="54">
        <f t="shared" si="43"/>
        <v>1177.7249840007316</v>
      </c>
      <c r="AK77" s="54">
        <f t="shared" si="44"/>
        <v>4528.0479819022175</v>
      </c>
      <c r="AM77" s="473">
        <v>59.899989607606287</v>
      </c>
      <c r="AN77" s="473">
        <v>248.49911277488587</v>
      </c>
      <c r="AO77" s="66">
        <f t="shared" si="30"/>
        <v>308.39910238249217</v>
      </c>
      <c r="AQ77" s="54">
        <f ca="1">AD77*AJ77/(AJ77+AK77)*2.71828^(-0.69315/半Cs134*(NOW()-R77)/365.25)+AD77*AK77/(AJ77+AK77)*2.71828^(-0.69315/半Cs137*(NOW()-R77)/365.25)</f>
        <v>217.5150948783913</v>
      </c>
      <c r="AS77" s="29"/>
    </row>
    <row r="78" spans="1:45" ht="9.9499999999999993" customHeight="1" x14ac:dyDescent="0.15">
      <c r="A78" s="8"/>
      <c r="R78" s="73">
        <v>42216</v>
      </c>
      <c r="S78" s="456">
        <f t="shared" si="23"/>
        <v>54.561550506178321</v>
      </c>
      <c r="T78" s="66">
        <f t="shared" si="24"/>
        <v>230.13691135114371</v>
      </c>
      <c r="U78" s="490">
        <f t="shared" si="22"/>
        <v>284.69846185732206</v>
      </c>
      <c r="V78" s="487">
        <f t="shared" si="45"/>
        <v>8.9244596615534579</v>
      </c>
      <c r="W78" s="456">
        <f t="shared" si="46"/>
        <v>37.642764234774027</v>
      </c>
      <c r="X78" s="480">
        <f t="shared" si="27"/>
        <v>46.567223896327484</v>
      </c>
      <c r="Y78" s="483">
        <f t="shared" si="39"/>
        <v>1274.4181984445695</v>
      </c>
      <c r="Z78" s="476">
        <f t="shared" si="40"/>
        <v>63.720909922228479</v>
      </c>
      <c r="AA78" s="66">
        <f t="shared" si="28"/>
        <v>18.141245043007419</v>
      </c>
      <c r="AB78" s="66">
        <f t="shared" si="41"/>
        <v>165.67436579779405</v>
      </c>
      <c r="AC78" s="66">
        <f t="shared" si="29"/>
        <v>7.7149952859879356</v>
      </c>
      <c r="AD78" s="89">
        <f t="shared" si="17"/>
        <v>258.56240328995352</v>
      </c>
      <c r="AE78" s="80">
        <f t="shared" si="35"/>
        <v>7.5225184861768901E-61</v>
      </c>
      <c r="AF78" s="55">
        <f t="shared" si="36"/>
        <v>0.22891973517801478</v>
      </c>
      <c r="AG78" s="55">
        <f t="shared" si="37"/>
        <v>0.90383956393301668</v>
      </c>
      <c r="AH78" s="55">
        <f t="shared" si="38"/>
        <v>1.1327592991110316</v>
      </c>
      <c r="AI78" s="54">
        <f t="shared" si="42"/>
        <v>566.3796495555157</v>
      </c>
      <c r="AJ78" s="54">
        <f t="shared" si="43"/>
        <v>1144.598675890074</v>
      </c>
      <c r="AK78" s="54">
        <f t="shared" si="44"/>
        <v>4519.1978196650834</v>
      </c>
      <c r="AM78" s="473">
        <v>55.077281760691285</v>
      </c>
      <c r="AN78" s="473">
        <v>232.3122307271469</v>
      </c>
      <c r="AO78" s="66">
        <f t="shared" si="30"/>
        <v>287.3895124878382</v>
      </c>
      <c r="AQ78" s="54">
        <f ca="1">AD78*AJ78/(AJ78+AK78)*2.71828^(-0.69315/半Cs134*(NOW()-R78)/365.25)+AD78*AK78/(AJ78+AK78)*2.71828^(-0.69315/半Cs137*(NOW()-R78)/365.25)</f>
        <v>198.44696611723839</v>
      </c>
      <c r="AS78" s="29"/>
    </row>
    <row r="79" spans="1:45" ht="9.9499999999999993" customHeight="1" x14ac:dyDescent="0.15">
      <c r="A79" s="8"/>
      <c r="R79" s="73">
        <v>42247</v>
      </c>
      <c r="S79" s="456">
        <f t="shared" si="23"/>
        <v>49.264015200263266</v>
      </c>
      <c r="T79" s="66">
        <f t="shared" si="24"/>
        <v>211.20504251406473</v>
      </c>
      <c r="U79" s="490">
        <f t="shared" si="22"/>
        <v>260.46905771432796</v>
      </c>
      <c r="V79" s="487">
        <f t="shared" si="45"/>
        <v>8.0579586236487408</v>
      </c>
      <c r="W79" s="456">
        <f t="shared" si="46"/>
        <v>34.54613853064928</v>
      </c>
      <c r="X79" s="480">
        <f t="shared" si="27"/>
        <v>42.604097154298017</v>
      </c>
      <c r="Y79" s="483">
        <f t="shared" si="39"/>
        <v>1292.3184190120303</v>
      </c>
      <c r="Z79" s="476">
        <f t="shared" si="40"/>
        <v>64.61592095060152</v>
      </c>
      <c r="AA79" s="66">
        <f t="shared" si="28"/>
        <v>16.830448043346681</v>
      </c>
      <c r="AB79" s="66">
        <f t="shared" si="41"/>
        <v>168.00139447156394</v>
      </c>
      <c r="AC79" s="66">
        <f t="shared" si="29"/>
        <v>7.1575477321240557</v>
      </c>
      <c r="AD79" s="89">
        <f t="shared" si="17"/>
        <v>239.87995775470736</v>
      </c>
      <c r="AE79" s="80">
        <f t="shared" si="35"/>
        <v>5.1632375124848392E-62</v>
      </c>
      <c r="AF79" s="55">
        <f t="shared" si="36"/>
        <v>0.22248082475059341</v>
      </c>
      <c r="AG79" s="55">
        <f t="shared" si="37"/>
        <v>0.90207299105014993</v>
      </c>
      <c r="AH79" s="55">
        <f t="shared" si="38"/>
        <v>1.1245538158007433</v>
      </c>
      <c r="AI79" s="54">
        <f t="shared" si="42"/>
        <v>562.27690790037161</v>
      </c>
      <c r="AJ79" s="54">
        <f t="shared" si="43"/>
        <v>1112.4041237529671</v>
      </c>
      <c r="AK79" s="54">
        <f t="shared" si="44"/>
        <v>4510.3649552507495</v>
      </c>
      <c r="AM79" s="473">
        <v>46.268371646438979</v>
      </c>
      <c r="AN79" s="473">
        <v>198.36209778918848</v>
      </c>
      <c r="AO79" s="66">
        <f t="shared" si="30"/>
        <v>244.63046943562745</v>
      </c>
      <c r="AQ79" s="54">
        <f ca="1">AD79*AJ79/(AJ79+AK79)*2.71828^(-0.69315/半Cs134*(NOW()-R79)/365.25)+AD79*AK79/(AJ79+AK79)*2.71828^(-0.69315/半Cs137*(NOW()-R79)/365.25)</f>
        <v>185.45154004351076</v>
      </c>
      <c r="AS79" s="29"/>
    </row>
    <row r="80" spans="1:45" ht="9.9499999999999993" customHeight="1" x14ac:dyDescent="0.15">
      <c r="A80" s="8"/>
      <c r="R80" s="73">
        <v>42277</v>
      </c>
      <c r="S80" s="456">
        <f t="shared" si="23"/>
        <v>44.173795159562452</v>
      </c>
      <c r="T80" s="66">
        <f t="shared" si="24"/>
        <v>192.30633492886756</v>
      </c>
      <c r="U80" s="490">
        <f t="shared" si="22"/>
        <v>236.48013008843</v>
      </c>
      <c r="V80" s="487">
        <f t="shared" si="45"/>
        <v>7.2253674857462098</v>
      </c>
      <c r="W80" s="456">
        <f t="shared" si="46"/>
        <v>31.454936907255384</v>
      </c>
      <c r="X80" s="480">
        <f t="shared" si="27"/>
        <v>38.680304393001592</v>
      </c>
      <c r="Y80" s="483">
        <f t="shared" si="39"/>
        <v>1198.2954246910597</v>
      </c>
      <c r="Z80" s="476">
        <f t="shared" si="40"/>
        <v>59.914771234552987</v>
      </c>
      <c r="AA80" s="66">
        <f t="shared" si="28"/>
        <v>14.168652895765614</v>
      </c>
      <c r="AB80" s="66">
        <f t="shared" si="41"/>
        <v>155.77840520983776</v>
      </c>
      <c r="AC80" s="66">
        <f t="shared" si="29"/>
        <v>6.0255561313728698</v>
      </c>
      <c r="AD80" s="89">
        <f t="shared" si="17"/>
        <v>201.94209027138484</v>
      </c>
      <c r="AE80" s="80">
        <f t="shared" si="35"/>
        <v>3.8637703285928441E-63</v>
      </c>
      <c r="AF80" s="55">
        <f t="shared" si="36"/>
        <v>0.21642211413408316</v>
      </c>
      <c r="AG80" s="55">
        <f t="shared" si="37"/>
        <v>0.90036669198656993</v>
      </c>
      <c r="AH80" s="55">
        <f t="shared" si="38"/>
        <v>1.116788806120653</v>
      </c>
      <c r="AI80" s="54">
        <f t="shared" si="42"/>
        <v>558.39440306032657</v>
      </c>
      <c r="AJ80" s="54">
        <f t="shared" si="43"/>
        <v>1082.1105706704159</v>
      </c>
      <c r="AK80" s="54">
        <f t="shared" si="44"/>
        <v>4501.83345993285</v>
      </c>
      <c r="AM80" s="473">
        <v>41.807252188190851</v>
      </c>
      <c r="AN80" s="473">
        <v>182.00381952052985</v>
      </c>
      <c r="AO80" s="66">
        <f t="shared" si="30"/>
        <v>223.8110717087207</v>
      </c>
      <c r="AQ80" s="54">
        <f ca="1">AD80*AJ80/(AJ80+AK80)*2.71828^(-0.69315/半Cs134*(NOW()-R80)/365.25)+AD80*AK80/(AJ80+AK80)*2.71828^(-0.69315/半Cs137*(NOW()-R80)/365.25)</f>
        <v>157.20723129672592</v>
      </c>
      <c r="AS80" s="29"/>
    </row>
    <row r="81" spans="1:45" ht="9.9499999999999993" customHeight="1" x14ac:dyDescent="0.15">
      <c r="A81" s="8"/>
      <c r="R81" s="73">
        <v>42308</v>
      </c>
      <c r="S81" s="456">
        <f t="shared" si="23"/>
        <v>35.902782535659362</v>
      </c>
      <c r="T81" s="66">
        <f t="shared" si="24"/>
        <v>158.4977380016453</v>
      </c>
      <c r="U81" s="490">
        <f t="shared" si="22"/>
        <v>194.40052053730466</v>
      </c>
      <c r="V81" s="487">
        <f t="shared" si="45"/>
        <v>5.8725041994680067</v>
      </c>
      <c r="W81" s="456">
        <f t="shared" si="46"/>
        <v>25.924972001720867</v>
      </c>
      <c r="X81" s="480">
        <f t="shared" si="27"/>
        <v>31.797476201188875</v>
      </c>
      <c r="Y81" s="483">
        <f t="shared" si="39"/>
        <v>1232.9701356071084</v>
      </c>
      <c r="Z81" s="476">
        <f t="shared" si="40"/>
        <v>61.648506780355426</v>
      </c>
      <c r="AA81" s="66">
        <f t="shared" si="28"/>
        <v>11.984501808448652</v>
      </c>
      <c r="AB81" s="66">
        <f t="shared" si="41"/>
        <v>160.2861176289241</v>
      </c>
      <c r="AC81" s="66">
        <f t="shared" si="29"/>
        <v>5.0966940106866749</v>
      </c>
      <c r="AD81" s="89">
        <f t="shared" si="17"/>
        <v>170.81195819135328</v>
      </c>
      <c r="AE81" s="80">
        <f t="shared" si="35"/>
        <v>2.6519793785652523E-64</v>
      </c>
      <c r="AF81" s="55">
        <f t="shared" si="36"/>
        <v>0.21033472893621513</v>
      </c>
      <c r="AG81" s="55">
        <f t="shared" si="37"/>
        <v>0.89860690690283374</v>
      </c>
      <c r="AH81" s="55">
        <f t="shared" si="38"/>
        <v>1.1089416358390489</v>
      </c>
      <c r="AI81" s="54">
        <f t="shared" si="42"/>
        <v>554.47081791952451</v>
      </c>
      <c r="AJ81" s="54">
        <f t="shared" si="43"/>
        <v>1051.6736446810758</v>
      </c>
      <c r="AK81" s="54">
        <f t="shared" si="44"/>
        <v>4493.0345345141686</v>
      </c>
      <c r="AM81" s="473">
        <v>37.527598074485049</v>
      </c>
      <c r="AN81" s="473">
        <v>165.67070815564415</v>
      </c>
      <c r="AO81" s="66">
        <f t="shared" si="30"/>
        <v>203.19830623012919</v>
      </c>
      <c r="AQ81" s="54">
        <f ca="1">AD81*AJ81/(AJ81+AK81)*2.71828^(-0.69315/半Cs134*(NOW()-R81)/365.25)+AD81*AK81/(AJ81+AK81)*2.71828^(-0.69315/半Cs137*(NOW()-R81)/365.25)</f>
        <v>133.91409969872004</v>
      </c>
      <c r="AS81" s="29"/>
    </row>
    <row r="82" spans="1:45" ht="9.9499999999999993" customHeight="1" x14ac:dyDescent="0.15">
      <c r="A82" s="8"/>
      <c r="R82" s="73">
        <v>42338</v>
      </c>
      <c r="S82" s="456">
        <f t="shared" si="23"/>
        <v>25.861805437216546</v>
      </c>
      <c r="T82" s="456">
        <f t="shared" si="24"/>
        <v>115.7337674671666</v>
      </c>
      <c r="U82" s="490">
        <f>AO83*U81/AO82</f>
        <v>141.59557290438315</v>
      </c>
      <c r="V82" s="487">
        <f t="shared" si="45"/>
        <v>4.2301334411903824</v>
      </c>
      <c r="W82" s="456">
        <f t="shared" si="46"/>
        <v>18.930205055726546</v>
      </c>
      <c r="X82" s="480">
        <f t="shared" si="27"/>
        <v>23.160338496916928</v>
      </c>
      <c r="Y82" s="483">
        <f t="shared" si="39"/>
        <v>1115.2935475750514</v>
      </c>
      <c r="Z82" s="476">
        <f t="shared" si="40"/>
        <v>55.764677378752573</v>
      </c>
      <c r="AA82" s="66">
        <f t="shared" si="28"/>
        <v>7.8960314412725658</v>
      </c>
      <c r="AB82" s="66">
        <f t="shared" si="41"/>
        <v>144.98816118475668</v>
      </c>
      <c r="AC82" s="66">
        <f t="shared" si="29"/>
        <v>3.3579748910845169</v>
      </c>
      <c r="AD82" s="89">
        <f t="shared" si="17"/>
        <v>112.54006332357082</v>
      </c>
      <c r="AE82" s="80">
        <f t="shared" si="35"/>
        <v>1.9845376491327153E-65</v>
      </c>
      <c r="AF82" s="55">
        <f t="shared" si="36"/>
        <v>0.20460678695894485</v>
      </c>
      <c r="AG82" s="55">
        <f t="shared" si="37"/>
        <v>0.89690716404500836</v>
      </c>
      <c r="AH82" s="55">
        <f t="shared" si="38"/>
        <v>1.1015139510039531</v>
      </c>
      <c r="AI82" s="54">
        <f t="shared" si="42"/>
        <v>550.75697550197663</v>
      </c>
      <c r="AJ82" s="54">
        <f t="shared" si="43"/>
        <v>1023.0339347947242</v>
      </c>
      <c r="AK82" s="54">
        <f t="shared" si="44"/>
        <v>4484.5358202250418</v>
      </c>
      <c r="AM82" s="474">
        <v>30.509284061955903</v>
      </c>
      <c r="AN82" s="473">
        <v>136.53162753033865</v>
      </c>
      <c r="AO82" s="66">
        <f t="shared" si="30"/>
        <v>167.04091159229455</v>
      </c>
      <c r="AQ82" s="54">
        <f ca="1">AD82*AJ82/(AJ82+AK82)*2.71828^(-0.69315/半Cs134*(NOW()-R82)/365.25)+AD82*AK82/(AJ82+AK82)*2.71828^(-0.69315/半Cs137*(NOW()-R82)/365.25)</f>
        <v>88.824726154214275</v>
      </c>
      <c r="AS82" s="29"/>
    </row>
    <row r="83" spans="1:45" ht="9.9499999999999993" customHeight="1" x14ac:dyDescent="0.15">
      <c r="A83" s="8"/>
      <c r="R83" s="73">
        <v>42369</v>
      </c>
      <c r="S83" s="456">
        <f t="shared" si="23"/>
        <v>22.819658857563319</v>
      </c>
      <c r="T83" s="456">
        <f t="shared" si="24"/>
        <v>103.39126944061142</v>
      </c>
      <c r="U83" s="490">
        <f t="shared" si="22"/>
        <v>126.21092829817474</v>
      </c>
      <c r="V83" s="487">
        <f t="shared" si="45"/>
        <v>3.7325391796128313</v>
      </c>
      <c r="W83" s="456">
        <f t="shared" si="46"/>
        <v>16.911381823268702</v>
      </c>
      <c r="X83" s="480">
        <f t="shared" si="27"/>
        <v>20.643921002881534</v>
      </c>
      <c r="Y83" s="483">
        <f t="shared" si="39"/>
        <v>1119.3637994135481</v>
      </c>
      <c r="Z83" s="476">
        <f t="shared" si="40"/>
        <v>55.968189970677408</v>
      </c>
      <c r="AA83" s="66">
        <f t="shared" si="28"/>
        <v>7.0637972113677892</v>
      </c>
      <c r="AB83" s="66">
        <f t="shared" si="41"/>
        <v>145.51729392376126</v>
      </c>
      <c r="AC83" s="66">
        <f t="shared" si="29"/>
        <v>3.0040475203152206</v>
      </c>
      <c r="AD83" s="89">
        <f t="shared" si="17"/>
        <v>100.6784473168301</v>
      </c>
      <c r="AE83" s="80">
        <f t="shared" si="35"/>
        <v>1.3621288207890849E-66</v>
      </c>
      <c r="AF83" s="55">
        <f t="shared" si="36"/>
        <v>0.19885173585753299</v>
      </c>
      <c r="AG83" s="55">
        <f t="shared" si="37"/>
        <v>0.89515414067927257</v>
      </c>
      <c r="AH83" s="55">
        <f t="shared" si="38"/>
        <v>1.0940058765368055</v>
      </c>
      <c r="AI83" s="54">
        <f t="shared" si="42"/>
        <v>547.00293826840277</v>
      </c>
      <c r="AJ83" s="54">
        <f t="shared" si="43"/>
        <v>994.2586792876649</v>
      </c>
      <c r="AK83" s="54">
        <f t="shared" si="44"/>
        <v>4475.7707033963625</v>
      </c>
      <c r="AM83" s="474">
        <v>21.998207261263556</v>
      </c>
      <c r="AN83" s="473">
        <v>99.669438020800342</v>
      </c>
      <c r="AO83" s="66">
        <f t="shared" si="30"/>
        <v>121.6676452820639</v>
      </c>
      <c r="AQ83" s="54">
        <f ca="1">AD83*AJ83/(AJ83+AK83)*2.71828^(-0.69315/半Cs134*(NOW()-R83)/365.25)+AD83*AK83/(AJ83+AK83)*2.71828^(-0.69315/半Cs137*(NOW()-R83)/365.25)</f>
        <v>80.008030227068659</v>
      </c>
      <c r="AS83" s="29"/>
    </row>
    <row r="84" spans="1:45" ht="9.9499999999999993" customHeight="1" x14ac:dyDescent="0.15">
      <c r="A84" s="8"/>
      <c r="R84" s="73">
        <v>42400</v>
      </c>
      <c r="S84" s="456">
        <f t="shared" si="23"/>
        <v>20.374047773998029</v>
      </c>
      <c r="T84" s="456">
        <f t="shared" si="24"/>
        <v>93.413559699830842</v>
      </c>
      <c r="U84" s="490">
        <f t="shared" si="22"/>
        <v>113.78760747382887</v>
      </c>
      <c r="V84" s="487">
        <f t="shared" si="45"/>
        <v>3.3325183359849544</v>
      </c>
      <c r="W84" s="456">
        <f t="shared" si="46"/>
        <v>15.279359505900684</v>
      </c>
      <c r="X84" s="480">
        <f t="shared" si="27"/>
        <v>18.61187784188564</v>
      </c>
      <c r="Y84" s="483">
        <f t="shared" si="39"/>
        <v>1025.6188334164638</v>
      </c>
      <c r="Z84" s="476">
        <f t="shared" si="40"/>
        <v>51.280941670823189</v>
      </c>
      <c r="AA84" s="66">
        <f t="shared" si="28"/>
        <v>5.8351356617279437</v>
      </c>
      <c r="AB84" s="66">
        <f t="shared" si="41"/>
        <v>133.33044834414028</v>
      </c>
      <c r="AC84" s="66">
        <f t="shared" si="29"/>
        <v>2.4815300171849826</v>
      </c>
      <c r="AD84" s="89">
        <f t="shared" si="17"/>
        <v>83.166656789129263</v>
      </c>
      <c r="AE84" s="80">
        <f t="shared" si="35"/>
        <v>9.3492553554490053E-68</v>
      </c>
      <c r="AF84" s="55">
        <f t="shared" si="36"/>
        <v>0.19325855921626067</v>
      </c>
      <c r="AG84" s="55">
        <f t="shared" si="37"/>
        <v>0.89340454363349964</v>
      </c>
      <c r="AH84" s="55">
        <f t="shared" si="38"/>
        <v>1.0866631028497604</v>
      </c>
      <c r="AI84" s="54">
        <f t="shared" si="42"/>
        <v>543.33155142488022</v>
      </c>
      <c r="AJ84" s="54">
        <f t="shared" si="43"/>
        <v>966.29279608130332</v>
      </c>
      <c r="AK84" s="54">
        <f t="shared" si="44"/>
        <v>4467.0227181674982</v>
      </c>
      <c r="AM84" s="474">
        <v>19.418011019320573</v>
      </c>
      <c r="AN84" s="473">
        <v>89.030199189001422</v>
      </c>
      <c r="AO84" s="66">
        <f t="shared" si="30"/>
        <v>108.448210208322</v>
      </c>
      <c r="AQ84" s="54">
        <f ca="1">AD84*AJ84/(AJ84+AK84)*2.71828^(-0.69315/半Cs134*(NOW()-R84)/365.25)+AD84*AK84/(AJ84+AK84)*2.71828^(-0.69315/半Cs137*(NOW()-R84)/365.25)</f>
        <v>66.538199779743422</v>
      </c>
      <c r="AS84" s="29"/>
    </row>
    <row r="85" spans="1:45" ht="9.9499999999999993" customHeight="1" x14ac:dyDescent="0.15">
      <c r="A85" s="8"/>
      <c r="R85" s="73">
        <v>42429</v>
      </c>
      <c r="S85" s="456">
        <f t="shared" si="23"/>
        <v>18.563841576694696</v>
      </c>
      <c r="T85" s="456">
        <f t="shared" si="24"/>
        <v>86.055191366971655</v>
      </c>
      <c r="U85" s="490">
        <f t="shared" si="22"/>
        <v>104.61903294366634</v>
      </c>
      <c r="V85" s="487">
        <f t="shared" si="45"/>
        <v>3.0364286531028974</v>
      </c>
      <c r="W85" s="456">
        <f t="shared" si="46"/>
        <v>14.075774549970628</v>
      </c>
      <c r="X85" s="480">
        <f t="shared" si="27"/>
        <v>17.112203203073527</v>
      </c>
      <c r="Y85" s="483">
        <f t="shared" si="39"/>
        <v>877.60105573706744</v>
      </c>
      <c r="Z85" s="476">
        <f t="shared" si="40"/>
        <v>43.880052786853376</v>
      </c>
      <c r="AA85" s="66">
        <f t="shared" si="28"/>
        <v>4.5906886880776314</v>
      </c>
      <c r="AB85" s="66">
        <f t="shared" si="41"/>
        <v>114.08813724581877</v>
      </c>
      <c r="AC85" s="66">
        <f t="shared" si="29"/>
        <v>1.9522993876105921</v>
      </c>
      <c r="AD85" s="89">
        <f t="shared" si="17"/>
        <v>65.429880756882227</v>
      </c>
      <c r="AE85" s="80">
        <f t="shared" si="35"/>
        <v>7.6277522994089775E-69</v>
      </c>
      <c r="AF85" s="55">
        <f t="shared" si="36"/>
        <v>0.18816874360562783</v>
      </c>
      <c r="AG85" s="55">
        <f t="shared" si="37"/>
        <v>0.89177091975535849</v>
      </c>
      <c r="AH85" s="55">
        <f t="shared" si="38"/>
        <v>1.0799396633609863</v>
      </c>
      <c r="AI85" s="54">
        <f t="shared" si="42"/>
        <v>539.96983168049314</v>
      </c>
      <c r="AJ85" s="54">
        <f t="shared" si="43"/>
        <v>940.84371802813916</v>
      </c>
      <c r="AK85" s="54">
        <f t="shared" si="44"/>
        <v>4458.854598776792</v>
      </c>
      <c r="AM85" s="474">
        <v>17.349123800854784</v>
      </c>
      <c r="AN85" s="473">
        <v>80.424203285927177</v>
      </c>
      <c r="AO85" s="66">
        <f t="shared" si="30"/>
        <v>97.773327086781961</v>
      </c>
      <c r="AQ85" s="54">
        <f ca="1">AD85*AJ85/(AJ85+AK85)*2.71828^(-0.69315/半Cs134*(NOW()-R85)/365.25)+AD85*AK85/(AJ85+AK85)*2.71828^(-0.69315/半Cs137*(NOW()-R85)/365.25)</f>
        <v>52.67364359931058</v>
      </c>
      <c r="AS85" s="29"/>
    </row>
    <row r="86" spans="1:45" ht="9.9499999999999993" customHeight="1" x14ac:dyDescent="0.15">
      <c r="A86" s="8"/>
      <c r="R86" s="73">
        <v>42460</v>
      </c>
      <c r="S86" s="456">
        <f t="shared" si="23"/>
        <v>31.16614276726796</v>
      </c>
      <c r="T86" s="456">
        <f t="shared" si="24"/>
        <v>145.88560232722139</v>
      </c>
      <c r="U86" s="490">
        <f t="shared" si="22"/>
        <v>177.05174509448935</v>
      </c>
      <c r="V86" s="487">
        <f t="shared" si="45"/>
        <v>5.0977470645964038</v>
      </c>
      <c r="W86" s="456">
        <f t="shared" si="46"/>
        <v>23.862044994914307</v>
      </c>
      <c r="X86" s="480">
        <f t="shared" si="27"/>
        <v>28.959792059510711</v>
      </c>
      <c r="Y86" s="483">
        <f t="shared" si="39"/>
        <v>1063.9447624481238</v>
      </c>
      <c r="Z86" s="476">
        <f t="shared" si="40"/>
        <v>53.197238122406191</v>
      </c>
      <c r="AA86" s="66">
        <f t="shared" si="28"/>
        <v>9.418663843779111</v>
      </c>
      <c r="AB86" s="66">
        <f t="shared" si="41"/>
        <v>138.3128191182561</v>
      </c>
      <c r="AC86" s="66">
        <f t="shared" si="29"/>
        <v>4.0055104808294146</v>
      </c>
      <c r="AD86" s="89">
        <f t="shared" si="17"/>
        <v>134.24174324608526</v>
      </c>
      <c r="AE86" s="80">
        <f t="shared" si="35"/>
        <v>5.2354669357905165E-70</v>
      </c>
      <c r="AF86" s="55">
        <f t="shared" si="36"/>
        <v>0.18287605145580127</v>
      </c>
      <c r="AG86" s="55">
        <f t="shared" si="37"/>
        <v>0.89002793528396207</v>
      </c>
      <c r="AH86" s="55">
        <f t="shared" si="38"/>
        <v>1.0729039867397634</v>
      </c>
      <c r="AI86" s="54">
        <f t="shared" si="42"/>
        <v>536.45199336988162</v>
      </c>
      <c r="AJ86" s="54">
        <f t="shared" si="43"/>
        <v>914.3802572790064</v>
      </c>
      <c r="AK86" s="54">
        <f t="shared" si="44"/>
        <v>4450.1396764198107</v>
      </c>
      <c r="AM86" s="474">
        <v>15.82409834162752</v>
      </c>
      <c r="AN86" s="473">
        <v>74.071024287227857</v>
      </c>
      <c r="AO86" s="66">
        <f t="shared" si="30"/>
        <v>89.895122628855376</v>
      </c>
      <c r="AQ86" s="54">
        <f ca="1">AD86*AJ86/(AJ86+AK86)*2.71828^(-0.69315/半Cs134*(NOW()-R86)/365.25)+AD86*AK86/(AJ86+AK86)*2.71828^(-0.69315/半Cs137*(NOW()-R86)/365.25)</f>
        <v>108.7785957737828</v>
      </c>
      <c r="AS86" s="29"/>
    </row>
    <row r="87" spans="1:45" ht="9.9499999999999993" customHeight="1" x14ac:dyDescent="0.15">
      <c r="A87" s="8"/>
      <c r="R87" s="73">
        <v>42490</v>
      </c>
      <c r="S87" s="456">
        <f t="shared" si="23"/>
        <v>46.078263987278554</v>
      </c>
      <c r="T87" s="456">
        <f t="shared" si="24"/>
        <v>217.70727955215671</v>
      </c>
      <c r="U87" s="490">
        <f t="shared" si="22"/>
        <v>263.78554353943525</v>
      </c>
      <c r="V87" s="487">
        <f t="shared" si="45"/>
        <v>7.5368754079360993</v>
      </c>
      <c r="W87" s="456">
        <f t="shared" si="46"/>
        <v>35.609688807684385</v>
      </c>
      <c r="X87" s="480">
        <f t="shared" si="27"/>
        <v>43.146564215620486</v>
      </c>
      <c r="Y87" s="483">
        <f t="shared" si="39"/>
        <v>1056.0954553777631</v>
      </c>
      <c r="Z87" s="476">
        <f t="shared" si="40"/>
        <v>52.804772768888157</v>
      </c>
      <c r="AA87" s="66">
        <f t="shared" si="28"/>
        <v>13.929135686317531</v>
      </c>
      <c r="AB87" s="66">
        <f t="shared" si="41"/>
        <v>137.29240919910922</v>
      </c>
      <c r="AC87" s="66">
        <f t="shared" si="29"/>
        <v>5.9236957498266101</v>
      </c>
      <c r="AD87" s="89">
        <f t="shared" si="17"/>
        <v>198.52831436144143</v>
      </c>
      <c r="AE87" s="80">
        <f t="shared" si="35"/>
        <v>3.9178212805284191E-71</v>
      </c>
      <c r="AF87" s="55">
        <f t="shared" si="36"/>
        <v>0.17789587810511887</v>
      </c>
      <c r="AG87" s="55">
        <f t="shared" si="37"/>
        <v>0.8883444198172511</v>
      </c>
      <c r="AH87" s="55">
        <f t="shared" si="38"/>
        <v>1.06624029792237</v>
      </c>
      <c r="AI87" s="54">
        <f t="shared" si="42"/>
        <v>533.12014896118501</v>
      </c>
      <c r="AJ87" s="54">
        <f t="shared" si="43"/>
        <v>889.47939052559434</v>
      </c>
      <c r="AK87" s="54">
        <f t="shared" si="44"/>
        <v>4441.7220990862552</v>
      </c>
      <c r="AM87" s="474">
        <v>26.574846050358332</v>
      </c>
      <c r="AN87" s="473">
        <v>125.55892816921619</v>
      </c>
      <c r="AO87" s="66">
        <f t="shared" si="30"/>
        <v>152.13377421957452</v>
      </c>
      <c r="AQ87" s="54">
        <f ca="1">AD87*AJ87/(AJ87+AK87)*2.71828^(-0.69315/半Cs134*(NOW()-R87)/365.25)+AD87*AK87/(AJ87+AK87)*2.71828^(-0.69315/半Cs137*(NOW()-R87)/365.25)</f>
        <v>161.8766047509697</v>
      </c>
      <c r="AS87" s="29"/>
    </row>
    <row r="88" spans="1:45" ht="9.9499999999999993" customHeight="1" x14ac:dyDescent="0.15">
      <c r="A88" s="8"/>
      <c r="R88" s="73">
        <v>42521</v>
      </c>
      <c r="S88" s="456">
        <f t="shared" si="23"/>
        <v>48.84490407349692</v>
      </c>
      <c r="T88" s="456">
        <f t="shared" si="24"/>
        <v>232.70366645213832</v>
      </c>
      <c r="U88" s="490">
        <f t="shared" si="22"/>
        <v>281.54857052563523</v>
      </c>
      <c r="V88" s="487">
        <f t="shared" si="45"/>
        <v>7.989405946720856</v>
      </c>
      <c r="W88" s="456">
        <f t="shared" si="46"/>
        <v>38.062600220874153</v>
      </c>
      <c r="X88" s="480">
        <f t="shared" si="27"/>
        <v>46.05200616759501</v>
      </c>
      <c r="Y88" s="483">
        <f t="shared" si="39"/>
        <v>1186.6587611314183</v>
      </c>
      <c r="Z88" s="476">
        <f t="shared" si="40"/>
        <v>59.332938056570917</v>
      </c>
      <c r="AA88" s="66">
        <f t="shared" si="28"/>
        <v>16.705103894913602</v>
      </c>
      <c r="AB88" s="66">
        <f t="shared" si="41"/>
        <v>154.26563894708437</v>
      </c>
      <c r="AC88" s="66">
        <f t="shared" si="29"/>
        <v>7.1042421562391143</v>
      </c>
      <c r="AD88" s="89">
        <f t="shared" si="17"/>
        <v>238.09346051152716</v>
      </c>
      <c r="AE88" s="80">
        <f t="shared" si="35"/>
        <v>2.689078377142937E-72</v>
      </c>
      <c r="AF88" s="55">
        <f t="shared" si="36"/>
        <v>0.17289213465925304</v>
      </c>
      <c r="AG88" s="55">
        <f t="shared" si="37"/>
        <v>0.88660813250994819</v>
      </c>
      <c r="AH88" s="55">
        <f t="shared" si="38"/>
        <v>1.0595002671692013</v>
      </c>
      <c r="AI88" s="54">
        <f t="shared" si="42"/>
        <v>529.75013358460058</v>
      </c>
      <c r="AJ88" s="54">
        <f t="shared" si="43"/>
        <v>864.46067329626521</v>
      </c>
      <c r="AK88" s="54">
        <f t="shared" si="44"/>
        <v>4433.0406625497408</v>
      </c>
      <c r="AM88" s="474">
        <v>39.322611550888162</v>
      </c>
      <c r="AN88" s="473">
        <v>187.33818923251644</v>
      </c>
      <c r="AO88" s="66">
        <f t="shared" si="30"/>
        <v>226.6608007834046</v>
      </c>
      <c r="AQ88" s="54">
        <f ca="1">AD88*AJ88/(AJ88+AK88)*2.71828^(-0.69315/半Cs134*(NOW()-R88)/365.25)+AD88*AK88/(AJ88+AK88)*2.71828^(-0.69315/半Cs137*(NOW()-R88)/365.25)</f>
        <v>195.37235914574842</v>
      </c>
      <c r="AS88" s="29"/>
    </row>
    <row r="89" spans="1:45" ht="9.9499999999999993" customHeight="1" x14ac:dyDescent="0.15">
      <c r="A89" s="8"/>
      <c r="R89" s="73">
        <v>42551</v>
      </c>
      <c r="S89" s="456">
        <f t="shared" si="23"/>
        <v>45.690793960444843</v>
      </c>
      <c r="T89" s="456">
        <f t="shared" si="24"/>
        <v>219.4263353692331</v>
      </c>
      <c r="U89" s="490">
        <f t="shared" si="22"/>
        <v>265.11712932967794</v>
      </c>
      <c r="V89" s="487">
        <f t="shared" si="45"/>
        <v>7.4734981653090431</v>
      </c>
      <c r="W89" s="456">
        <f t="shared" si="46"/>
        <v>35.890869312144567</v>
      </c>
      <c r="X89" s="480">
        <f t="shared" si="27"/>
        <v>43.364367477453612</v>
      </c>
      <c r="Y89" s="483">
        <f t="shared" si="39"/>
        <v>1164.5278985730336</v>
      </c>
      <c r="Z89" s="476">
        <f t="shared" si="40"/>
        <v>58.226394928651679</v>
      </c>
      <c r="AA89" s="66">
        <f t="shared" si="28"/>
        <v>15.436814674700249</v>
      </c>
      <c r="AB89" s="66">
        <f t="shared" si="41"/>
        <v>151.38862681449436</v>
      </c>
      <c r="AC89" s="66">
        <f t="shared" si="29"/>
        <v>6.5648720450908211</v>
      </c>
      <c r="AD89" s="89">
        <f t="shared" si="17"/>
        <v>220.0168671979107</v>
      </c>
      <c r="AE89" s="80">
        <f t="shared" si="35"/>
        <v>2.0122996898248896E-73</v>
      </c>
      <c r="AF89" s="55">
        <f t="shared" si="36"/>
        <v>0.16818384839258083</v>
      </c>
      <c r="AG89" s="55">
        <f t="shared" si="37"/>
        <v>0.88493108570633761</v>
      </c>
      <c r="AH89" s="55">
        <f t="shared" si="38"/>
        <v>1.0531149340989185</v>
      </c>
      <c r="AI89" s="54">
        <f t="shared" si="42"/>
        <v>526.55746704945921</v>
      </c>
      <c r="AJ89" s="54">
        <f t="shared" si="43"/>
        <v>840.91924196290415</v>
      </c>
      <c r="AK89" s="54">
        <f t="shared" si="44"/>
        <v>4424.6554285316879</v>
      </c>
      <c r="AM89" s="474">
        <v>41.693626424621257</v>
      </c>
      <c r="AN89" s="473">
        <v>200.23026219523791</v>
      </c>
      <c r="AO89" s="66">
        <f t="shared" si="30"/>
        <v>241.92388861985916</v>
      </c>
      <c r="AQ89" s="54">
        <f ca="1">AD89*AJ89/(AJ89+AK89)*2.71828^(-0.69315/半Cs134*(NOW()-R89)/365.25)+AD89*AK89/(AJ89+AK89)*2.71828^(-0.69315/半Cs137*(NOW()-R89)/365.25)</f>
        <v>181.63390876076915</v>
      </c>
      <c r="AS89" s="29"/>
    </row>
    <row r="90" spans="1:45" ht="9.9499999999999993" customHeight="1" x14ac:dyDescent="0.15">
      <c r="A90" s="8"/>
      <c r="R90" s="73">
        <v>42582</v>
      </c>
      <c r="S90" s="456">
        <f t="shared" si="23"/>
        <v>39.06290724160889</v>
      </c>
      <c r="T90" s="456">
        <f t="shared" si="24"/>
        <v>188.93337958594984</v>
      </c>
      <c r="U90" s="490">
        <f t="shared" si="22"/>
        <v>227.99628682755872</v>
      </c>
      <c r="V90" s="487">
        <f t="shared" si="45"/>
        <v>6.3893957687523422</v>
      </c>
      <c r="W90" s="456">
        <f t="shared" si="46"/>
        <v>30.903233306114473</v>
      </c>
      <c r="X90" s="480">
        <f t="shared" si="27"/>
        <v>37.292629074866817</v>
      </c>
      <c r="Y90" s="483">
        <f t="shared" si="39"/>
        <v>1238.9634095721797</v>
      </c>
      <c r="Z90" s="476">
        <f t="shared" si="40"/>
        <v>61.948170478608986</v>
      </c>
      <c r="AA90" s="66">
        <f t="shared" si="28"/>
        <v>14.123952844883441</v>
      </c>
      <c r="AB90" s="66">
        <f t="shared" si="41"/>
        <v>161.06524324438337</v>
      </c>
      <c r="AC90" s="66">
        <f t="shared" si="29"/>
        <v>6.0065463731659872</v>
      </c>
      <c r="AD90" s="89">
        <f t="shared" si="17"/>
        <v>201.30499218049431</v>
      </c>
      <c r="AE90" s="80">
        <f t="shared" si="35"/>
        <v>1.381183876644203E-74</v>
      </c>
      <c r="AF90" s="55">
        <f t="shared" si="36"/>
        <v>0.16345327881413563</v>
      </c>
      <c r="AG90" s="55">
        <f t="shared" si="37"/>
        <v>0.88320146983024994</v>
      </c>
      <c r="AH90" s="55">
        <f t="shared" si="38"/>
        <v>1.0466547486443856</v>
      </c>
      <c r="AI90" s="54">
        <f t="shared" si="42"/>
        <v>523.32737432219278</v>
      </c>
      <c r="AJ90" s="54">
        <f t="shared" si="43"/>
        <v>817.26639407067819</v>
      </c>
      <c r="AK90" s="54">
        <f t="shared" si="44"/>
        <v>4416.0073491512494</v>
      </c>
      <c r="AM90" s="474">
        <v>39.03013062530345</v>
      </c>
      <c r="AN90" s="473">
        <v>188.77485075829043</v>
      </c>
      <c r="AO90" s="66">
        <f t="shared" si="30"/>
        <v>227.80498138359388</v>
      </c>
      <c r="AQ90" s="54">
        <f ca="1">AD90*AJ90/(AJ90+AK90)*2.71828^(-0.69315/半Cs134*(NOW()-R90)/365.25)+AD90*AK90/(AJ90+AK90)*2.71828^(-0.69315/半Cs137*(NOW()-R90)/365.25)</f>
        <v>167.21214613847516</v>
      </c>
      <c r="AS90" s="29"/>
    </row>
    <row r="91" spans="1:45" ht="9.9499999999999993" customHeight="1" x14ac:dyDescent="0.15">
      <c r="A91" s="8"/>
      <c r="R91" s="73">
        <v>42613</v>
      </c>
      <c r="S91" s="456">
        <f t="shared" si="23"/>
        <v>35.905835945233399</v>
      </c>
      <c r="T91" s="456">
        <f t="shared" si="24"/>
        <v>174.82771844343355</v>
      </c>
      <c r="U91" s="490">
        <f t="shared" si="22"/>
        <v>210.73355438866696</v>
      </c>
      <c r="V91" s="487">
        <f t="shared" si="45"/>
        <v>5.8730036359818314</v>
      </c>
      <c r="W91" s="456">
        <f t="shared" si="46"/>
        <v>28.596015078295345</v>
      </c>
      <c r="X91" s="480">
        <f t="shared" si="27"/>
        <v>34.469018714277176</v>
      </c>
      <c r="Y91" s="483">
        <f t="shared" si="39"/>
        <v>1256.3656393374349</v>
      </c>
      <c r="Z91" s="476">
        <f t="shared" si="40"/>
        <v>62.818281966871751</v>
      </c>
      <c r="AA91" s="66">
        <f t="shared" si="28"/>
        <v>13.237919839468384</v>
      </c>
      <c r="AB91" s="66">
        <f t="shared" si="41"/>
        <v>163.32753311386654</v>
      </c>
      <c r="AC91" s="66">
        <f t="shared" si="29"/>
        <v>5.6297397954585913</v>
      </c>
      <c r="AD91" s="89">
        <f t="shared" si="17"/>
        <v>188.67659634926977</v>
      </c>
      <c r="AE91" s="80">
        <f t="shared" si="35"/>
        <v>9.48004370694888E-76</v>
      </c>
      <c r="AF91" s="55">
        <f t="shared" si="36"/>
        <v>0.15885576772347265</v>
      </c>
      <c r="AG91" s="55">
        <f t="shared" si="37"/>
        <v>0.88147523452370846</v>
      </c>
      <c r="AH91" s="55">
        <f t="shared" si="38"/>
        <v>1.0403310022471812</v>
      </c>
      <c r="AI91" s="54">
        <f t="shared" si="42"/>
        <v>520.1655011235905</v>
      </c>
      <c r="AJ91" s="54">
        <f t="shared" si="43"/>
        <v>794.27883861736325</v>
      </c>
      <c r="AK91" s="54">
        <f t="shared" si="44"/>
        <v>4407.3761726185421</v>
      </c>
      <c r="AM91" s="474">
        <v>33.379863155833171</v>
      </c>
      <c r="AN91" s="473">
        <v>162.52860193505822</v>
      </c>
      <c r="AO91" s="66">
        <f t="shared" si="30"/>
        <v>195.90846509089138</v>
      </c>
      <c r="AQ91" s="54">
        <f ca="1">AD91*AJ91/(AJ91+AK91)*2.71828^(-0.69315/半Cs134*(NOW()-R91)/365.25)+AD91*AK91/(AJ91+AK91)*2.71828^(-0.69315/半Cs137*(NOW()-R91)/365.25)</f>
        <v>157.67513676732526</v>
      </c>
      <c r="AS91" s="29"/>
    </row>
    <row r="92" spans="1:45" ht="9.9499999999999993" customHeight="1" x14ac:dyDescent="0.15">
      <c r="A92" s="8"/>
      <c r="R92" s="73">
        <v>42643</v>
      </c>
      <c r="S92" s="456">
        <f t="shared" si="23"/>
        <v>32.737564405648754</v>
      </c>
      <c r="T92" s="456">
        <f t="shared" si="24"/>
        <v>160.38968779791185</v>
      </c>
      <c r="U92" s="490">
        <f t="shared" si="22"/>
        <v>193.12725220356063</v>
      </c>
      <c r="V92" s="487">
        <f t="shared" si="45"/>
        <v>5.3547795149743234</v>
      </c>
      <c r="W92" s="456">
        <f t="shared" si="46"/>
        <v>26.234432225666541</v>
      </c>
      <c r="X92" s="480">
        <f t="shared" si="27"/>
        <v>31.589211740640863</v>
      </c>
      <c r="Y92" s="483">
        <f t="shared" si="39"/>
        <v>1164.9583997325133</v>
      </c>
      <c r="Z92" s="476">
        <f t="shared" si="40"/>
        <v>58.247919986625668</v>
      </c>
      <c r="AA92" s="66">
        <f t="shared" si="28"/>
        <v>11.249260733589876</v>
      </c>
      <c r="AB92" s="66">
        <f t="shared" si="41"/>
        <v>151.44459196522672</v>
      </c>
      <c r="AC92" s="66">
        <f t="shared" si="29"/>
        <v>4.7840152825645044</v>
      </c>
      <c r="AD92" s="89">
        <f t="shared" si="17"/>
        <v>160.33276016154383</v>
      </c>
      <c r="AE92" s="80">
        <f t="shared" si="35"/>
        <v>7.0941364793123001E-77</v>
      </c>
      <c r="AF92" s="55">
        <f t="shared" si="36"/>
        <v>0.15452972691757838</v>
      </c>
      <c r="AG92" s="55">
        <f t="shared" si="37"/>
        <v>0.87980789675596793</v>
      </c>
      <c r="AH92" s="55">
        <f t="shared" si="38"/>
        <v>1.0343376236735464</v>
      </c>
      <c r="AI92" s="54">
        <f t="shared" si="42"/>
        <v>517.1688118367731</v>
      </c>
      <c r="AJ92" s="54">
        <f t="shared" si="43"/>
        <v>772.64863458789193</v>
      </c>
      <c r="AK92" s="54">
        <f t="shared" si="44"/>
        <v>4399.0394837798394</v>
      </c>
      <c r="AM92" s="474">
        <v>30.694596216919841</v>
      </c>
      <c r="AN92" s="473">
        <v>150.38066495457664</v>
      </c>
      <c r="AO92" s="66">
        <f t="shared" si="30"/>
        <v>181.07526117149649</v>
      </c>
      <c r="AQ92" s="54">
        <f ca="1">AD92*AJ92/(AJ92+AK92)*2.71828^(-0.69315/半Cs134*(NOW()-R92)/365.25)+AD92*AK92/(AJ92+AK92)*2.71828^(-0.69315/半Cs137*(NOW()-R92)/365.25)</f>
        <v>134.7648619831657</v>
      </c>
      <c r="AS92" s="29"/>
    </row>
    <row r="93" spans="1:45" ht="9.9499999999999993" customHeight="1" x14ac:dyDescent="0.15">
      <c r="A93" s="8"/>
      <c r="R93" s="73">
        <v>42674</v>
      </c>
      <c r="S93" s="456">
        <f t="shared" si="23"/>
        <v>27.052102388939328</v>
      </c>
      <c r="T93" s="456">
        <f t="shared" si="24"/>
        <v>133.23323054997991</v>
      </c>
      <c r="U93" s="490">
        <f t="shared" si="22"/>
        <v>160.28533293891923</v>
      </c>
      <c r="V93" s="487">
        <f t="shared" si="45"/>
        <v>4.424826536096421</v>
      </c>
      <c r="W93" s="456">
        <f t="shared" si="46"/>
        <v>21.792536696461845</v>
      </c>
      <c r="X93" s="480">
        <f t="shared" si="27"/>
        <v>26.217363232558267</v>
      </c>
      <c r="Y93" s="483">
        <f t="shared" si="39"/>
        <v>1198.6684472780607</v>
      </c>
      <c r="Z93" s="476">
        <f t="shared" si="40"/>
        <v>59.933422363903041</v>
      </c>
      <c r="AA93" s="66">
        <f t="shared" si="28"/>
        <v>9.6064485577670649</v>
      </c>
      <c r="AB93" s="66">
        <f t="shared" si="41"/>
        <v>155.8268981461479</v>
      </c>
      <c r="AC93" s="66">
        <f t="shared" si="29"/>
        <v>4.0853703901004197</v>
      </c>
      <c r="AD93" s="89">
        <f t="shared" si="17"/>
        <v>136.91818947867486</v>
      </c>
      <c r="AE93" s="80">
        <f t="shared" si="35"/>
        <v>4.8692085843298358E-78</v>
      </c>
      <c r="AF93" s="55">
        <f t="shared" si="36"/>
        <v>0.15018321188591266</v>
      </c>
      <c r="AG93" s="55">
        <f t="shared" si="37"/>
        <v>0.87808829425729207</v>
      </c>
      <c r="AH93" s="55">
        <f t="shared" si="38"/>
        <v>1.0282715061432048</v>
      </c>
      <c r="AI93" s="54">
        <f t="shared" si="42"/>
        <v>514.13575307160238</v>
      </c>
      <c r="AJ93" s="54">
        <f t="shared" si="43"/>
        <v>750.91605942956335</v>
      </c>
      <c r="AK93" s="54">
        <f t="shared" si="44"/>
        <v>4390.44147128646</v>
      </c>
      <c r="AM93" s="474">
        <v>28.007621471512525</v>
      </c>
      <c r="AN93" s="473">
        <v>137.93921947435391</v>
      </c>
      <c r="AO93" s="66">
        <f t="shared" si="30"/>
        <v>165.94684094586643</v>
      </c>
      <c r="AQ93" s="54">
        <f ca="1">AD93*AJ93/(AJ93+AK93)*2.71828^(-0.69315/半Cs134*(NOW()-R93)/365.25)+AD93*AK93/(AJ93+AK93)*2.71828^(-0.69315/半Cs137*(NOW()-R93)/365.25)</f>
        <v>115.76307922566116</v>
      </c>
      <c r="AS93" s="29"/>
    </row>
    <row r="94" spans="1:45" ht="9.9499999999999993" customHeight="1" x14ac:dyDescent="0.15">
      <c r="A94" s="8"/>
      <c r="R94" s="73">
        <v>42704</v>
      </c>
      <c r="S94" s="456">
        <f t="shared" si="23"/>
        <v>19.793455266312456</v>
      </c>
      <c r="T94" s="456">
        <f t="shared" si="24"/>
        <v>97.968499835895088</v>
      </c>
      <c r="U94" s="490">
        <f t="shared" si="22"/>
        <v>117.76195510220754</v>
      </c>
      <c r="V94" s="487">
        <f t="shared" si="45"/>
        <v>3.2375526620521118</v>
      </c>
      <c r="W94" s="456">
        <f t="shared" si="46"/>
        <v>16.024396608548511</v>
      </c>
      <c r="X94" s="480">
        <f t="shared" si="27"/>
        <v>19.261949270600624</v>
      </c>
      <c r="Y94" s="483">
        <f t="shared" si="39"/>
        <v>1084.2656657476623</v>
      </c>
      <c r="Z94" s="476">
        <f t="shared" si="40"/>
        <v>54.213283287383121</v>
      </c>
      <c r="AA94" s="66">
        <f t="shared" si="28"/>
        <v>6.3842622324320688</v>
      </c>
      <c r="AB94" s="66">
        <f t="shared" si="41"/>
        <v>140.95453654719611</v>
      </c>
      <c r="AC94" s="66">
        <f t="shared" si="29"/>
        <v>2.715059132433113</v>
      </c>
      <c r="AD94" s="89">
        <f t="shared" si="17"/>
        <v>90.993213648651817</v>
      </c>
      <c r="AE94" s="80">
        <f t="shared" si="35"/>
        <v>3.6437416652578263E-79</v>
      </c>
      <c r="AF94" s="55">
        <f t="shared" si="36"/>
        <v>0.14609334651753847</v>
      </c>
      <c r="AG94" s="55">
        <f t="shared" si="37"/>
        <v>0.87642736299219848</v>
      </c>
      <c r="AH94" s="55">
        <f t="shared" si="38"/>
        <v>1.0225207095097368</v>
      </c>
      <c r="AI94" s="54">
        <f t="shared" si="42"/>
        <v>511.26035475486844</v>
      </c>
      <c r="AJ94" s="54">
        <f t="shared" si="43"/>
        <v>730.46673258769238</v>
      </c>
      <c r="AK94" s="54">
        <f t="shared" si="44"/>
        <v>4382.1368149609925</v>
      </c>
      <c r="AM94" s="474">
        <v>23.149190998703425</v>
      </c>
      <c r="AN94" s="473">
        <v>114.57784828591433</v>
      </c>
      <c r="AO94" s="66">
        <f t="shared" si="30"/>
        <v>137.72703928461775</v>
      </c>
      <c r="AQ94" s="54">
        <f ca="1">AD94*AJ94/(AJ94+AK94)*2.71828^(-0.69315/半Cs134*(NOW()-R94)/365.25)+AD94*AK94/(AJ94+AK94)*2.71828^(-0.69315/半Cs137*(NOW()-R94)/365.25)</f>
        <v>77.366618404216496</v>
      </c>
      <c r="AS94" s="29"/>
    </row>
    <row r="95" spans="1:45" ht="9.9499999999999993" customHeight="1" x14ac:dyDescent="0.15">
      <c r="A95" s="8"/>
      <c r="R95" s="73">
        <v>42735</v>
      </c>
      <c r="S95" s="456">
        <f t="shared" si="23"/>
        <v>17.738235098015469</v>
      </c>
      <c r="T95" s="456">
        <f t="shared" si="24"/>
        <v>88.158048387904543</v>
      </c>
      <c r="U95" s="490">
        <f t="shared" si="22"/>
        <v>105.89628348592001</v>
      </c>
      <c r="V95" s="487">
        <f t="shared" si="45"/>
        <v>2.9013868215029026</v>
      </c>
      <c r="W95" s="456">
        <f t="shared" si="46"/>
        <v>14.419732199326743</v>
      </c>
      <c r="X95" s="480">
        <f t="shared" si="27"/>
        <v>17.321119020829645</v>
      </c>
      <c r="Y95" s="483">
        <f t="shared" si="39"/>
        <v>1088.2226816642556</v>
      </c>
      <c r="Z95" s="476">
        <f t="shared" si="40"/>
        <v>54.411134083212779</v>
      </c>
      <c r="AA95" s="66">
        <f t="shared" si="28"/>
        <v>5.7619368796663046</v>
      </c>
      <c r="AB95" s="66">
        <f t="shared" si="41"/>
        <v>141.46894861635323</v>
      </c>
      <c r="AC95" s="66">
        <f t="shared" si="29"/>
        <v>2.4504004967354875</v>
      </c>
      <c r="AD95" s="89">
        <f t="shared" si="17"/>
        <v>82.123373764017913</v>
      </c>
      <c r="AE95" s="80">
        <f t="shared" si="35"/>
        <v>2.5009581148167604E-80</v>
      </c>
      <c r="AF95" s="55">
        <f t="shared" si="36"/>
        <v>0.14198412469121946</v>
      </c>
      <c r="AG95" s="55">
        <f t="shared" si="37"/>
        <v>0.87471436781578993</v>
      </c>
      <c r="AH95" s="55">
        <f t="shared" si="38"/>
        <v>1.0166984925070093</v>
      </c>
      <c r="AI95" s="54">
        <f t="shared" si="42"/>
        <v>508.3492462535047</v>
      </c>
      <c r="AJ95" s="54">
        <f t="shared" si="43"/>
        <v>709.92062345609725</v>
      </c>
      <c r="AK95" s="54">
        <f t="shared" si="44"/>
        <v>4373.5718390789498</v>
      </c>
      <c r="AM95" s="474">
        <v>16.949626140129766</v>
      </c>
      <c r="AN95" s="473">
        <v>84.238705438379597</v>
      </c>
      <c r="AO95" s="66">
        <f t="shared" si="30"/>
        <v>101.18833157850936</v>
      </c>
      <c r="AQ95" s="54">
        <f ca="1">AD95*AJ95/(AJ95+AK95)*2.71828^(-0.69315/半Cs134*(NOW()-R95)/365.25)+AD95*AK95/(AJ95+AK95)*2.71828^(-0.69315/半Cs137*(NOW()-R95)/365.25)</f>
        <v>70.224931950027212</v>
      </c>
      <c r="AS95" s="29"/>
    </row>
    <row r="96" spans="1:45" ht="9.9499999999999993" customHeight="1" x14ac:dyDescent="0.15">
      <c r="A96" s="8"/>
      <c r="R96" s="73">
        <v>42766</v>
      </c>
      <c r="S96" s="456">
        <f t="shared" si="23"/>
        <v>16.078170481253089</v>
      </c>
      <c r="T96" s="456">
        <f t="shared" si="24"/>
        <v>80.227678359226672</v>
      </c>
      <c r="U96" s="490">
        <f t="shared" si="22"/>
        <v>96.305848840479769</v>
      </c>
      <c r="V96" s="487">
        <f t="shared" si="45"/>
        <v>2.6298553204655475</v>
      </c>
      <c r="W96" s="456">
        <f t="shared" si="46"/>
        <v>13.122586741297393</v>
      </c>
      <c r="X96" s="480">
        <f t="shared" si="27"/>
        <v>15.752442061762942</v>
      </c>
      <c r="Y96" s="483">
        <f t="shared" si="39"/>
        <v>997.0857355317122</v>
      </c>
      <c r="Z96" s="476">
        <f t="shared" si="40"/>
        <v>49.85428677658561</v>
      </c>
      <c r="AA96" s="66">
        <f t="shared" si="28"/>
        <v>4.8012594063557836</v>
      </c>
      <c r="AB96" s="66">
        <f t="shared" si="41"/>
        <v>129.62114561912259</v>
      </c>
      <c r="AC96" s="66">
        <f t="shared" si="29"/>
        <v>2.0418495863445658</v>
      </c>
      <c r="AD96" s="89">
        <f t="shared" si="17"/>
        <v>68.431089927003498</v>
      </c>
      <c r="AE96" s="80">
        <f t="shared" si="35"/>
        <v>1.7165847819854708E-81</v>
      </c>
      <c r="AF96" s="55">
        <f t="shared" si="36"/>
        <v>0.13799048447364862</v>
      </c>
      <c r="AG96" s="55">
        <f t="shared" si="37"/>
        <v>0.87300472072343061</v>
      </c>
      <c r="AH96" s="55">
        <f t="shared" si="38"/>
        <v>1.0109952051970792</v>
      </c>
      <c r="AI96" s="54">
        <f t="shared" si="42"/>
        <v>505.49760259853963</v>
      </c>
      <c r="AJ96" s="54">
        <f t="shared" si="43"/>
        <v>689.95242236824311</v>
      </c>
      <c r="AK96" s="54">
        <f t="shared" si="44"/>
        <v>4365.0236036171527</v>
      </c>
      <c r="AM96" s="474">
        <v>15.191131116867744</v>
      </c>
      <c r="AN96" s="473">
        <v>75.801483917461184</v>
      </c>
      <c r="AO96" s="66">
        <f t="shared" si="30"/>
        <v>90.992615034328935</v>
      </c>
      <c r="AQ96" s="54">
        <f ca="1">AD96*AJ96/(AJ96+AK96)*2.71828^(-0.69315/半Cs134*(NOW()-R96)/365.25)+AD96*AK96/(AJ96+AK96)*2.71828^(-0.69315/半Cs137*(NOW()-R96)/365.25)</f>
        <v>58.846560685095909</v>
      </c>
      <c r="AS96" s="29"/>
    </row>
    <row r="97" spans="1:45" ht="9.9499999999999993" customHeight="1" x14ac:dyDescent="0.15">
      <c r="A97" s="8"/>
      <c r="R97" s="73">
        <v>42794</v>
      </c>
      <c r="S97" s="456">
        <f t="shared" si="23"/>
        <v>14.854413109259795</v>
      </c>
      <c r="T97" s="456">
        <f t="shared" si="24"/>
        <v>74.380629419466601</v>
      </c>
      <c r="U97" s="490">
        <f t="shared" si="22"/>
        <v>89.235042528726396</v>
      </c>
      <c r="V97" s="487">
        <f t="shared" si="45"/>
        <v>2.4296892108047499</v>
      </c>
      <c r="W97" s="456">
        <f t="shared" si="46"/>
        <v>12.166203502223041</v>
      </c>
      <c r="X97" s="480">
        <f t="shared" si="27"/>
        <v>14.595892713027791</v>
      </c>
      <c r="Y97" s="483">
        <f t="shared" ref="Y97:Y121" si="47">IF(MONTH(R97)&lt;=3,(INDEX(月値割合表,MATCH(MONTH(R97),月,0),2)*INDEX(年度別焼却量,MATCH(YEAR(R97)-1,年度,0),2)),(INDEX(月値割合表,MATCH(MONTH(R97),月,0),2)*INDEX(年度別焼却量,MATCH(YEAR(R97),年度,0),2)))</f>
        <v>853.18586754898251</v>
      </c>
      <c r="Z97" s="476">
        <f t="shared" ref="Z97:Z121" si="48">Y97*飛灰発生率</f>
        <v>42.659293377449131</v>
      </c>
      <c r="AA97" s="66">
        <f t="shared" si="28"/>
        <v>3.8067038587820892</v>
      </c>
      <c r="AB97" s="66">
        <f t="shared" ref="AB97:AB121" si="49">Y97*主灰発生率</f>
        <v>110.91416278136774</v>
      </c>
      <c r="AC97" s="66">
        <f t="shared" si="29"/>
        <v>1.6188912203121435</v>
      </c>
      <c r="AD97" s="89">
        <f t="shared" si="17"/>
        <v>54.255950790942329</v>
      </c>
      <c r="AE97" s="80">
        <f t="shared" si="35"/>
        <v>1.5269161119420928E-82</v>
      </c>
      <c r="AF97" s="55">
        <f t="shared" si="36"/>
        <v>0.13447996440338869</v>
      </c>
      <c r="AG97" s="55">
        <f t="shared" si="37"/>
        <v>0.8714633956559098</v>
      </c>
      <c r="AH97" s="55">
        <f t="shared" si="38"/>
        <v>1.0059433600592984</v>
      </c>
      <c r="AI97" s="54">
        <f t="shared" ref="AI97:AI121" si="50">500*2.71828^(-0.69315/半Cs134*(R97-事故日)/365.25)+500*2.71828^(-0.69315/半Cs137*(R97-事故日)/365.25)</f>
        <v>502.97168002964929</v>
      </c>
      <c r="AJ97" s="54">
        <f t="shared" ref="AJ97:AJ121" si="51">5000*2.71828^(-0.69315/半Cs134*(R97-事故日)/365.25)</f>
        <v>672.3998220169434</v>
      </c>
      <c r="AK97" s="54">
        <f t="shared" ref="AK97:AK121" si="52">5000*2.71828^(-0.69315/半Cs137*(R97-事故日)/365.25)</f>
        <v>4357.3169782795494</v>
      </c>
      <c r="AM97" s="474">
        <v>13.77520764788129</v>
      </c>
      <c r="AN97" s="473">
        <v>68.976714710764995</v>
      </c>
      <c r="AO97" s="66">
        <f t="shared" si="30"/>
        <v>82.751922358646283</v>
      </c>
      <c r="AQ97" s="54">
        <f ca="1">AD97*AJ97/(AJ97+AK97)*2.71828^(-0.69315/半Cs134*(NOW()-R97)/365.25)+AD97*AK97/(AJ97+AK97)*2.71828^(-0.69315/半Cs137*(NOW()-R97)/365.25)</f>
        <v>46.891116568186263</v>
      </c>
      <c r="AS97" s="29"/>
    </row>
    <row r="98" spans="1:45" ht="9.9499999999999993" customHeight="1" x14ac:dyDescent="0.15">
      <c r="A98" s="8"/>
      <c r="R98" s="73">
        <v>42825</v>
      </c>
      <c r="S98" s="456">
        <f t="shared" si="23"/>
        <v>25.278661541823457</v>
      </c>
      <c r="T98" s="456">
        <f t="shared" si="24"/>
        <v>126.92503406307198</v>
      </c>
      <c r="U98" s="490">
        <f t="shared" si="22"/>
        <v>152.20369560489544</v>
      </c>
      <c r="V98" s="487">
        <f t="shared" si="45"/>
        <v>4.1347504448672217</v>
      </c>
      <c r="W98" s="456">
        <f t="shared" si="46"/>
        <v>20.760725016583208</v>
      </c>
      <c r="X98" s="480">
        <f t="shared" si="27"/>
        <v>24.895475461450431</v>
      </c>
      <c r="Y98" s="483">
        <f t="shared" si="47"/>
        <v>1034.3454229451859</v>
      </c>
      <c r="Z98" s="476">
        <f t="shared" si="48"/>
        <v>51.717271147259297</v>
      </c>
      <c r="AA98" s="66">
        <f t="shared" si="28"/>
        <v>7.8715597952132956</v>
      </c>
      <c r="AB98" s="66">
        <f t="shared" si="49"/>
        <v>134.46490498287417</v>
      </c>
      <c r="AC98" s="66">
        <f t="shared" si="29"/>
        <v>3.3475677424274077</v>
      </c>
      <c r="AD98" s="89">
        <f t="shared" ref="AD98:AD121" si="53">(AA98+AC98)*10</f>
        <v>112.19127537640703</v>
      </c>
      <c r="AE98" s="80">
        <f t="shared" si="35"/>
        <v>1.0480307309425636E-83</v>
      </c>
      <c r="AF98" s="55">
        <f t="shared" si="36"/>
        <v>0.13069739648977965</v>
      </c>
      <c r="AG98" s="55">
        <f t="shared" si="37"/>
        <v>0.86976010265501735</v>
      </c>
      <c r="AH98" s="55">
        <f t="shared" si="38"/>
        <v>1.000457499144797</v>
      </c>
      <c r="AI98" s="54">
        <f t="shared" si="50"/>
        <v>500.2287495723985</v>
      </c>
      <c r="AJ98" s="54">
        <f t="shared" si="51"/>
        <v>653.48698244889829</v>
      </c>
      <c r="AK98" s="54">
        <f t="shared" si="52"/>
        <v>4348.8005132750868</v>
      </c>
      <c r="AM98" s="474">
        <v>12.734729969383816</v>
      </c>
      <c r="AN98" s="474">
        <v>63.941519707196882</v>
      </c>
      <c r="AO98" s="456">
        <f t="shared" si="30"/>
        <v>76.676249676580696</v>
      </c>
      <c r="AQ98" s="54">
        <f ca="1">AD98*AJ98/(AJ98+AK98)*2.71828^(-0.69315/半Cs134*(NOW()-R98)/365.25)+AD98*AK98/(AJ98+AK98)*2.71828^(-0.69315/半Cs137*(NOW()-R98)/365.25)</f>
        <v>97.493837497529356</v>
      </c>
      <c r="AS98" s="29"/>
    </row>
    <row r="99" spans="1:45" ht="9.9499999999999993" customHeight="1" x14ac:dyDescent="0.15">
      <c r="A99" s="8"/>
      <c r="R99" s="73">
        <v>42855</v>
      </c>
      <c r="S99" s="456">
        <f t="shared" si="23"/>
        <v>37.862840438319388</v>
      </c>
      <c r="T99" s="456">
        <f t="shared" si="24"/>
        <v>190.57509670963455</v>
      </c>
      <c r="U99" s="490">
        <f t="shared" ref="U99:U109" si="54">AO100*U98/AO99</f>
        <v>228.43793714795396</v>
      </c>
      <c r="V99" s="487">
        <f t="shared" ref="V99:V121" si="55">S99/濃度比</f>
        <v>6.1931046502308149</v>
      </c>
      <c r="W99" s="456">
        <f t="shared" ref="W99:W121" si="56">T99/濃度比</f>
        <v>31.171763765936113</v>
      </c>
      <c r="X99" s="480">
        <f t="shared" ref="X99:X120" si="57">V99+W99</f>
        <v>37.364868416166928</v>
      </c>
      <c r="Y99" s="483">
        <f t="shared" si="47"/>
        <v>1046.7354385733033</v>
      </c>
      <c r="Z99" s="476">
        <f t="shared" si="48"/>
        <v>52.336771928665172</v>
      </c>
      <c r="AA99" s="66">
        <f t="shared" si="28"/>
        <v>11.955704216367216</v>
      </c>
      <c r="AB99" s="66">
        <f t="shared" si="49"/>
        <v>136.07560701452942</v>
      </c>
      <c r="AC99" s="66">
        <f t="shared" si="29"/>
        <v>5.0844471507479332</v>
      </c>
      <c r="AD99" s="89">
        <f t="shared" si="53"/>
        <v>170.40151367115152</v>
      </c>
      <c r="AE99" s="80">
        <f t="shared" si="35"/>
        <v>7.8426569218979379E-85</v>
      </c>
      <c r="AF99" s="55">
        <f t="shared" si="36"/>
        <v>0.12713817872550462</v>
      </c>
      <c r="AG99" s="55">
        <f t="shared" si="37"/>
        <v>0.86811492442285254</v>
      </c>
      <c r="AH99" s="55">
        <f t="shared" si="38"/>
        <v>0.99525310314835713</v>
      </c>
      <c r="AI99" s="54">
        <f t="shared" si="50"/>
        <v>497.62655157417862</v>
      </c>
      <c r="AJ99" s="54">
        <f t="shared" si="51"/>
        <v>635.69089362752311</v>
      </c>
      <c r="AK99" s="54">
        <f t="shared" si="52"/>
        <v>4340.5746221142626</v>
      </c>
      <c r="AM99" s="474">
        <v>21.676820780748031</v>
      </c>
      <c r="AN99" s="473">
        <v>109.10597749205307</v>
      </c>
      <c r="AO99" s="456">
        <f t="shared" si="30"/>
        <v>130.7827982728011</v>
      </c>
      <c r="AQ99" s="54">
        <f ca="1">AD99*AJ99/(AJ99+AK99)*2.71828^(-0.69315/半Cs134*(NOW()-R99)/365.25)+AD99*AK99/(AJ99+AK99)*2.71828^(-0.69315/半Cs137*(NOW()-R99)/365.25)</f>
        <v>148.85267098369738</v>
      </c>
      <c r="AS99" s="29"/>
    </row>
    <row r="100" spans="1:45" ht="9.9499999999999993" customHeight="1" x14ac:dyDescent="0.15">
      <c r="A100" s="8"/>
      <c r="R100" s="73">
        <v>42886</v>
      </c>
      <c r="S100" s="456">
        <f t="shared" si="23"/>
        <v>40.649955660523617</v>
      </c>
      <c r="T100" s="456">
        <f t="shared" si="24"/>
        <v>205.02391829874639</v>
      </c>
      <c r="U100" s="490">
        <f t="shared" si="54"/>
        <v>245.67387395927</v>
      </c>
      <c r="V100" s="487">
        <f t="shared" si="55"/>
        <v>6.6489842420295604</v>
      </c>
      <c r="W100" s="456">
        <f t="shared" si="56"/>
        <v>33.535111658962172</v>
      </c>
      <c r="X100" s="480">
        <f t="shared" si="57"/>
        <v>40.184095900991736</v>
      </c>
      <c r="Y100" s="483">
        <f t="shared" si="47"/>
        <v>1176.1415811844822</v>
      </c>
      <c r="Z100" s="476">
        <f t="shared" si="48"/>
        <v>58.807079059224115</v>
      </c>
      <c r="AA100" s="66">
        <f t="shared" ref="AA100:AA121" si="58">(Z100*U100)/10^3</f>
        <v>14.447362928708651</v>
      </c>
      <c r="AB100" s="66">
        <f t="shared" si="49"/>
        <v>152.89840555398268</v>
      </c>
      <c r="AC100" s="66">
        <f t="shared" ref="AC100:AC121" si="59">(AB100*X100)/10^3</f>
        <v>6.1440841918899674</v>
      </c>
      <c r="AD100" s="89">
        <f t="shared" si="53"/>
        <v>205.91447120598619</v>
      </c>
      <c r="AE100" s="80">
        <f t="shared" si="35"/>
        <v>5.3829712071966352E-86</v>
      </c>
      <c r="AF100" s="55">
        <f t="shared" si="36"/>
        <v>0.12356211594488667</v>
      </c>
      <c r="AG100" s="55">
        <f t="shared" si="37"/>
        <v>0.86641817607735638</v>
      </c>
      <c r="AH100" s="55">
        <f t="shared" si="38"/>
        <v>0.98998029202224302</v>
      </c>
      <c r="AI100" s="54">
        <f t="shared" si="50"/>
        <v>494.99014601112151</v>
      </c>
      <c r="AJ100" s="54">
        <f t="shared" si="51"/>
        <v>617.8105797244333</v>
      </c>
      <c r="AK100" s="54">
        <f t="shared" si="52"/>
        <v>4332.0908803867815</v>
      </c>
      <c r="AM100" s="474">
        <v>32.478409982703944</v>
      </c>
      <c r="AN100" s="473">
        <v>163.80954829020123</v>
      </c>
      <c r="AO100" s="456">
        <f t="shared" si="30"/>
        <v>196.28795827290517</v>
      </c>
      <c r="AQ100" s="54">
        <f ca="1">AD100*AJ100/(AJ100+AK100)*2.71828^(-0.69315/半Cs134*(NOW()-R100)/365.25)+AD100*AK100/(AJ100+AK100)*2.71828^(-0.69315/半Cs137*(NOW()-R100)/365.25)</f>
        <v>180.83273215175916</v>
      </c>
      <c r="AS100" s="29"/>
    </row>
    <row r="101" spans="1:45" ht="9.9499999999999993" customHeight="1" x14ac:dyDescent="0.15">
      <c r="A101" s="8"/>
      <c r="R101" s="73">
        <v>42916</v>
      </c>
      <c r="S101" s="456">
        <f t="shared" si="23"/>
        <v>38.468333106828339</v>
      </c>
      <c r="T101" s="456">
        <f t="shared" si="24"/>
        <v>194.41168582998219</v>
      </c>
      <c r="U101" s="490">
        <f t="shared" si="54"/>
        <v>232.88001893681053</v>
      </c>
      <c r="V101" s="487">
        <f t="shared" si="55"/>
        <v>6.2921431644472063</v>
      </c>
      <c r="W101" s="456">
        <f t="shared" si="56"/>
        <v>31.799302472678331</v>
      </c>
      <c r="X101" s="480">
        <f t="shared" si="57"/>
        <v>38.091445637125538</v>
      </c>
      <c r="Y101" s="483">
        <f t="shared" si="47"/>
        <v>1154.2068611664226</v>
      </c>
      <c r="Z101" s="476">
        <f t="shared" si="48"/>
        <v>57.710343058321136</v>
      </c>
      <c r="AA101" s="66">
        <f t="shared" si="58"/>
        <v>13.439585784271658</v>
      </c>
      <c r="AB101" s="66">
        <f t="shared" si="49"/>
        <v>150.04689195163496</v>
      </c>
      <c r="AC101" s="66">
        <f t="shared" si="59"/>
        <v>5.7155030277953527</v>
      </c>
      <c r="AD101" s="89">
        <f t="shared" si="53"/>
        <v>191.55088812067009</v>
      </c>
      <c r="AE101" s="80">
        <f t="shared" si="35"/>
        <v>4.0282021463750045E-87</v>
      </c>
      <c r="AF101" s="55">
        <f t="shared" si="36"/>
        <v>0.12019720975796933</v>
      </c>
      <c r="AG101" s="55">
        <f t="shared" si="37"/>
        <v>0.86477931920304918</v>
      </c>
      <c r="AH101" s="55">
        <f t="shared" si="38"/>
        <v>0.9849765289610185</v>
      </c>
      <c r="AI101" s="54">
        <f t="shared" si="50"/>
        <v>492.48826448050926</v>
      </c>
      <c r="AJ101" s="54">
        <f t="shared" si="51"/>
        <v>600.98604878984668</v>
      </c>
      <c r="AK101" s="54">
        <f t="shared" si="52"/>
        <v>4323.8965960152454</v>
      </c>
      <c r="AM101" s="474">
        <v>34.870288648117537</v>
      </c>
      <c r="AN101" s="473">
        <v>176.22784908908042</v>
      </c>
      <c r="AO101" s="456">
        <f t="shared" si="30"/>
        <v>211.09813773719796</v>
      </c>
      <c r="AQ101" s="54">
        <f ca="1">AD101*AJ101/(AJ101+AK101)*2.71828^(-0.69315/半Cs134*(NOW()-R101)/365.25)+AD101*AK101/(AJ101+AK101)*2.71828^(-0.69315/半Cs137*(NOW()-R101)/365.25)</f>
        <v>169.07329329965899</v>
      </c>
      <c r="AS101" s="29"/>
    </row>
    <row r="102" spans="1:45" ht="9.9499999999999993" customHeight="1" x14ac:dyDescent="0.15">
      <c r="A102" s="8"/>
      <c r="R102" s="73">
        <v>42947</v>
      </c>
      <c r="S102" s="456">
        <f t="shared" ref="S102:S109" si="60">U102*AM102/AO102</f>
        <v>33.25811475947603</v>
      </c>
      <c r="T102" s="456">
        <f t="shared" ref="T102:T109" si="61">U102*AN102/AO102</f>
        <v>168.35145305396097</v>
      </c>
      <c r="U102" s="490">
        <f t="shared" si="54"/>
        <v>201.60956781343702</v>
      </c>
      <c r="V102" s="487">
        <f t="shared" si="55"/>
        <v>5.4399242843483693</v>
      </c>
      <c r="W102" s="456">
        <f t="shared" si="56"/>
        <v>27.536712901402144</v>
      </c>
      <c r="X102" s="480">
        <f t="shared" si="57"/>
        <v>32.976637185750512</v>
      </c>
      <c r="Y102" s="483">
        <f t="shared" si="47"/>
        <v>1227.9826613124892</v>
      </c>
      <c r="Z102" s="476">
        <f t="shared" si="48"/>
        <v>61.399133065624461</v>
      </c>
      <c r="AA102" s="66">
        <f t="shared" si="58"/>
        <v>12.378652681480258</v>
      </c>
      <c r="AB102" s="66">
        <f t="shared" si="49"/>
        <v>159.6377459706236</v>
      </c>
      <c r="AC102" s="66">
        <f t="shared" si="59"/>
        <v>5.2643160300242595</v>
      </c>
      <c r="AD102" s="89">
        <f t="shared" si="53"/>
        <v>176.42968711504517</v>
      </c>
      <c r="AE102" s="80">
        <f t="shared" si="35"/>
        <v>2.7648405873983104E-88</v>
      </c>
      <c r="AF102" s="55">
        <f t="shared" si="36"/>
        <v>0.11681637818984041</v>
      </c>
      <c r="AG102" s="55">
        <f t="shared" si="37"/>
        <v>0.86308909036606352</v>
      </c>
      <c r="AH102" s="55">
        <f t="shared" si="38"/>
        <v>0.97990546855590388</v>
      </c>
      <c r="AI102" s="54">
        <f t="shared" si="50"/>
        <v>489.95273427795195</v>
      </c>
      <c r="AJ102" s="54">
        <f t="shared" si="51"/>
        <v>584.08189094920203</v>
      </c>
      <c r="AK102" s="54">
        <f t="shared" si="52"/>
        <v>4315.4454518303173</v>
      </c>
      <c r="AM102" s="474">
        <v>33.009895127139742</v>
      </c>
      <c r="AN102" s="473">
        <v>167.0949736629147</v>
      </c>
      <c r="AO102" s="456">
        <f t="shared" si="30"/>
        <v>200.10486879005444</v>
      </c>
      <c r="AQ102" s="54">
        <f ca="1">AD102*AJ102/(AJ102+AK102)*2.71828^(-0.69315/半Cs134*(NOW()-R102)/365.25)+AD102*AK102/(AJ102+AK102)*2.71828^(-0.69315/半Cs137*(NOW()-R102)/365.25)</f>
        <v>156.53238652515182</v>
      </c>
      <c r="AS102" s="29"/>
    </row>
    <row r="103" spans="1:45" ht="9.9499999999999993" customHeight="1" x14ac:dyDescent="0.15">
      <c r="A103" s="8"/>
      <c r="R103" s="73">
        <v>42978</v>
      </c>
      <c r="S103" s="456">
        <f t="shared" si="60"/>
        <v>30.893708678900222</v>
      </c>
      <c r="T103" s="456">
        <f t="shared" si="61"/>
        <v>156.59668020878533</v>
      </c>
      <c r="U103" s="490">
        <f t="shared" si="54"/>
        <v>187.49038888768555</v>
      </c>
      <c r="V103" s="487">
        <f t="shared" si="55"/>
        <v>5.0531858853499552</v>
      </c>
      <c r="W103" s="456">
        <f t="shared" si="56"/>
        <v>25.614022011677246</v>
      </c>
      <c r="X103" s="480">
        <f t="shared" si="57"/>
        <v>30.6672078970272</v>
      </c>
      <c r="Y103" s="483">
        <f t="shared" si="47"/>
        <v>1245.230657705933</v>
      </c>
      <c r="Z103" s="476">
        <f t="shared" si="48"/>
        <v>62.261532885296653</v>
      </c>
      <c r="AA103" s="66">
        <f t="shared" si="58"/>
        <v>11.673439013407693</v>
      </c>
      <c r="AB103" s="66">
        <f t="shared" si="49"/>
        <v>161.8799855017713</v>
      </c>
      <c r="AC103" s="66">
        <f t="shared" si="59"/>
        <v>4.9644071697505696</v>
      </c>
      <c r="AD103" s="89">
        <f t="shared" si="53"/>
        <v>166.37846183158263</v>
      </c>
      <c r="AE103" s="80">
        <f t="shared" si="35"/>
        <v>1.8977060226742121E-89</v>
      </c>
      <c r="AF103" s="55">
        <f t="shared" si="36"/>
        <v>0.11353064052709473</v>
      </c>
      <c r="AG103" s="55">
        <f t="shared" si="37"/>
        <v>0.86140216511585188</v>
      </c>
      <c r="AH103" s="55">
        <f t="shared" si="38"/>
        <v>0.9749328056429466</v>
      </c>
      <c r="AI103" s="54">
        <f t="shared" si="50"/>
        <v>487.46640282147331</v>
      </c>
      <c r="AJ103" s="54">
        <f t="shared" si="51"/>
        <v>567.65320263547369</v>
      </c>
      <c r="AK103" s="54">
        <f t="shared" si="52"/>
        <v>4307.0108255792593</v>
      </c>
      <c r="AM103" s="474">
        <v>28.54483938030938</v>
      </c>
      <c r="AN103" s="473">
        <v>144.69053005288382</v>
      </c>
      <c r="AO103" s="456">
        <f t="shared" ref="AO103:AO121" si="62">AN103+AM103</f>
        <v>173.2353694331932</v>
      </c>
      <c r="AQ103" s="54">
        <f ca="1">AD103*AJ103/(AJ103+AK103)*2.71828^(-0.69315/半Cs134*(NOW()-R103)/365.25)+AD103*AK103/(AJ103+AK103)*2.71828^(-0.69315/半Cs137*(NOW()-R103)/365.25)</f>
        <v>148.36762498135755</v>
      </c>
      <c r="AS103" s="29"/>
    </row>
    <row r="104" spans="1:45" ht="9.9499999999999993" customHeight="1" x14ac:dyDescent="0.15">
      <c r="A104" s="8"/>
      <c r="R104" s="73">
        <v>43008</v>
      </c>
      <c r="S104" s="456">
        <f t="shared" si="60"/>
        <v>28.458821862613387</v>
      </c>
      <c r="T104" s="456">
        <f t="shared" si="61"/>
        <v>144.40779956387993</v>
      </c>
      <c r="U104" s="490">
        <f t="shared" si="54"/>
        <v>172.86662142649331</v>
      </c>
      <c r="V104" s="487">
        <f t="shared" si="55"/>
        <v>4.6549191760866329</v>
      </c>
      <c r="W104" s="456">
        <f t="shared" si="56"/>
        <v>23.620325486820789</v>
      </c>
      <c r="X104" s="480">
        <f t="shared" si="57"/>
        <v>28.275244662907422</v>
      </c>
      <c r="Y104" s="483">
        <f t="shared" si="47"/>
        <v>1154.6335468582129</v>
      </c>
      <c r="Z104" s="476">
        <f t="shared" si="48"/>
        <v>57.731677342910643</v>
      </c>
      <c r="AA104" s="66">
        <f t="shared" si="58"/>
        <v>9.9798800115533961</v>
      </c>
      <c r="AB104" s="66">
        <f t="shared" si="49"/>
        <v>150.10236109156767</v>
      </c>
      <c r="AC104" s="66">
        <f t="shared" si="59"/>
        <v>4.2441809843441511</v>
      </c>
      <c r="AD104" s="89">
        <f t="shared" si="53"/>
        <v>142.24060995897548</v>
      </c>
      <c r="AE104" s="80">
        <f t="shared" si="35"/>
        <v>1.4200974107951964E-90</v>
      </c>
      <c r="AF104" s="55">
        <f t="shared" si="36"/>
        <v>0.11043891656467322</v>
      </c>
      <c r="AG104" s="55">
        <f t="shared" si="37"/>
        <v>0.85977279618197899</v>
      </c>
      <c r="AH104" s="55">
        <f t="shared" si="38"/>
        <v>0.97021171274665219</v>
      </c>
      <c r="AI104" s="54">
        <f t="shared" si="50"/>
        <v>485.10585637332611</v>
      </c>
      <c r="AJ104" s="54">
        <f t="shared" si="51"/>
        <v>552.19458282336609</v>
      </c>
      <c r="AK104" s="54">
        <f t="shared" si="52"/>
        <v>4298.863980909895</v>
      </c>
      <c r="AM104" s="474">
        <v>26.522240627788236</v>
      </c>
      <c r="AN104" s="473">
        <v>134.5810598573712</v>
      </c>
      <c r="AO104" s="456">
        <f t="shared" si="62"/>
        <v>161.10330048515942</v>
      </c>
      <c r="AQ104" s="54">
        <f ca="1">AD104*AJ104/(AJ104+AK104)*2.71828^(-0.69315/半Cs134*(NOW()-R104)/365.25)+AD104*AK104/(AJ104+AK104)*2.71828^(-0.69315/半Cs137*(NOW()-R104)/365.25)</f>
        <v>127.45997141389748</v>
      </c>
      <c r="AS104" s="29"/>
    </row>
    <row r="105" spans="1:45" ht="9.9499999999999993" customHeight="1" x14ac:dyDescent="0.15">
      <c r="A105" s="8"/>
      <c r="R105" s="73">
        <v>43039</v>
      </c>
      <c r="S105" s="456">
        <f t="shared" si="60"/>
        <v>23.738629465058246</v>
      </c>
      <c r="T105" s="456">
        <f t="shared" si="61"/>
        <v>120.56664978628558</v>
      </c>
      <c r="U105" s="490">
        <f t="shared" si="54"/>
        <v>144.30527925134382</v>
      </c>
      <c r="V105" s="487">
        <f t="shared" si="55"/>
        <v>3.8828522854658822</v>
      </c>
      <c r="W105" s="456">
        <f t="shared" si="56"/>
        <v>19.720704279188467</v>
      </c>
      <c r="X105" s="480">
        <f t="shared" si="57"/>
        <v>23.603556564654351</v>
      </c>
      <c r="Y105" s="483">
        <f t="shared" si="47"/>
        <v>1188.0448272706392</v>
      </c>
      <c r="Z105" s="476">
        <f t="shared" si="48"/>
        <v>59.402241363531964</v>
      </c>
      <c r="AA105" s="66">
        <f t="shared" si="58"/>
        <v>8.5720570281202075</v>
      </c>
      <c r="AB105" s="66">
        <f t="shared" si="49"/>
        <v>154.44582754518311</v>
      </c>
      <c r="AC105" s="66">
        <f t="shared" si="59"/>
        <v>3.6454708266375806</v>
      </c>
      <c r="AD105" s="89">
        <f t="shared" si="53"/>
        <v>122.17527854757789</v>
      </c>
      <c r="AE105" s="80">
        <f t="shared" si="35"/>
        <v>9.7471348674970091E-92</v>
      </c>
      <c r="AF105" s="55">
        <f t="shared" si="36"/>
        <v>0.10733256013407351</v>
      </c>
      <c r="AG105" s="55">
        <f t="shared" si="37"/>
        <v>0.85809235269646433</v>
      </c>
      <c r="AH105" s="55">
        <f t="shared" si="38"/>
        <v>0.96542491283053788</v>
      </c>
      <c r="AI105" s="54">
        <f t="shared" si="50"/>
        <v>482.71245641526889</v>
      </c>
      <c r="AJ105" s="54">
        <f t="shared" si="51"/>
        <v>536.66280067036757</v>
      </c>
      <c r="AK105" s="54">
        <f t="shared" si="52"/>
        <v>4290.4617634823217</v>
      </c>
      <c r="AM105" s="474">
        <v>24.434867817941718</v>
      </c>
      <c r="AN105" s="473">
        <v>124.1027901428062</v>
      </c>
      <c r="AO105" s="456">
        <f t="shared" si="62"/>
        <v>148.53765796074791</v>
      </c>
      <c r="AQ105" s="54">
        <f ca="1">AD105*AJ105/(AJ105+AK105)*2.71828^(-0.69315/半Cs134*(NOW()-R105)/365.25)+AD105*AK105/(AJ105+AK105)*2.71828^(-0.69315/半Cs137*(NOW()-R105)/365.25)</f>
        <v>110.02251298161123</v>
      </c>
      <c r="AS105" s="29"/>
    </row>
    <row r="106" spans="1:45" ht="9.9499999999999993" customHeight="1" x14ac:dyDescent="0.15">
      <c r="A106" s="8"/>
      <c r="R106" s="73">
        <v>43069</v>
      </c>
      <c r="S106" s="456">
        <f t="shared" si="60"/>
        <v>17.526678542456096</v>
      </c>
      <c r="T106" s="456">
        <f t="shared" si="61"/>
        <v>89.074294464355646</v>
      </c>
      <c r="U106" s="490">
        <f t="shared" si="54"/>
        <v>106.60097300681174</v>
      </c>
      <c r="V106" s="487">
        <f t="shared" si="55"/>
        <v>2.8667831870989824</v>
      </c>
      <c r="W106" s="456">
        <f t="shared" si="56"/>
        <v>14.569599662283437</v>
      </c>
      <c r="X106" s="480">
        <f t="shared" si="57"/>
        <v>17.436382849382419</v>
      </c>
      <c r="Y106" s="483">
        <f t="shared" si="47"/>
        <v>1074.6559805622767</v>
      </c>
      <c r="Z106" s="476">
        <f t="shared" si="48"/>
        <v>53.732799028113838</v>
      </c>
      <c r="AA106" s="66">
        <f t="shared" si="58"/>
        <v>5.7279686587764038</v>
      </c>
      <c r="AB106" s="66">
        <f t="shared" si="49"/>
        <v>139.70527747309598</v>
      </c>
      <c r="AC106" s="66">
        <f t="shared" si="59"/>
        <v>2.4359547041001028</v>
      </c>
      <c r="AD106" s="89">
        <f t="shared" si="53"/>
        <v>81.639233628765055</v>
      </c>
      <c r="AE106" s="80">
        <f t="shared" si="35"/>
        <v>7.2940069866557919E-93</v>
      </c>
      <c r="AF106" s="55">
        <f t="shared" si="36"/>
        <v>0.10440962543931716</v>
      </c>
      <c r="AG106" s="55">
        <f t="shared" si="37"/>
        <v>0.85646924437552185</v>
      </c>
      <c r="AH106" s="55">
        <f t="shared" si="38"/>
        <v>0.96087886981483905</v>
      </c>
      <c r="AI106" s="54">
        <f t="shared" si="50"/>
        <v>480.43943490741947</v>
      </c>
      <c r="AJ106" s="54">
        <f t="shared" si="51"/>
        <v>522.04812719658582</v>
      </c>
      <c r="AK106" s="54">
        <f t="shared" si="52"/>
        <v>4282.3462218776094</v>
      </c>
      <c r="AM106" s="474">
        <v>20.386660941579649</v>
      </c>
      <c r="AN106" s="473">
        <v>103.6093310809801</v>
      </c>
      <c r="AO106" s="456">
        <f t="shared" si="62"/>
        <v>123.99599202255975</v>
      </c>
      <c r="AQ106" s="54">
        <f ca="1">AD106*AJ106/(AJ106+AK106)*2.71828^(-0.69315/半Cs134*(NOW()-R106)/365.25)+AD106*AK106/(AJ106+AK106)*2.71828^(-0.69315/半Cs137*(NOW()-R106)/365.25)</f>
        <v>73.866411332534128</v>
      </c>
      <c r="AS106" s="29"/>
    </row>
    <row r="107" spans="1:45" ht="9.9499999999999993" customHeight="1" x14ac:dyDescent="0.15">
      <c r="A107" s="8"/>
      <c r="R107" s="73">
        <v>43100</v>
      </c>
      <c r="S107" s="456">
        <f t="shared" si="60"/>
        <v>15.840312628154342</v>
      </c>
      <c r="T107" s="456">
        <f t="shared" si="61"/>
        <v>80.539639443526355</v>
      </c>
      <c r="U107" s="490">
        <f t="shared" si="54"/>
        <v>96.379952071680691</v>
      </c>
      <c r="V107" s="487">
        <f t="shared" si="55"/>
        <v>2.5909496662920448</v>
      </c>
      <c r="W107" s="456">
        <f t="shared" si="56"/>
        <v>13.173613225826855</v>
      </c>
      <c r="X107" s="480">
        <f t="shared" si="57"/>
        <v>15.764562892118899</v>
      </c>
      <c r="Y107" s="483">
        <f t="shared" si="47"/>
        <v>1078.5779260358659</v>
      </c>
      <c r="Z107" s="476">
        <f t="shared" si="48"/>
        <v>53.928896301793294</v>
      </c>
      <c r="AA107" s="66">
        <f t="shared" si="58"/>
        <v>5.1976644408454762</v>
      </c>
      <c r="AB107" s="66">
        <f t="shared" si="49"/>
        <v>140.21513038466256</v>
      </c>
      <c r="AC107" s="66">
        <f t="shared" si="59"/>
        <v>2.2104302413756645</v>
      </c>
      <c r="AD107" s="89">
        <f t="shared" si="53"/>
        <v>74.080946822211402</v>
      </c>
      <c r="AE107" s="80">
        <f t="shared" si="35"/>
        <v>5.00639387713444E-94</v>
      </c>
      <c r="AF107" s="55">
        <f t="shared" si="36"/>
        <v>0.10147285711988156</v>
      </c>
      <c r="AG107" s="55">
        <f t="shared" si="37"/>
        <v>0.85479525774946685</v>
      </c>
      <c r="AH107" s="55">
        <f t="shared" si="38"/>
        <v>0.95626811486934837</v>
      </c>
      <c r="AI107" s="54">
        <f t="shared" si="50"/>
        <v>478.13405743467422</v>
      </c>
      <c r="AJ107" s="54">
        <f t="shared" si="51"/>
        <v>507.36428559940782</v>
      </c>
      <c r="AK107" s="54">
        <f t="shared" si="52"/>
        <v>4273.9762887473344</v>
      </c>
      <c r="AM107" s="474">
        <v>15.054406522750332</v>
      </c>
      <c r="AN107" s="474">
        <v>76.543721190423028</v>
      </c>
      <c r="AO107" s="456">
        <f t="shared" si="62"/>
        <v>91.598127713173355</v>
      </c>
      <c r="AQ107" s="54">
        <f ca="1">AD107*AJ107/(AJ107+AK107)*2.71828^(-0.69315/半Cs134*(NOW()-R107)/365.25)+AD107*AK107/(AJ107+AK107)*2.71828^(-0.69315/半Cs137*(NOW()-R107)/365.25)</f>
        <v>67.350926319677512</v>
      </c>
      <c r="AS107" s="29"/>
    </row>
    <row r="108" spans="1:45" ht="9.9499999999999993" customHeight="1" x14ac:dyDescent="0.15">
      <c r="A108" s="8"/>
      <c r="R108" s="73">
        <v>43131</v>
      </c>
      <c r="S108" s="456">
        <f t="shared" si="60"/>
        <v>14.473671749398605</v>
      </c>
      <c r="T108" s="456">
        <f t="shared" si="61"/>
        <v>73.63054901452594</v>
      </c>
      <c r="U108" s="490">
        <f t="shared" si="54"/>
        <v>88.104220763924531</v>
      </c>
      <c r="V108" s="487">
        <f t="shared" si="55"/>
        <v>2.3674125548805121</v>
      </c>
      <c r="W108" s="456">
        <f t="shared" si="56"/>
        <v>12.0435152308174</v>
      </c>
      <c r="X108" s="480">
        <f t="shared" si="57"/>
        <v>14.410927785697911</v>
      </c>
      <c r="Y108" s="483">
        <f t="shared" si="47"/>
        <v>988.24871308971558</v>
      </c>
      <c r="Z108" s="476">
        <f t="shared" si="48"/>
        <v>49.412435654485783</v>
      </c>
      <c r="AA108" s="66">
        <f t="shared" si="58"/>
        <v>4.3534441393860313</v>
      </c>
      <c r="AB108" s="66">
        <f t="shared" si="49"/>
        <v>128.47233270166302</v>
      </c>
      <c r="AC108" s="66">
        <f t="shared" si="59"/>
        <v>1.8514055090238222</v>
      </c>
      <c r="AD108" s="89">
        <f t="shared" si="53"/>
        <v>62.048496484098536</v>
      </c>
      <c r="AE108" s="80">
        <f t="shared" si="35"/>
        <v>3.4362428907546393E-95</v>
      </c>
      <c r="AF108" s="55">
        <f t="shared" si="36"/>
        <v>9.8618692373878436E-2</v>
      </c>
      <c r="AG108" s="55">
        <f t="shared" si="37"/>
        <v>0.85312454296445306</v>
      </c>
      <c r="AH108" s="55">
        <f t="shared" si="38"/>
        <v>0.95174323533833149</v>
      </c>
      <c r="AI108" s="54">
        <f t="shared" si="50"/>
        <v>475.87161766916574</v>
      </c>
      <c r="AJ108" s="54">
        <f t="shared" si="51"/>
        <v>493.09346186939217</v>
      </c>
      <c r="AK108" s="54">
        <f t="shared" si="52"/>
        <v>4265.6227148222652</v>
      </c>
      <c r="AM108" s="474">
        <v>13.604861923376793</v>
      </c>
      <c r="AN108" s="474">
        <v>69.210734499811736</v>
      </c>
      <c r="AO108" s="456">
        <f t="shared" si="62"/>
        <v>82.815596423188524</v>
      </c>
      <c r="AQ108" s="54">
        <f ca="1">AD108*AJ108/(AJ108+AK108)*2.71828^(-0.69315/半Cs134*(NOW()-R108)/365.25)+AD108*AK108/(AJ108+AK108)*2.71828^(-0.69315/半Cs137*(NOW()-R108)/365.25)</f>
        <v>56.679784165658702</v>
      </c>
      <c r="AS108" s="29"/>
    </row>
    <row r="109" spans="1:45" ht="9.9499999999999993" customHeight="1" x14ac:dyDescent="0.15">
      <c r="A109" s="8"/>
      <c r="R109" s="73">
        <v>43159</v>
      </c>
      <c r="S109" s="456">
        <f t="shared" si="60"/>
        <v>13.466778813720504</v>
      </c>
      <c r="T109" s="456">
        <f t="shared" si="61"/>
        <v>68.526550608956285</v>
      </c>
      <c r="U109" s="490">
        <f t="shared" si="54"/>
        <v>81.99332942267678</v>
      </c>
      <c r="V109" s="487">
        <f t="shared" si="55"/>
        <v>2.2027182728339487</v>
      </c>
      <c r="W109" s="456">
        <f t="shared" si="56"/>
        <v>11.208670409499838</v>
      </c>
      <c r="X109" s="480">
        <f t="shared" si="57"/>
        <v>13.411388682333786</v>
      </c>
      <c r="Y109" s="483">
        <f t="shared" si="47"/>
        <v>845.62420821514002</v>
      </c>
      <c r="Z109" s="476">
        <f t="shared" si="48"/>
        <v>42.281210410757005</v>
      </c>
      <c r="AA109" s="66">
        <f t="shared" si="58"/>
        <v>3.4667772135987103</v>
      </c>
      <c r="AB109" s="66">
        <f t="shared" si="49"/>
        <v>109.93114706796821</v>
      </c>
      <c r="AC109" s="66">
        <f t="shared" si="59"/>
        <v>1.4743293416233199</v>
      </c>
      <c r="AD109" s="89">
        <f t="shared" si="53"/>
        <v>49.411065552220293</v>
      </c>
      <c r="AE109" s="80">
        <f t="shared" si="35"/>
        <v>3.0565659730310601E-96</v>
      </c>
      <c r="AF109" s="55">
        <f t="shared" si="36"/>
        <v>9.6109802719625534E-2</v>
      </c>
      <c r="AG109" s="55">
        <f t="shared" si="37"/>
        <v>0.85161831715309788</v>
      </c>
      <c r="AH109" s="55">
        <f t="shared" si="38"/>
        <v>0.94772811987272343</v>
      </c>
      <c r="AI109" s="54">
        <f t="shared" si="50"/>
        <v>473.86405993636174</v>
      </c>
      <c r="AJ109" s="54">
        <f t="shared" si="51"/>
        <v>480.54901359812766</v>
      </c>
      <c r="AK109" s="54">
        <f t="shared" si="52"/>
        <v>4258.0915857654891</v>
      </c>
      <c r="AM109" s="474">
        <v>12.433899354904547</v>
      </c>
      <c r="AN109" s="474">
        <v>63.270678548787757</v>
      </c>
      <c r="AO109" s="456">
        <f t="shared" si="62"/>
        <v>75.704577903692297</v>
      </c>
      <c r="AQ109" s="54">
        <f ca="1">AD109*AJ109/(AJ109+AK109)*2.71828^(-0.69315/半Cs134*(NOW()-R109)/365.25)+AD109*AK109/(AJ109+AK109)*2.71828^(-0.69315/半Cs137*(NOW()-R109)/365.25)</f>
        <v>45.327020979168459</v>
      </c>
      <c r="AS109" s="29"/>
    </row>
    <row r="110" spans="1:45" ht="9.9499999999999993" customHeight="1" x14ac:dyDescent="0.15">
      <c r="A110" s="8"/>
      <c r="R110" s="73">
        <v>43190</v>
      </c>
      <c r="S110" s="456">
        <f>U110*AM110/AO110</f>
        <v>18.066518546321412</v>
      </c>
      <c r="T110" s="456">
        <f>U110*AN110/AO110</f>
        <v>91.933481453678596</v>
      </c>
      <c r="U110" s="491">
        <v>110</v>
      </c>
      <c r="V110" s="487">
        <f t="shared" si="55"/>
        <v>2.9550831033127514</v>
      </c>
      <c r="W110" s="456">
        <f t="shared" si="56"/>
        <v>15.037267804305204</v>
      </c>
      <c r="X110" s="481">
        <v>32</v>
      </c>
      <c r="Y110" s="483">
        <f t="shared" si="47"/>
        <v>1025.1781734403389</v>
      </c>
      <c r="Z110" s="476">
        <f t="shared" si="48"/>
        <v>51.25890867201695</v>
      </c>
      <c r="AA110" s="66">
        <f t="shared" si="58"/>
        <v>5.6384799539218644</v>
      </c>
      <c r="AB110" s="66">
        <f t="shared" si="49"/>
        <v>133.27316254724406</v>
      </c>
      <c r="AC110" s="66">
        <f t="shared" si="59"/>
        <v>4.2647412015118098</v>
      </c>
      <c r="AD110" s="89">
        <f t="shared" si="53"/>
        <v>99.032211554336726</v>
      </c>
      <c r="AE110" s="80">
        <f t="shared" si="35"/>
        <v>2.0979378276488482E-97</v>
      </c>
      <c r="AF110" s="55">
        <f t="shared" si="36"/>
        <v>9.3406486596934887E-2</v>
      </c>
      <c r="AG110" s="55">
        <f t="shared" si="37"/>
        <v>0.84995381176334839</v>
      </c>
      <c r="AH110" s="55">
        <f t="shared" si="38"/>
        <v>0.94336029836028323</v>
      </c>
      <c r="AI110" s="54">
        <f t="shared" si="50"/>
        <v>471.68014918014165</v>
      </c>
      <c r="AJ110" s="54">
        <f t="shared" si="51"/>
        <v>467.03243298467441</v>
      </c>
      <c r="AK110" s="54">
        <f t="shared" si="52"/>
        <v>4249.7690588167416</v>
      </c>
      <c r="AM110" s="474">
        <v>11.571395449043157</v>
      </c>
      <c r="AN110" s="474">
        <v>58.882327891800372</v>
      </c>
      <c r="AO110" s="456">
        <f t="shared" si="62"/>
        <v>70.453723340843524</v>
      </c>
      <c r="AQ110" s="54">
        <f ca="1">AD110*AJ110/(AJ110+AK110)*2.71828^(-0.69315/半Cs134*(NOW()-R110)/365.25)+AD110*AK110/(AJ110+AK110)*2.71828^(-0.69315/半Cs137*(NOW()-R110)/365.25)</f>
        <v>91.267384913550643</v>
      </c>
      <c r="AS110" s="29"/>
    </row>
    <row r="111" spans="1:45" ht="9.9499999999999993" customHeight="1" x14ac:dyDescent="0.15">
      <c r="A111" s="8"/>
      <c r="R111" s="73">
        <v>43220</v>
      </c>
      <c r="S111" s="456">
        <f t="shared" ref="S111:S117" si="63">U111*AM111/AO111</f>
        <v>61.27675486744414</v>
      </c>
      <c r="T111" s="456">
        <f t="shared" ref="T111:T117" si="64">U111*AN111/AO111</f>
        <v>311.72324513255586</v>
      </c>
      <c r="U111" s="491">
        <v>373</v>
      </c>
      <c r="V111" s="487">
        <f t="shared" si="55"/>
        <v>10.022844327774013</v>
      </c>
      <c r="W111" s="456">
        <f t="shared" si="56"/>
        <v>50.987581931694137</v>
      </c>
      <c r="X111" s="481">
        <v>110</v>
      </c>
      <c r="Y111" s="483">
        <f t="shared" si="47"/>
        <v>1021.7013597301892</v>
      </c>
      <c r="Z111" s="476">
        <f t="shared" si="48"/>
        <v>51.085067986509465</v>
      </c>
      <c r="AA111" s="66">
        <f t="shared" si="58"/>
        <v>19.05473035896803</v>
      </c>
      <c r="AB111" s="66">
        <f t="shared" si="49"/>
        <v>132.82117676492462</v>
      </c>
      <c r="AC111" s="66">
        <f t="shared" si="59"/>
        <v>14.610329444141707</v>
      </c>
      <c r="AD111" s="89">
        <f t="shared" si="53"/>
        <v>336.65059803109733</v>
      </c>
      <c r="AE111" s="80">
        <f t="shared" si="35"/>
        <v>1.5699355123800162E-98</v>
      </c>
      <c r="AF111" s="55">
        <f t="shared" si="36"/>
        <v>9.0862793797206243E-2</v>
      </c>
      <c r="AG111" s="55">
        <f t="shared" si="37"/>
        <v>0.84834609774520719</v>
      </c>
      <c r="AH111" s="55">
        <f t="shared" si="38"/>
        <v>0.93920889154241349</v>
      </c>
      <c r="AI111" s="54">
        <f t="shared" si="50"/>
        <v>469.60444577120671</v>
      </c>
      <c r="AJ111" s="54">
        <f t="shared" si="51"/>
        <v>454.31396898603123</v>
      </c>
      <c r="AK111" s="54">
        <f t="shared" si="52"/>
        <v>4241.7304887260361</v>
      </c>
      <c r="AM111" s="474">
        <v>19.832307859597382</v>
      </c>
      <c r="AN111" s="473">
        <v>100.88966652746389</v>
      </c>
      <c r="AO111" s="456">
        <f t="shared" si="62"/>
        <v>120.72197438706127</v>
      </c>
      <c r="AQ111" s="54">
        <f ca="1">AD111*AJ111/(AJ111+AK111)*2.71828^(-0.69315/半Cs134*(NOW()-R111)/365.25)+AD111*AK111/(AJ111+AK111)*2.71828^(-0.69315/半Cs137*(NOW()-R111)/365.25)</f>
        <v>311.62616773969285</v>
      </c>
      <c r="AS111" s="29"/>
    </row>
    <row r="112" spans="1:45" ht="9.9499999999999993" customHeight="1" x14ac:dyDescent="0.15">
      <c r="A112" s="8"/>
      <c r="R112" s="73">
        <v>43251</v>
      </c>
      <c r="S112" s="456">
        <f t="shared" si="63"/>
        <v>20.951367938311318</v>
      </c>
      <c r="T112" s="456">
        <f t="shared" si="64"/>
        <v>106.54863206168868</v>
      </c>
      <c r="U112" s="491">
        <v>127.5</v>
      </c>
      <c r="V112" s="487">
        <f t="shared" si="55"/>
        <v>3.426948763097394</v>
      </c>
      <c r="W112" s="456">
        <f t="shared" si="56"/>
        <v>17.427821607096142</v>
      </c>
      <c r="X112" s="481">
        <v>44</v>
      </c>
      <c r="Y112" s="483">
        <f t="shared" si="47"/>
        <v>1148.0125812586089</v>
      </c>
      <c r="Z112" s="476">
        <f t="shared" si="48"/>
        <v>57.400629062930449</v>
      </c>
      <c r="AA112" s="66">
        <f t="shared" si="58"/>
        <v>7.3185802055236318</v>
      </c>
      <c r="AB112" s="66">
        <f t="shared" si="49"/>
        <v>149.24163556361916</v>
      </c>
      <c r="AC112" s="66">
        <f t="shared" si="59"/>
        <v>6.5666319647992433</v>
      </c>
      <c r="AD112" s="89">
        <f t="shared" si="53"/>
        <v>138.85212170322876</v>
      </c>
      <c r="AE112" s="80">
        <f t="shared" si="35"/>
        <v>1.0775579939879946E-99</v>
      </c>
      <c r="AF112" s="55">
        <f t="shared" si="36"/>
        <v>8.830706224356577E-2</v>
      </c>
      <c r="AG112" s="55">
        <f t="shared" si="37"/>
        <v>0.84668798797510458</v>
      </c>
      <c r="AH112" s="55">
        <f t="shared" si="38"/>
        <v>0.93499505021867035</v>
      </c>
      <c r="AI112" s="54">
        <f t="shared" si="50"/>
        <v>467.49752510933513</v>
      </c>
      <c r="AJ112" s="54">
        <f t="shared" si="51"/>
        <v>441.53531121782885</v>
      </c>
      <c r="AK112" s="54">
        <f t="shared" si="52"/>
        <v>4233.4399398755231</v>
      </c>
      <c r="AM112" s="474">
        <v>29.903895903211147</v>
      </c>
      <c r="AN112" s="473">
        <v>152.07690548816228</v>
      </c>
      <c r="AO112" s="456">
        <f t="shared" si="62"/>
        <v>181.98080139137343</v>
      </c>
      <c r="AQ112" s="54">
        <f ca="1">AD112*AJ112/(AJ112+AK112)*2.71828^(-0.69315/半Cs134*(NOW()-R112)/365.25)+AD112*AK112/(AJ112+AK112)*2.71828^(-0.69315/半Cs137*(NOW()-R112)/365.25)</f>
        <v>129.11001529470335</v>
      </c>
      <c r="AS112" s="506">
        <f>集計表!AA6*10</f>
        <v>14.07</v>
      </c>
    </row>
    <row r="113" spans="1:45" ht="9.9499999999999993" customHeight="1" x14ac:dyDescent="0.15">
      <c r="A113" s="8"/>
      <c r="R113" s="73">
        <v>43281</v>
      </c>
      <c r="S113" s="456">
        <f t="shared" si="63"/>
        <v>37.728517189168066</v>
      </c>
      <c r="T113" s="456">
        <f t="shared" si="64"/>
        <v>191.77148281083194</v>
      </c>
      <c r="U113" s="491">
        <v>229.5</v>
      </c>
      <c r="V113" s="487">
        <f t="shared" si="55"/>
        <v>6.1711338226509787</v>
      </c>
      <c r="W113" s="456">
        <f t="shared" si="56"/>
        <v>31.367452843697389</v>
      </c>
      <c r="X113" s="481">
        <v>60.5</v>
      </c>
      <c r="Y113" s="483">
        <f t="shared" si="47"/>
        <v>1126.6024594246735</v>
      </c>
      <c r="Z113" s="476">
        <f t="shared" si="48"/>
        <v>56.330122971233678</v>
      </c>
      <c r="AA113" s="66">
        <f t="shared" si="58"/>
        <v>12.927763221898129</v>
      </c>
      <c r="AB113" s="66">
        <f t="shared" si="49"/>
        <v>146.45831972520756</v>
      </c>
      <c r="AC113" s="66">
        <f t="shared" si="59"/>
        <v>8.8607283433750581</v>
      </c>
      <c r="AD113" s="89">
        <f t="shared" si="53"/>
        <v>217.88491565273188</v>
      </c>
      <c r="AE113" s="80">
        <f t="shared" si="35"/>
        <v>8.063616276496639E-101</v>
      </c>
      <c r="AF113" s="55">
        <f t="shared" si="36"/>
        <v>8.5902239553216173E-2</v>
      </c>
      <c r="AG113" s="55">
        <f t="shared" si="37"/>
        <v>0.84508645136403238</v>
      </c>
      <c r="AH113" s="55">
        <f t="shared" si="38"/>
        <v>0.93098869091724856</v>
      </c>
      <c r="AI113" s="54">
        <f t="shared" si="50"/>
        <v>465.49434545862431</v>
      </c>
      <c r="AJ113" s="54">
        <f t="shared" si="51"/>
        <v>429.51119776608084</v>
      </c>
      <c r="AK113" s="54">
        <f t="shared" si="52"/>
        <v>4225.4322568201615</v>
      </c>
      <c r="AM113" s="474">
        <v>32.296963812581211</v>
      </c>
      <c r="AN113" s="473">
        <v>164.16326699435419</v>
      </c>
      <c r="AO113" s="456">
        <f t="shared" si="62"/>
        <v>196.46023080693539</v>
      </c>
      <c r="AQ113" s="54">
        <f ca="1">AD113*AJ113/(AJ113+AK113)*2.71828^(-0.69315/半Cs134*(NOW()-R113)/365.25)+AD113*AK113/(AJ113+AK113)*2.71828^(-0.69315/半Cs137*(NOW()-R113)/365.25)</f>
        <v>203.46957751113678</v>
      </c>
      <c r="AS113" s="506">
        <f>集計表!AA7*10</f>
        <v>33.25</v>
      </c>
    </row>
    <row r="114" spans="1:45" ht="9.9499999999999993" customHeight="1" x14ac:dyDescent="0.15">
      <c r="A114" s="8"/>
      <c r="R114" s="73">
        <v>43312</v>
      </c>
      <c r="S114" s="456">
        <f t="shared" si="63"/>
        <v>30.416887038550868</v>
      </c>
      <c r="T114" s="456">
        <f t="shared" si="64"/>
        <v>154.58311296144913</v>
      </c>
      <c r="U114" s="491">
        <v>185</v>
      </c>
      <c r="V114" s="487">
        <f t="shared" si="55"/>
        <v>4.9751936828634866</v>
      </c>
      <c r="W114" s="456">
        <f t="shared" si="56"/>
        <v>25.284669207221253</v>
      </c>
      <c r="X114" s="481">
        <v>57.5</v>
      </c>
      <c r="Y114" s="483">
        <f t="shared" si="47"/>
        <v>1198.6138125772497</v>
      </c>
      <c r="Z114" s="476">
        <f t="shared" si="48"/>
        <v>59.930690628862493</v>
      </c>
      <c r="AA114" s="66">
        <f t="shared" si="58"/>
        <v>11.087177766339561</v>
      </c>
      <c r="AB114" s="66">
        <f t="shared" si="49"/>
        <v>155.81979563504248</v>
      </c>
      <c r="AC114" s="66">
        <f t="shared" si="59"/>
        <v>8.959638249014942</v>
      </c>
      <c r="AD114" s="89">
        <f t="shared" si="53"/>
        <v>200.468160153545</v>
      </c>
      <c r="AE114" s="80">
        <f t="shared" si="35"/>
        <v>5.534631270311163E-102</v>
      </c>
      <c r="AF114" s="55">
        <f t="shared" si="36"/>
        <v>8.3486035351477403E-2</v>
      </c>
      <c r="AG114" s="55">
        <f t="shared" si="37"/>
        <v>0.84343471263933933</v>
      </c>
      <c r="AH114" s="55">
        <f t="shared" si="38"/>
        <v>0.9269207479908167</v>
      </c>
      <c r="AI114" s="54">
        <f t="shared" si="50"/>
        <v>463.46037399540836</v>
      </c>
      <c r="AJ114" s="54">
        <f t="shared" si="51"/>
        <v>417.43017675738702</v>
      </c>
      <c r="AK114" s="54">
        <f t="shared" si="52"/>
        <v>4217.1735631966967</v>
      </c>
      <c r="AM114" s="474">
        <v>30.742688277705927</v>
      </c>
      <c r="AN114" s="473">
        <v>156.23888298457661</v>
      </c>
      <c r="AO114" s="456">
        <f t="shared" si="62"/>
        <v>186.98157126228253</v>
      </c>
      <c r="AQ114" s="54">
        <f ca="1">AD114*AJ114/(AJ114+AK114)*2.71828^(-0.69315/半Cs134*(NOW()-R114)/365.25)+AD114*AK114/(AJ114+AK114)*2.71828^(-0.69315/半Cs137*(NOW()-R114)/365.25)</f>
        <v>188.02670053327842</v>
      </c>
      <c r="AS114" s="506">
        <f>集計表!AA8*10</f>
        <v>69.45</v>
      </c>
    </row>
    <row r="115" spans="1:45" ht="9.9499999999999993" customHeight="1" x14ac:dyDescent="0.15">
      <c r="A115" s="8"/>
      <c r="R115" s="73">
        <v>43343</v>
      </c>
      <c r="S115" s="456">
        <f t="shared" si="63"/>
        <v>35.278875517656758</v>
      </c>
      <c r="T115" s="456">
        <f t="shared" si="64"/>
        <v>179.22112448234324</v>
      </c>
      <c r="U115" s="491">
        <v>214.5</v>
      </c>
      <c r="V115" s="487">
        <f t="shared" si="55"/>
        <v>5.7704537085441121</v>
      </c>
      <c r="W115" s="456">
        <f t="shared" si="56"/>
        <v>29.314630561310896</v>
      </c>
      <c r="X115" s="481">
        <v>44.5</v>
      </c>
      <c r="Y115" s="483">
        <f t="shared" si="47"/>
        <v>1215.4493000542209</v>
      </c>
      <c r="Z115" s="476">
        <f t="shared" si="48"/>
        <v>60.772465002711044</v>
      </c>
      <c r="AA115" s="66">
        <f t="shared" si="58"/>
        <v>13.03569374308152</v>
      </c>
      <c r="AB115" s="66">
        <f t="shared" si="49"/>
        <v>158.00840900704873</v>
      </c>
      <c r="AC115" s="66">
        <f t="shared" si="59"/>
        <v>7.0313742008136684</v>
      </c>
      <c r="AD115" s="89">
        <f t="shared" si="53"/>
        <v>200.67067943895188</v>
      </c>
      <c r="AE115" s="80">
        <f t="shared" si="35"/>
        <v>3.7988096466834062E-103</v>
      </c>
      <c r="AF115" s="55">
        <f t="shared" si="36"/>
        <v>8.1137792622860389E-2</v>
      </c>
      <c r="AG115" s="55">
        <f t="shared" si="37"/>
        <v>0.84178620227170986</v>
      </c>
      <c r="AH115" s="55">
        <f t="shared" si="38"/>
        <v>0.92292399489457022</v>
      </c>
      <c r="AI115" s="54">
        <f t="shared" si="50"/>
        <v>461.46199744728511</v>
      </c>
      <c r="AJ115" s="54">
        <f t="shared" si="51"/>
        <v>405.68896311430194</v>
      </c>
      <c r="AK115" s="54">
        <f t="shared" si="52"/>
        <v>4208.9310113585489</v>
      </c>
      <c r="AM115" s="474">
        <v>26.722340940329332</v>
      </c>
      <c r="AN115" s="473">
        <v>135.75285271576826</v>
      </c>
      <c r="AO115" s="456">
        <f t="shared" si="62"/>
        <v>162.47519365609759</v>
      </c>
      <c r="AQ115" s="54">
        <f ca="1">AD115*AJ115/(AJ115+AK115)*2.71828^(-0.69315/半Cs134*(NOW()-R115)/365.25)+AD115*AK115/(AJ115+AK115)*2.71828^(-0.69315/半Cs137*(NOW()-R115)/365.25)</f>
        <v>189.03172953772963</v>
      </c>
      <c r="AS115" s="506">
        <f>集計表!AA9*10</f>
        <v>7.29</v>
      </c>
    </row>
    <row r="116" spans="1:45" ht="9.9499999999999993" customHeight="1" x14ac:dyDescent="0.15">
      <c r="A116" s="8"/>
      <c r="R116" s="73">
        <v>43373</v>
      </c>
      <c r="S116" s="456">
        <f t="shared" si="63"/>
        <v>51.579089909480501</v>
      </c>
      <c r="T116" s="456">
        <f t="shared" si="64"/>
        <v>261.9209100905195</v>
      </c>
      <c r="U116" s="491">
        <v>313.5</v>
      </c>
      <c r="V116" s="487">
        <f t="shared" si="55"/>
        <v>8.4366280467904495</v>
      </c>
      <c r="W116" s="456">
        <f t="shared" si="56"/>
        <v>42.84157203992072</v>
      </c>
      <c r="X116" s="481">
        <v>73.5</v>
      </c>
      <c r="Y116" s="483">
        <f t="shared" si="47"/>
        <v>1127.0189403571176</v>
      </c>
      <c r="Z116" s="476">
        <f t="shared" si="48"/>
        <v>56.35094701785588</v>
      </c>
      <c r="AA116" s="66">
        <f t="shared" si="58"/>
        <v>17.666021890097817</v>
      </c>
      <c r="AB116" s="66">
        <f t="shared" si="49"/>
        <v>146.51246224642529</v>
      </c>
      <c r="AC116" s="66">
        <f t="shared" si="59"/>
        <v>10.768665975112258</v>
      </c>
      <c r="AD116" s="89">
        <f t="shared" si="53"/>
        <v>284.34687865210071</v>
      </c>
      <c r="AE116" s="80">
        <f t="shared" si="35"/>
        <v>2.8427373254351544E-104</v>
      </c>
      <c r="AF116" s="55">
        <f t="shared" si="36"/>
        <v>7.8928207117613308E-2</v>
      </c>
      <c r="AG116" s="55">
        <f t="shared" si="37"/>
        <v>0.84019393754045069</v>
      </c>
      <c r="AH116" s="55">
        <f t="shared" si="38"/>
        <v>0.91912214465806397</v>
      </c>
      <c r="AI116" s="54">
        <f t="shared" si="50"/>
        <v>459.56107232903196</v>
      </c>
      <c r="AJ116" s="54">
        <f t="shared" si="51"/>
        <v>394.64103558806653</v>
      </c>
      <c r="AK116" s="54">
        <f t="shared" si="52"/>
        <v>4200.9696877022534</v>
      </c>
      <c r="AM116" s="474">
        <v>24.951446653713639</v>
      </c>
      <c r="AN116" s="473">
        <v>126.70455463803174</v>
      </c>
      <c r="AO116" s="456">
        <f t="shared" si="62"/>
        <v>151.65600129174538</v>
      </c>
      <c r="AQ116" s="54">
        <f ca="1">AD116*AJ116/(AJ116+AK116)*2.71828^(-0.69315/半Cs134*(NOW()-R116)/365.25)+AD116*AK116/(AJ116+AK116)*2.71828^(-0.69315/半Cs137*(NOW()-R116)/365.25)</f>
        <v>268.96264034934342</v>
      </c>
      <c r="AS116" s="506">
        <f>集計表!AA10*10</f>
        <v>27.09</v>
      </c>
    </row>
    <row r="117" spans="1:45" ht="9.9499999999999993" customHeight="1" x14ac:dyDescent="0.15">
      <c r="A117" s="8"/>
      <c r="R117" s="73">
        <v>43404</v>
      </c>
      <c r="S117" s="456">
        <f t="shared" si="63"/>
        <v>43.217735653270651</v>
      </c>
      <c r="T117" s="456">
        <f t="shared" si="64"/>
        <v>219.3647814320253</v>
      </c>
      <c r="U117" s="490">
        <f t="shared" ref="U117:U120" si="65">AO118*U116/AO117</f>
        <v>262.58251708529593</v>
      </c>
      <c r="V117" s="487">
        <f t="shared" si="55"/>
        <v>7.0689878664210637</v>
      </c>
      <c r="W117" s="456">
        <f t="shared" si="56"/>
        <v>35.880801129981037</v>
      </c>
      <c r="X117" s="480">
        <f t="shared" si="57"/>
        <v>42.949788996402098</v>
      </c>
      <c r="Y117" s="483">
        <f t="shared" si="47"/>
        <v>1159.6311452846878</v>
      </c>
      <c r="Z117" s="476">
        <f t="shared" si="48"/>
        <v>57.981557264234397</v>
      </c>
      <c r="AA117" s="66">
        <f t="shared" si="58"/>
        <v>15.224943250967893</v>
      </c>
      <c r="AB117" s="66">
        <f t="shared" si="49"/>
        <v>150.75204888700941</v>
      </c>
      <c r="AC117" s="66">
        <f t="shared" si="59"/>
        <v>6.4747686904723478</v>
      </c>
      <c r="AD117" s="89">
        <f t="shared" si="53"/>
        <v>216.99711941440242</v>
      </c>
      <c r="AE117" s="80">
        <f t="shared" si="35"/>
        <v>1.9511720740598879E-105</v>
      </c>
      <c r="AF117" s="55">
        <f t="shared" si="36"/>
        <v>7.6708164116811833E-2</v>
      </c>
      <c r="AG117" s="55">
        <f t="shared" si="37"/>
        <v>0.83855176133392417</v>
      </c>
      <c r="AH117" s="55">
        <f t="shared" si="38"/>
        <v>0.91525992545073598</v>
      </c>
      <c r="AI117" s="54">
        <f t="shared" si="50"/>
        <v>457.62996272536805</v>
      </c>
      <c r="AJ117" s="54">
        <f t="shared" si="51"/>
        <v>383.54082058405919</v>
      </c>
      <c r="AK117" s="54">
        <f t="shared" si="52"/>
        <v>4192.7588066696208</v>
      </c>
      <c r="AM117" s="474">
        <v>23.089547046881762</v>
      </c>
      <c r="AN117" s="473">
        <v>117.19802911331773</v>
      </c>
      <c r="AO117" s="456">
        <f t="shared" si="62"/>
        <v>140.28757616019948</v>
      </c>
      <c r="AQ117" s="54">
        <f ca="1">AD117*AJ117/(AJ117+AK117)*2.71828^(-0.69315/半Cs134*(NOW()-R117)/365.25)+AD117*AK117/(AJ117+AK117)*2.71828^(-0.69315/半Cs137*(NOW()-R117)/365.25)</f>
        <v>206.12290070612246</v>
      </c>
      <c r="AS117" s="506">
        <f>集計表!AA11*10</f>
        <v>71.55</v>
      </c>
    </row>
    <row r="118" spans="1:45" ht="9.9499999999999993" customHeight="1" x14ac:dyDescent="0.15">
      <c r="A118" s="8"/>
      <c r="R118" s="73">
        <v>43434</v>
      </c>
      <c r="S118" s="456">
        <f t="shared" ref="S118:S121" si="66">U118*AM118/AO118</f>
        <v>32.013839908258674</v>
      </c>
      <c r="T118" s="456">
        <f t="shared" ref="T118:T121" si="67">U118*AN118/AO118</f>
        <v>162.40476964772535</v>
      </c>
      <c r="U118" s="490">
        <f t="shared" si="65"/>
        <v>194.41860955598401</v>
      </c>
      <c r="V118" s="487">
        <f t="shared" si="55"/>
        <v>5.2364021957244891</v>
      </c>
      <c r="W118" s="456">
        <f t="shared" si="56"/>
        <v>26.564032768843052</v>
      </c>
      <c r="X118" s="480">
        <f t="shared" si="57"/>
        <v>31.800434964567543</v>
      </c>
      <c r="Y118" s="483">
        <f t="shared" si="47"/>
        <v>1048.9541445918724</v>
      </c>
      <c r="Z118" s="476">
        <f t="shared" si="48"/>
        <v>52.447707229593618</v>
      </c>
      <c r="AA118" s="66">
        <f t="shared" si="58"/>
        <v>10.19681031397692</v>
      </c>
      <c r="AB118" s="66">
        <f t="shared" si="49"/>
        <v>136.36403879694342</v>
      </c>
      <c r="AC118" s="66">
        <f t="shared" si="59"/>
        <v>4.3364357472679647</v>
      </c>
      <c r="AD118" s="89">
        <f t="shared" si="53"/>
        <v>145.33246061244884</v>
      </c>
      <c r="AE118" s="80">
        <f t="shared" si="35"/>
        <v>1.4601072965368264E-106</v>
      </c>
      <c r="AF118" s="55">
        <f t="shared" si="36"/>
        <v>7.4619208500845691E-2</v>
      </c>
      <c r="AG118" s="55">
        <f t="shared" si="37"/>
        <v>0.83696561464809816</v>
      </c>
      <c r="AH118" s="55">
        <f t="shared" si="38"/>
        <v>0.91158482314894385</v>
      </c>
      <c r="AI118" s="54">
        <f t="shared" si="50"/>
        <v>455.79241157447194</v>
      </c>
      <c r="AJ118" s="54">
        <f t="shared" si="51"/>
        <v>373.09604250422848</v>
      </c>
      <c r="AK118" s="54">
        <f t="shared" si="52"/>
        <v>4184.828073240491</v>
      </c>
      <c r="AM118" s="474">
        <v>19.348504804603714</v>
      </c>
      <c r="AN118" s="474">
        <v>98.154094442414916</v>
      </c>
      <c r="AO118" s="456">
        <f t="shared" si="62"/>
        <v>117.50259924701862</v>
      </c>
      <c r="AQ118" s="54">
        <f ca="1">AD118*AJ118/(AJ118+AK118)*2.71828^(-0.69315/半Cs134*(NOW()-R118)/365.25)+AD118*AK118/(AJ118+AK118)*2.71828^(-0.69315/半Cs137*(NOW()-R118)/365.25)</f>
        <v>138.60607471640702</v>
      </c>
      <c r="AS118" s="29"/>
    </row>
    <row r="119" spans="1:45" ht="9.9499999999999993" customHeight="1" x14ac:dyDescent="0.15">
      <c r="A119" s="8"/>
      <c r="R119" s="73">
        <v>43465</v>
      </c>
      <c r="S119" s="456">
        <f t="shared" si="66"/>
        <v>29.040379637757621</v>
      </c>
      <c r="T119" s="456">
        <f t="shared" si="67"/>
        <v>147.1835144849787</v>
      </c>
      <c r="U119" s="490">
        <f t="shared" si="65"/>
        <v>176.22389412273631</v>
      </c>
      <c r="V119" s="487">
        <f t="shared" si="55"/>
        <v>4.7500427357543478</v>
      </c>
      <c r="W119" s="456">
        <f t="shared" si="56"/>
        <v>24.074340367547336</v>
      </c>
      <c r="X119" s="480">
        <f t="shared" si="57"/>
        <v>28.824383103301685</v>
      </c>
      <c r="Y119" s="483">
        <f t="shared" si="47"/>
        <v>1052.7822914907824</v>
      </c>
      <c r="Z119" s="476">
        <f t="shared" si="48"/>
        <v>52.639114574539121</v>
      </c>
      <c r="AA119" s="66">
        <f t="shared" si="58"/>
        <v>9.276269753498168</v>
      </c>
      <c r="AB119" s="66">
        <f t="shared" si="49"/>
        <v>136.86169789380173</v>
      </c>
      <c r="AC119" s="66">
        <f t="shared" si="59"/>
        <v>3.9449540122592786</v>
      </c>
      <c r="AD119" s="89">
        <f t="shared" si="53"/>
        <v>132.21223765757446</v>
      </c>
      <c r="AE119" s="80">
        <f t="shared" si="35"/>
        <v>1.0021751065929507E-107</v>
      </c>
      <c r="AF119" s="55">
        <f t="shared" si="36"/>
        <v>7.2520366304787739E-2</v>
      </c>
      <c r="AG119" s="55">
        <f t="shared" si="37"/>
        <v>0.83532974826458273</v>
      </c>
      <c r="AH119" s="55">
        <f t="shared" si="38"/>
        <v>0.90785011456937048</v>
      </c>
      <c r="AI119" s="54">
        <f t="shared" si="50"/>
        <v>453.92505728468524</v>
      </c>
      <c r="AJ119" s="54">
        <f t="shared" si="51"/>
        <v>362.6018315239387</v>
      </c>
      <c r="AK119" s="54">
        <f t="shared" si="52"/>
        <v>4176.6487413229133</v>
      </c>
      <c r="AM119" s="474">
        <v>14.336957405302336</v>
      </c>
      <c r="AN119" s="474">
        <v>72.663092020679144</v>
      </c>
      <c r="AO119" s="456">
        <f t="shared" si="62"/>
        <v>87.000049425981473</v>
      </c>
      <c r="AQ119" s="54">
        <f ca="1">AD119*AJ119/(AJ119+AK119)*2.71828^(-0.69315/半Cs134*(NOW()-R119)/365.25)+AD119*AK119/(AJ119+AK119)*2.71828^(-0.69315/半Cs137*(NOW()-R119)/365.25)</f>
        <v>126.61181279201097</v>
      </c>
      <c r="AS119" s="29"/>
    </row>
    <row r="120" spans="1:45" ht="9.9499999999999993" customHeight="1" x14ac:dyDescent="0.15">
      <c r="A120" s="8"/>
      <c r="R120" s="73">
        <v>43496</v>
      </c>
      <c r="S120" s="456">
        <f t="shared" si="66"/>
        <v>26.631028332279655</v>
      </c>
      <c r="T120" s="456">
        <f t="shared" si="67"/>
        <v>134.86770827228412</v>
      </c>
      <c r="U120" s="490">
        <f t="shared" si="65"/>
        <v>161.49873660456379</v>
      </c>
      <c r="V120" s="487">
        <f t="shared" si="55"/>
        <v>4.3559527889553751</v>
      </c>
      <c r="W120" s="456">
        <f t="shared" si="56"/>
        <v>22.059883030374404</v>
      </c>
      <c r="X120" s="480">
        <f t="shared" si="57"/>
        <v>26.415835819329779</v>
      </c>
      <c r="Y120" s="483">
        <f t="shared" si="47"/>
        <v>964.61342255840952</v>
      </c>
      <c r="Z120" s="476">
        <f t="shared" si="48"/>
        <v>48.230671127920481</v>
      </c>
      <c r="AA120" s="66">
        <f t="shared" si="58"/>
        <v>7.7891924527493694</v>
      </c>
      <c r="AB120" s="66">
        <f t="shared" si="49"/>
        <v>125.39974493259324</v>
      </c>
      <c r="AC120" s="66">
        <f t="shared" si="59"/>
        <v>3.3125390739252145</v>
      </c>
      <c r="AD120" s="89">
        <f t="shared" si="53"/>
        <v>111.01731526674584</v>
      </c>
      <c r="AE120" s="80">
        <f t="shared" si="35"/>
        <v>6.8786379374774991E-109</v>
      </c>
      <c r="AF120" s="55">
        <f t="shared" si="36"/>
        <v>7.0480559022828404E-2</v>
      </c>
      <c r="AG120" s="55">
        <f t="shared" si="37"/>
        <v>0.83369707921531599</v>
      </c>
      <c r="AH120" s="55">
        <f t="shared" si="38"/>
        <v>0.90417763823814434</v>
      </c>
      <c r="AI120" s="54">
        <f t="shared" si="50"/>
        <v>452.08881911907218</v>
      </c>
      <c r="AJ120" s="54">
        <f t="shared" si="51"/>
        <v>352.40279511414201</v>
      </c>
      <c r="AK120" s="54">
        <f t="shared" si="52"/>
        <v>4168.4853960765804</v>
      </c>
      <c r="AM120" s="474">
        <v>13.003649883331486</v>
      </c>
      <c r="AN120" s="474">
        <v>65.854477606270748</v>
      </c>
      <c r="AO120" s="456">
        <f t="shared" si="62"/>
        <v>78.858127489602239</v>
      </c>
      <c r="AQ120" s="54">
        <f ca="1">AD120*AJ120/(AJ120+AK120)*2.71828^(-0.69315/半Cs134*(NOW()-R120)/365.25)+AD120*AK120/(AJ120+AK120)*2.71828^(-0.69315/半Cs137*(NOW()-R120)/365.25)</f>
        <v>106.74650941003193</v>
      </c>
      <c r="AS120" s="29"/>
    </row>
    <row r="121" spans="1:45" ht="9.9499999999999993" customHeight="1" x14ac:dyDescent="0.15">
      <c r="A121" s="8"/>
      <c r="R121" s="73">
        <v>43524</v>
      </c>
      <c r="S121" s="456">
        <f t="shared" si="66"/>
        <v>8.4144508455842892</v>
      </c>
      <c r="T121" s="456">
        <f t="shared" si="67"/>
        <v>42.585549154415709</v>
      </c>
      <c r="U121" s="491">
        <v>51</v>
      </c>
      <c r="V121" s="487">
        <f t="shared" si="55"/>
        <v>1.376325020987774</v>
      </c>
      <c r="W121" s="456">
        <f t="shared" si="56"/>
        <v>6.9655831270896407</v>
      </c>
      <c r="X121" s="481">
        <v>9.5</v>
      </c>
      <c r="Y121" s="483">
        <f t="shared" si="47"/>
        <v>825.39997359004917</v>
      </c>
      <c r="Z121" s="476">
        <f t="shared" si="48"/>
        <v>41.269998679502464</v>
      </c>
      <c r="AA121" s="66">
        <f t="shared" si="58"/>
        <v>2.1047699326546256</v>
      </c>
      <c r="AB121" s="66">
        <f t="shared" si="49"/>
        <v>107.30199656670639</v>
      </c>
      <c r="AC121" s="66">
        <f t="shared" si="59"/>
        <v>1.0193689673837107</v>
      </c>
      <c r="AD121" s="89">
        <f t="shared" si="53"/>
        <v>31.241389000383364</v>
      </c>
      <c r="AE121" s="80">
        <f t="shared" si="35"/>
        <v>6.1186043387859409E-110</v>
      </c>
      <c r="AF121" s="55">
        <f t="shared" si="36"/>
        <v>6.8687512075014959E-2</v>
      </c>
      <c r="AG121" s="55">
        <f t="shared" si="37"/>
        <v>0.8322251533752717</v>
      </c>
      <c r="AH121" s="55">
        <f t="shared" si="38"/>
        <v>0.9009126654502867</v>
      </c>
      <c r="AI121" s="54">
        <f t="shared" si="50"/>
        <v>450.45633272514334</v>
      </c>
      <c r="AJ121" s="54">
        <f t="shared" si="51"/>
        <v>343.43756037507478</v>
      </c>
      <c r="AK121" s="54">
        <f t="shared" si="52"/>
        <v>4161.1257668763583</v>
      </c>
      <c r="AM121" s="474">
        <v>11.923572518995838</v>
      </c>
      <c r="AN121" s="474">
        <v>60.345219542212263</v>
      </c>
      <c r="AO121" s="456">
        <f t="shared" si="62"/>
        <v>72.268792061208103</v>
      </c>
      <c r="AQ121" s="54">
        <f ca="1">AD121*AJ121/(AJ121+AK121)*2.71828^(-0.69315/半Cs134*(NOW()-R121)/365.25)+AD121*AK121/(AJ121+AK121)*2.71828^(-0.69315/半Cs137*(NOW()-R121)/365.25)</f>
        <v>30.148406755996966</v>
      </c>
      <c r="AS121" s="29"/>
    </row>
    <row r="122" spans="1:45" ht="9.9499999999999993" customHeight="1" x14ac:dyDescent="0.15">
      <c r="A122" s="8"/>
      <c r="R122" s="37"/>
      <c r="S122" s="37" t="s">
        <v>828</v>
      </c>
      <c r="T122" s="38"/>
      <c r="U122" s="38"/>
      <c r="V122" s="38"/>
      <c r="W122" s="38"/>
      <c r="X122" s="477"/>
      <c r="Y122" s="540" t="s">
        <v>80</v>
      </c>
      <c r="Z122" s="543" t="s">
        <v>66</v>
      </c>
      <c r="AA122" s="546" t="s">
        <v>77</v>
      </c>
      <c r="AB122" s="552" t="s">
        <v>138</v>
      </c>
      <c r="AC122" s="546" t="s">
        <v>78</v>
      </c>
      <c r="AD122" s="549" t="s">
        <v>79</v>
      </c>
      <c r="AE122" s="530" t="s">
        <v>70</v>
      </c>
      <c r="AF122" s="528" t="s">
        <v>71</v>
      </c>
      <c r="AG122" s="528" t="s">
        <v>72</v>
      </c>
      <c r="AH122" s="538" t="s">
        <v>73</v>
      </c>
      <c r="AI122" s="538" t="s">
        <v>74</v>
      </c>
      <c r="AJ122" s="528" t="s">
        <v>75</v>
      </c>
      <c r="AK122" s="528" t="s">
        <v>76</v>
      </c>
      <c r="AM122" s="36">
        <v>11.130972508300136</v>
      </c>
      <c r="AN122" s="36">
        <v>56.290567829731557</v>
      </c>
      <c r="AO122" s="36" t="s">
        <v>2</v>
      </c>
    </row>
    <row r="123" spans="1:45" ht="9.9499999999999993" customHeight="1" x14ac:dyDescent="0.15">
      <c r="A123" s="8"/>
      <c r="R123" s="35"/>
      <c r="S123" s="29" t="s">
        <v>0</v>
      </c>
      <c r="T123" s="29"/>
      <c r="U123" s="29"/>
      <c r="V123" s="29" t="s">
        <v>3</v>
      </c>
      <c r="W123" s="29"/>
      <c r="X123" s="478"/>
      <c r="Y123" s="541"/>
      <c r="Z123" s="544"/>
      <c r="AA123" s="547"/>
      <c r="AB123" s="553"/>
      <c r="AC123" s="547"/>
      <c r="AD123" s="550"/>
      <c r="AE123" s="531"/>
      <c r="AF123" s="529"/>
      <c r="AG123" s="529"/>
      <c r="AH123" s="539"/>
      <c r="AI123" s="539"/>
      <c r="AJ123" s="529"/>
      <c r="AK123" s="529"/>
    </row>
    <row r="124" spans="1:45" ht="9.9499999999999993" customHeight="1" x14ac:dyDescent="0.15">
      <c r="A124" s="8"/>
      <c r="R124" s="39" t="s">
        <v>68</v>
      </c>
      <c r="S124" s="36" t="s">
        <v>1</v>
      </c>
      <c r="T124" s="36" t="s">
        <v>2</v>
      </c>
      <c r="U124" s="34" t="s">
        <v>81</v>
      </c>
      <c r="V124" s="36" t="s">
        <v>1</v>
      </c>
      <c r="W124" s="36" t="s">
        <v>2</v>
      </c>
      <c r="X124" s="479" t="s">
        <v>81</v>
      </c>
      <c r="Y124" s="542"/>
      <c r="Z124" s="545"/>
      <c r="AA124" s="548"/>
      <c r="AB124" s="554"/>
      <c r="AC124" s="548"/>
      <c r="AD124" s="551"/>
      <c r="AE124" s="531"/>
      <c r="AF124" s="529"/>
      <c r="AG124" s="529"/>
      <c r="AH124" s="539"/>
      <c r="AI124" s="539"/>
      <c r="AJ124" s="529"/>
      <c r="AK124" s="529"/>
    </row>
    <row r="125" spans="1:45" ht="12" customHeight="1" x14ac:dyDescent="0.15">
      <c r="A125" s="8"/>
      <c r="J125" s="28"/>
      <c r="K125" s="28"/>
      <c r="M125" s="24"/>
      <c r="N125" s="24"/>
      <c r="O125" s="24"/>
      <c r="P125" s="24"/>
      <c r="S125" s="32"/>
      <c r="T125" s="8"/>
      <c r="X125" s="8"/>
      <c r="Y125" s="94" t="s">
        <v>87</v>
      </c>
      <c r="Z125" s="95" t="s">
        <v>88</v>
      </c>
      <c r="AD125" s="90"/>
      <c r="AE125" s="76">
        <f>8.021/365.25</f>
        <v>2.1960301163586587E-2</v>
      </c>
      <c r="AF125" s="76">
        <v>2.0619999999999998</v>
      </c>
      <c r="AG125" s="77">
        <v>30.07</v>
      </c>
      <c r="AH125" s="74" t="s">
        <v>69</v>
      </c>
      <c r="AI125" s="85"/>
      <c r="AJ125" s="85"/>
      <c r="AK125" s="85"/>
    </row>
    <row r="126" spans="1:45" ht="12" customHeight="1" x14ac:dyDescent="0.15">
      <c r="A126" s="8"/>
      <c r="J126" s="28"/>
      <c r="K126" s="28"/>
      <c r="M126" s="24"/>
      <c r="N126" s="24"/>
      <c r="O126" s="24"/>
      <c r="P126" s="24"/>
      <c r="X126" s="8"/>
    </row>
    <row r="127" spans="1:45" ht="12" customHeight="1" x14ac:dyDescent="0.15">
      <c r="A127" s="8"/>
      <c r="J127" s="27"/>
      <c r="K127" s="27"/>
      <c r="M127" s="24"/>
      <c r="N127" s="24"/>
      <c r="O127" s="24"/>
      <c r="P127" s="24"/>
      <c r="T127" s="8"/>
    </row>
    <row r="128" spans="1:45" ht="12" customHeight="1" x14ac:dyDescent="0.15">
      <c r="A128" s="8"/>
      <c r="J128" s="28"/>
      <c r="K128" s="28"/>
      <c r="M128" s="24"/>
      <c r="N128" s="24"/>
      <c r="O128" s="24"/>
      <c r="P128" s="24"/>
      <c r="T128" s="8"/>
      <c r="AF128" s="43"/>
      <c r="AG128" s="43"/>
      <c r="AK128" s="43"/>
      <c r="AL128" s="43"/>
    </row>
    <row r="129" spans="1:38" ht="12" customHeight="1" x14ac:dyDescent="0.15">
      <c r="A129" s="8"/>
      <c r="J129" s="27"/>
      <c r="K129" s="27"/>
      <c r="M129" s="24"/>
      <c r="N129" s="24"/>
      <c r="O129" s="24"/>
      <c r="P129" s="24"/>
      <c r="T129" s="8"/>
      <c r="AF129" s="43"/>
      <c r="AG129" s="43"/>
      <c r="AK129" s="43"/>
      <c r="AL129" s="43"/>
    </row>
    <row r="130" spans="1:38" ht="12" customHeight="1" x14ac:dyDescent="0.15">
      <c r="A130" s="8"/>
      <c r="J130" s="27"/>
      <c r="K130" s="27"/>
      <c r="M130" s="24"/>
      <c r="N130" s="24"/>
      <c r="O130" s="24"/>
      <c r="P130" s="24"/>
      <c r="T130" s="8"/>
      <c r="AF130" s="43"/>
      <c r="AG130" s="43"/>
      <c r="AK130" s="43"/>
      <c r="AL130" s="43"/>
    </row>
    <row r="131" spans="1:38" ht="12" customHeight="1" x14ac:dyDescent="0.15">
      <c r="A131" s="8"/>
      <c r="M131" s="24"/>
      <c r="N131" s="24"/>
      <c r="O131" s="24"/>
      <c r="P131" s="24"/>
      <c r="T131" s="8"/>
      <c r="AF131" s="43"/>
      <c r="AG131" s="43"/>
      <c r="AK131" s="43"/>
      <c r="AL131" s="43"/>
    </row>
    <row r="132" spans="1:38" ht="12" customHeight="1" x14ac:dyDescent="0.15">
      <c r="A132" s="8"/>
      <c r="M132" s="24"/>
      <c r="N132" s="24"/>
      <c r="O132" s="24"/>
      <c r="P132" s="24"/>
      <c r="T132" s="8"/>
      <c r="X132" s="8"/>
      <c r="AF132" s="8"/>
      <c r="AG132" s="8"/>
      <c r="AH132" s="8"/>
      <c r="AI132" s="8"/>
      <c r="AJ132" s="8"/>
      <c r="AK132" s="8"/>
      <c r="AL132" s="8"/>
    </row>
    <row r="133" spans="1:38" ht="12" customHeight="1" x14ac:dyDescent="0.15">
      <c r="A133" s="8"/>
      <c r="M133" s="24"/>
      <c r="N133" s="24"/>
      <c r="O133" s="24"/>
      <c r="P133" s="24"/>
      <c r="X133" s="8"/>
      <c r="AF133" s="8"/>
      <c r="AG133" s="8"/>
      <c r="AH133" s="8"/>
      <c r="AI133" s="8"/>
      <c r="AJ133" s="8"/>
      <c r="AK133" s="8"/>
      <c r="AL133" s="8"/>
    </row>
    <row r="134" spans="1:38" ht="12" customHeight="1" x14ac:dyDescent="0.15">
      <c r="A134" s="8"/>
      <c r="M134" s="24"/>
      <c r="N134" s="24"/>
      <c r="O134" s="24"/>
      <c r="P134" s="24"/>
      <c r="T134" s="8"/>
      <c r="X134" s="8"/>
      <c r="AF134" s="8"/>
      <c r="AG134" s="8"/>
      <c r="AH134" s="8"/>
      <c r="AI134" s="8"/>
      <c r="AJ134" s="8"/>
      <c r="AK134" s="8"/>
      <c r="AL134" s="8"/>
    </row>
    <row r="135" spans="1:38" ht="12" customHeight="1" x14ac:dyDescent="0.15">
      <c r="A135" s="8"/>
      <c r="M135" s="24"/>
      <c r="N135" s="24"/>
      <c r="O135" s="24"/>
      <c r="P135" s="24"/>
      <c r="T135" s="8"/>
      <c r="X135" s="8"/>
      <c r="AF135" s="8"/>
      <c r="AG135" s="8"/>
      <c r="AH135" s="8"/>
      <c r="AI135" s="8"/>
      <c r="AJ135" s="8"/>
      <c r="AK135" s="8"/>
      <c r="AL135" s="8"/>
    </row>
    <row r="136" spans="1:38" ht="12" customHeight="1" x14ac:dyDescent="0.15">
      <c r="A136" s="8"/>
      <c r="M136" s="24"/>
      <c r="N136" s="24"/>
      <c r="O136" s="24"/>
      <c r="P136" s="24"/>
      <c r="U136" s="23"/>
      <c r="V136" s="23"/>
      <c r="W136" s="23"/>
      <c r="AF136" s="43"/>
      <c r="AG136" s="43"/>
      <c r="AK136" s="43"/>
      <c r="AL136" s="43"/>
    </row>
    <row r="137" spans="1:38" ht="12" customHeight="1" x14ac:dyDescent="0.15">
      <c r="A137" s="8"/>
      <c r="M137" s="24"/>
      <c r="N137" s="24"/>
      <c r="O137" s="24"/>
      <c r="P137" s="24"/>
      <c r="V137" s="23"/>
      <c r="W137" s="23"/>
      <c r="AF137" s="43"/>
      <c r="AG137" s="43"/>
      <c r="AK137" s="43"/>
      <c r="AL137" s="43"/>
    </row>
    <row r="138" spans="1:38" ht="12" customHeight="1" x14ac:dyDescent="0.15">
      <c r="A138" s="8"/>
      <c r="M138" s="24"/>
      <c r="N138" s="24"/>
      <c r="O138" s="24"/>
      <c r="P138" s="24"/>
      <c r="U138" s="24"/>
      <c r="V138" s="23"/>
      <c r="W138" s="23"/>
      <c r="AF138" s="43"/>
      <c r="AG138" s="43"/>
      <c r="AK138" s="43"/>
      <c r="AL138" s="43"/>
    </row>
    <row r="139" spans="1:38" ht="12" customHeight="1" x14ac:dyDescent="0.15">
      <c r="A139" s="8"/>
      <c r="M139" s="24"/>
      <c r="N139" s="24"/>
      <c r="O139" s="24"/>
      <c r="P139" s="24"/>
      <c r="U139" s="23"/>
      <c r="V139" s="23"/>
      <c r="W139" s="23"/>
      <c r="AF139" s="43"/>
      <c r="AG139" s="43"/>
      <c r="AK139" s="43"/>
      <c r="AL139" s="43"/>
    </row>
    <row r="140" spans="1:38" ht="12" customHeight="1" x14ac:dyDescent="0.15">
      <c r="A140" s="8"/>
      <c r="M140" s="24"/>
      <c r="N140" s="24"/>
      <c r="O140" s="24"/>
      <c r="P140" s="24"/>
      <c r="U140" s="28"/>
      <c r="V140" s="23"/>
      <c r="W140" s="23"/>
      <c r="AF140" s="43"/>
      <c r="AG140" s="43"/>
      <c r="AK140" s="43"/>
      <c r="AL140" s="43"/>
    </row>
    <row r="141" spans="1:38" ht="12" customHeight="1" x14ac:dyDescent="0.15">
      <c r="A141" s="8"/>
      <c r="M141" s="24"/>
      <c r="N141" s="24"/>
      <c r="O141" s="24"/>
      <c r="P141" s="24"/>
      <c r="U141" s="28"/>
      <c r="V141" s="26"/>
      <c r="W141" s="26"/>
      <c r="AF141" s="43"/>
      <c r="AG141" s="43"/>
      <c r="AK141" s="43"/>
      <c r="AL141" s="43"/>
    </row>
    <row r="142" spans="1:38" ht="12" customHeight="1" x14ac:dyDescent="0.15">
      <c r="A142" s="8"/>
      <c r="M142" s="24"/>
      <c r="N142" s="24"/>
      <c r="O142" s="24"/>
      <c r="P142" s="24"/>
      <c r="U142" s="27"/>
      <c r="V142" s="23"/>
      <c r="W142" s="23"/>
      <c r="AF142" s="43"/>
      <c r="AG142" s="43"/>
      <c r="AK142" s="43"/>
      <c r="AL142" s="43"/>
    </row>
    <row r="143" spans="1:38" ht="12" customHeight="1" x14ac:dyDescent="0.15">
      <c r="A143" s="8"/>
      <c r="M143" s="24"/>
      <c r="N143" s="24"/>
      <c r="O143" s="24"/>
      <c r="P143" s="24"/>
      <c r="U143" s="28"/>
      <c r="AF143" s="43"/>
      <c r="AG143" s="43"/>
      <c r="AK143" s="43"/>
      <c r="AL143" s="43"/>
    </row>
    <row r="144" spans="1:38" ht="12" customHeight="1" x14ac:dyDescent="0.15">
      <c r="A144" s="8"/>
      <c r="M144" s="24"/>
      <c r="N144" s="24"/>
      <c r="O144" s="24"/>
      <c r="P144" s="24"/>
      <c r="U144" s="28"/>
      <c r="V144" s="24"/>
      <c r="W144" s="24"/>
      <c r="AF144" s="43"/>
      <c r="AG144" s="43"/>
      <c r="AK144" s="43"/>
      <c r="AL144" s="43"/>
    </row>
    <row r="145" spans="1:23" ht="12" customHeight="1" x14ac:dyDescent="0.15">
      <c r="A145" s="8"/>
      <c r="M145" s="24"/>
      <c r="N145" s="24"/>
      <c r="O145" s="24"/>
      <c r="P145" s="24"/>
      <c r="U145" s="28"/>
      <c r="V145" s="23"/>
      <c r="W145" s="23"/>
    </row>
    <row r="146" spans="1:23" ht="12" customHeight="1" x14ac:dyDescent="0.15">
      <c r="A146" s="8"/>
      <c r="M146" s="24"/>
      <c r="N146" s="24"/>
      <c r="O146" s="24"/>
      <c r="P146" s="24"/>
      <c r="U146" s="27"/>
      <c r="V146" s="28"/>
      <c r="W146" s="28"/>
    </row>
    <row r="147" spans="1:23" ht="12" customHeight="1" x14ac:dyDescent="0.15">
      <c r="A147" s="8"/>
      <c r="M147" s="24"/>
      <c r="N147" s="24"/>
      <c r="O147" s="24"/>
      <c r="P147" s="24"/>
      <c r="U147" s="28"/>
      <c r="V147" s="28"/>
      <c r="W147" s="28"/>
    </row>
    <row r="148" spans="1:23" ht="12" customHeight="1" x14ac:dyDescent="0.15">
      <c r="A148" s="8"/>
      <c r="M148" s="24"/>
      <c r="N148" s="24"/>
      <c r="O148" s="24"/>
      <c r="P148" s="24"/>
      <c r="U148" s="25"/>
      <c r="V148" s="27"/>
      <c r="W148" s="27"/>
    </row>
    <row r="149" spans="1:23" ht="12" customHeight="1" x14ac:dyDescent="0.15">
      <c r="A149" s="8"/>
      <c r="U149" s="25"/>
      <c r="V149" s="28"/>
      <c r="W149" s="28"/>
    </row>
    <row r="150" spans="1:23" ht="12" customHeight="1" x14ac:dyDescent="0.15">
      <c r="A150" s="8"/>
      <c r="U150" s="23"/>
      <c r="V150" s="28"/>
      <c r="W150" s="28"/>
    </row>
    <row r="151" spans="1:23" ht="12" customHeight="1" x14ac:dyDescent="0.15">
      <c r="A151" s="8"/>
      <c r="U151" s="26"/>
      <c r="V151" s="28"/>
      <c r="W151" s="28"/>
    </row>
    <row r="152" spans="1:23" ht="12" customHeight="1" x14ac:dyDescent="0.15">
      <c r="A152" s="8"/>
      <c r="U152" s="26"/>
      <c r="V152" s="27"/>
      <c r="W152" s="27"/>
    </row>
    <row r="153" spans="1:23" ht="12" customHeight="1" x14ac:dyDescent="0.15">
      <c r="A153" s="8"/>
      <c r="U153" s="26"/>
      <c r="V153" s="28"/>
      <c r="W153" s="28"/>
    </row>
    <row r="154" spans="1:23" ht="12" customHeight="1" x14ac:dyDescent="0.15">
      <c r="A154" s="8"/>
      <c r="U154" s="26"/>
      <c r="V154" s="25"/>
      <c r="W154" s="25"/>
    </row>
    <row r="155" spans="1:23" ht="12" customHeight="1" x14ac:dyDescent="0.15">
      <c r="A155" s="8"/>
      <c r="U155" s="26"/>
      <c r="V155" s="25"/>
      <c r="W155" s="25"/>
    </row>
    <row r="156" spans="1:23" ht="12" customHeight="1" x14ac:dyDescent="0.15">
      <c r="A156" s="8"/>
      <c r="U156" s="26"/>
      <c r="V156" s="23"/>
      <c r="W156" s="23"/>
    </row>
    <row r="157" spans="1:23" ht="12" customHeight="1" x14ac:dyDescent="0.15">
      <c r="A157" s="8"/>
      <c r="U157" s="26"/>
      <c r="V157" s="26"/>
      <c r="W157" s="26"/>
    </row>
    <row r="158" spans="1:23" ht="12" customHeight="1" x14ac:dyDescent="0.15">
      <c r="A158" s="8"/>
      <c r="U158" s="26"/>
      <c r="V158" s="26"/>
      <c r="W158" s="26"/>
    </row>
    <row r="159" spans="1:23" ht="12" customHeight="1" x14ac:dyDescent="0.15">
      <c r="A159" s="8"/>
      <c r="U159" s="26"/>
      <c r="V159" s="26"/>
      <c r="W159" s="26"/>
    </row>
    <row r="160" spans="1:23" ht="12" customHeight="1" x14ac:dyDescent="0.15">
      <c r="A160" s="8"/>
      <c r="U160" s="26"/>
      <c r="V160" s="26"/>
      <c r="W160" s="26"/>
    </row>
    <row r="161" spans="1:38" ht="12" customHeight="1" x14ac:dyDescent="0.15">
      <c r="A161" s="8"/>
      <c r="U161" s="26"/>
      <c r="V161" s="26"/>
      <c r="W161" s="26"/>
    </row>
    <row r="162" spans="1:38" ht="12" customHeight="1" x14ac:dyDescent="0.15">
      <c r="A162" s="8"/>
      <c r="U162" s="26"/>
      <c r="V162" s="26"/>
      <c r="W162" s="26"/>
      <c r="AF162" s="43"/>
      <c r="AG162" s="43"/>
      <c r="AK162" s="43"/>
      <c r="AL162" s="43"/>
    </row>
    <row r="163" spans="1:38" ht="12" customHeight="1" x14ac:dyDescent="0.15">
      <c r="A163" s="8"/>
      <c r="U163" s="26"/>
      <c r="V163" s="26"/>
      <c r="W163" s="26"/>
      <c r="AF163" s="43"/>
      <c r="AG163" s="43"/>
      <c r="AK163" s="43"/>
      <c r="AL163" s="43"/>
    </row>
    <row r="164" spans="1:38" ht="12" customHeight="1" x14ac:dyDescent="0.15">
      <c r="A164" s="8"/>
      <c r="U164" s="26"/>
      <c r="V164" s="26"/>
      <c r="W164" s="26"/>
      <c r="AF164" s="43"/>
      <c r="AG164" s="43"/>
      <c r="AK164" s="43"/>
      <c r="AL164" s="43"/>
    </row>
    <row r="165" spans="1:38" ht="12" customHeight="1" x14ac:dyDescent="0.15">
      <c r="A165" s="8"/>
      <c r="U165" s="26"/>
      <c r="V165" s="26"/>
      <c r="W165" s="26"/>
    </row>
    <row r="166" spans="1:38" ht="12" customHeight="1" x14ac:dyDescent="0.15">
      <c r="A166" s="8"/>
      <c r="U166" s="26"/>
      <c r="V166" s="26"/>
      <c r="W166" s="26"/>
    </row>
    <row r="167" spans="1:38" ht="12" customHeight="1" x14ac:dyDescent="0.15">
      <c r="A167" s="8"/>
      <c r="U167" s="26"/>
      <c r="V167" s="26"/>
      <c r="W167" s="26"/>
    </row>
    <row r="168" spans="1:38" ht="12" customHeight="1" x14ac:dyDescent="0.15">
      <c r="A168" s="8"/>
      <c r="U168" s="26"/>
      <c r="V168" s="26"/>
      <c r="W168" s="26"/>
    </row>
    <row r="169" spans="1:38" ht="12" customHeight="1" x14ac:dyDescent="0.15">
      <c r="A169" s="8"/>
      <c r="U169" s="26"/>
      <c r="V169" s="26"/>
      <c r="W169" s="26"/>
    </row>
    <row r="170" spans="1:38" ht="12" customHeight="1" x14ac:dyDescent="0.15">
      <c r="A170" s="8"/>
      <c r="U170" s="26"/>
      <c r="V170" s="26"/>
      <c r="W170" s="26"/>
    </row>
    <row r="171" spans="1:38" ht="12" customHeight="1" x14ac:dyDescent="0.15">
      <c r="A171" s="8"/>
      <c r="U171" s="26"/>
      <c r="V171" s="26"/>
      <c r="W171" s="26"/>
    </row>
    <row r="172" spans="1:38" ht="12" customHeight="1" x14ac:dyDescent="0.15">
      <c r="A172" s="8"/>
      <c r="U172" s="26"/>
      <c r="V172" s="26"/>
      <c r="W172" s="26"/>
    </row>
    <row r="173" spans="1:38" ht="12" customHeight="1" x14ac:dyDescent="0.15">
      <c r="A173" s="8"/>
      <c r="U173" s="26"/>
      <c r="V173" s="26"/>
      <c r="W173" s="26"/>
    </row>
    <row r="174" spans="1:38" ht="12" customHeight="1" x14ac:dyDescent="0.15">
      <c r="A174" s="8"/>
      <c r="U174" s="26"/>
      <c r="V174" s="26"/>
      <c r="W174" s="26"/>
    </row>
    <row r="175" spans="1:38" ht="12" customHeight="1" x14ac:dyDescent="0.15">
      <c r="A175" s="8"/>
      <c r="U175" s="26"/>
      <c r="V175" s="26"/>
      <c r="W175" s="26"/>
    </row>
    <row r="176" spans="1:38" ht="12" customHeight="1" x14ac:dyDescent="0.15">
      <c r="A176" s="8"/>
      <c r="U176" s="26"/>
      <c r="V176" s="26"/>
      <c r="W176" s="26"/>
    </row>
    <row r="177" spans="1:23" ht="12" customHeight="1" x14ac:dyDescent="0.15">
      <c r="A177" s="8"/>
      <c r="U177" s="28"/>
      <c r="V177" s="26"/>
      <c r="W177" s="26"/>
    </row>
    <row r="178" spans="1:23" ht="12" customHeight="1" x14ac:dyDescent="0.15">
      <c r="A178" s="8"/>
      <c r="U178" s="28"/>
      <c r="V178" s="26"/>
      <c r="W178" s="26"/>
    </row>
    <row r="179" spans="1:23" ht="12" customHeight="1" x14ac:dyDescent="0.15">
      <c r="A179" s="8"/>
      <c r="U179" s="28"/>
      <c r="V179" s="26"/>
      <c r="W179" s="26"/>
    </row>
    <row r="180" spans="1:23" ht="12" customHeight="1" x14ac:dyDescent="0.15">
      <c r="A180" s="8"/>
      <c r="U180" s="28"/>
      <c r="V180" s="26"/>
      <c r="W180" s="26"/>
    </row>
    <row r="181" spans="1:23" ht="12" customHeight="1" x14ac:dyDescent="0.15">
      <c r="A181" s="8"/>
      <c r="U181" s="28"/>
      <c r="V181" s="26"/>
      <c r="W181" s="26"/>
    </row>
    <row r="182" spans="1:23" ht="12" customHeight="1" x14ac:dyDescent="0.15">
      <c r="A182" s="8"/>
      <c r="U182" s="28"/>
      <c r="V182" s="26"/>
      <c r="W182" s="26"/>
    </row>
    <row r="183" spans="1:23" ht="12" customHeight="1" x14ac:dyDescent="0.15">
      <c r="A183" s="8"/>
      <c r="U183" s="28"/>
      <c r="V183" s="28"/>
      <c r="W183" s="28"/>
    </row>
    <row r="184" spans="1:23" ht="12" customHeight="1" x14ac:dyDescent="0.15">
      <c r="A184" s="8"/>
      <c r="U184" s="28"/>
      <c r="V184" s="28"/>
      <c r="W184" s="28"/>
    </row>
    <row r="185" spans="1:23" ht="12" customHeight="1" x14ac:dyDescent="0.15">
      <c r="A185" s="8"/>
      <c r="U185" s="28"/>
      <c r="V185" s="28"/>
      <c r="W185" s="28"/>
    </row>
    <row r="186" spans="1:23" ht="12" customHeight="1" x14ac:dyDescent="0.15">
      <c r="A186" s="8"/>
      <c r="U186" s="28"/>
      <c r="V186" s="28"/>
      <c r="W186" s="28"/>
    </row>
    <row r="187" spans="1:23" ht="12" customHeight="1" x14ac:dyDescent="0.15">
      <c r="A187" s="8"/>
      <c r="U187" s="23"/>
      <c r="V187" s="28"/>
      <c r="W187" s="28"/>
    </row>
    <row r="188" spans="1:23" ht="12" customHeight="1" x14ac:dyDescent="0.15">
      <c r="A188" s="8"/>
      <c r="U188" s="23"/>
      <c r="V188" s="28"/>
      <c r="W188" s="28"/>
    </row>
    <row r="189" spans="1:23" ht="12" customHeight="1" x14ac:dyDescent="0.15">
      <c r="A189" s="8"/>
      <c r="U189" s="23"/>
      <c r="V189" s="28"/>
      <c r="W189" s="28"/>
    </row>
    <row r="190" spans="1:23" ht="12" customHeight="1" x14ac:dyDescent="0.15">
      <c r="A190" s="8"/>
      <c r="U190" s="26"/>
      <c r="V190" s="28"/>
      <c r="W190" s="28"/>
    </row>
    <row r="191" spans="1:23" ht="12" customHeight="1" x14ac:dyDescent="0.15">
      <c r="A191" s="8"/>
      <c r="U191" s="26"/>
      <c r="V191" s="28"/>
      <c r="W191" s="28"/>
    </row>
    <row r="192" spans="1:23" ht="12" customHeight="1" x14ac:dyDescent="0.15">
      <c r="A192" s="8"/>
      <c r="U192" s="26"/>
      <c r="V192" s="28"/>
      <c r="W192" s="28"/>
    </row>
    <row r="193" spans="1:23" ht="12" customHeight="1" x14ac:dyDescent="0.15">
      <c r="A193" s="8"/>
      <c r="U193" s="26"/>
      <c r="V193" s="23"/>
      <c r="W193" s="23"/>
    </row>
    <row r="194" spans="1:23" ht="12" customHeight="1" x14ac:dyDescent="0.15">
      <c r="A194" s="8"/>
      <c r="U194" s="23"/>
      <c r="V194" s="23"/>
      <c r="W194" s="23"/>
    </row>
    <row r="195" spans="1:23" ht="12" customHeight="1" x14ac:dyDescent="0.15">
      <c r="A195" s="8"/>
      <c r="U195" s="26"/>
      <c r="V195" s="23"/>
      <c r="W195" s="23"/>
    </row>
    <row r="196" spans="1:23" ht="12" customHeight="1" x14ac:dyDescent="0.15">
      <c r="A196" s="8"/>
      <c r="U196" s="26"/>
      <c r="V196" s="26"/>
      <c r="W196" s="26"/>
    </row>
    <row r="197" spans="1:23" ht="12" customHeight="1" x14ac:dyDescent="0.15">
      <c r="A197" s="8"/>
      <c r="U197" s="23"/>
      <c r="V197" s="26"/>
      <c r="W197" s="26"/>
    </row>
    <row r="198" spans="1:23" ht="12" customHeight="1" x14ac:dyDescent="0.15">
      <c r="A198" s="8"/>
      <c r="U198" s="23"/>
      <c r="V198" s="26"/>
      <c r="W198" s="26"/>
    </row>
    <row r="199" spans="1:23" ht="12" customHeight="1" x14ac:dyDescent="0.15">
      <c r="A199" s="8"/>
      <c r="U199" s="23"/>
      <c r="V199" s="26"/>
      <c r="W199" s="26"/>
    </row>
    <row r="200" spans="1:23" ht="12" customHeight="1" x14ac:dyDescent="0.15">
      <c r="A200" s="8"/>
      <c r="U200" s="23"/>
      <c r="V200" s="23"/>
      <c r="W200" s="23"/>
    </row>
    <row r="201" spans="1:23" ht="12" customHeight="1" x14ac:dyDescent="0.15">
      <c r="A201" s="8"/>
      <c r="U201" s="23"/>
      <c r="V201" s="26"/>
      <c r="W201" s="26"/>
    </row>
    <row r="202" spans="1:23" ht="12" customHeight="1" x14ac:dyDescent="0.15">
      <c r="A202" s="8"/>
      <c r="U202" s="23"/>
      <c r="V202" s="26"/>
      <c r="W202" s="26"/>
    </row>
    <row r="203" spans="1:23" ht="12" customHeight="1" x14ac:dyDescent="0.15">
      <c r="A203" s="8"/>
      <c r="U203" s="23"/>
      <c r="V203" s="23"/>
      <c r="W203" s="23"/>
    </row>
    <row r="204" spans="1:23" ht="12" customHeight="1" x14ac:dyDescent="0.15">
      <c r="A204" s="8"/>
      <c r="U204" s="23"/>
      <c r="V204" s="23"/>
      <c r="W204" s="23"/>
    </row>
    <row r="205" spans="1:23" ht="12" customHeight="1" x14ac:dyDescent="0.15">
      <c r="A205" s="8"/>
      <c r="U205" s="23"/>
      <c r="V205" s="23"/>
      <c r="W205" s="23"/>
    </row>
    <row r="206" spans="1:23" ht="12" customHeight="1" x14ac:dyDescent="0.15">
      <c r="A206" s="8"/>
      <c r="U206" s="23"/>
      <c r="V206" s="23"/>
      <c r="W206" s="23"/>
    </row>
    <row r="207" spans="1:23" ht="12" customHeight="1" x14ac:dyDescent="0.15">
      <c r="A207" s="8"/>
      <c r="U207" s="27"/>
      <c r="V207" s="23"/>
      <c r="W207" s="23"/>
    </row>
    <row r="208" spans="1:23" ht="12" customHeight="1" x14ac:dyDescent="0.15">
      <c r="A208" s="8"/>
      <c r="U208" s="23"/>
      <c r="V208" s="23"/>
      <c r="W208" s="23"/>
    </row>
    <row r="209" spans="1:23" ht="12" customHeight="1" x14ac:dyDescent="0.15">
      <c r="A209" s="8"/>
      <c r="U209" s="26"/>
      <c r="V209" s="23"/>
      <c r="W209" s="23"/>
    </row>
    <row r="210" spans="1:23" ht="12" customHeight="1" x14ac:dyDescent="0.15">
      <c r="A210" s="8"/>
      <c r="U210" s="23"/>
      <c r="V210" s="23"/>
      <c r="W210" s="23"/>
    </row>
    <row r="211" spans="1:23" ht="12" customHeight="1" x14ac:dyDescent="0.15">
      <c r="A211" s="8"/>
      <c r="U211" s="26"/>
      <c r="V211" s="23"/>
      <c r="W211" s="23"/>
    </row>
    <row r="212" spans="1:23" ht="12" customHeight="1" x14ac:dyDescent="0.15">
      <c r="A212" s="8"/>
      <c r="U212" s="26"/>
      <c r="V212" s="23"/>
      <c r="W212" s="23"/>
    </row>
    <row r="213" spans="1:23" ht="12" customHeight="1" x14ac:dyDescent="0.15">
      <c r="A213" s="8"/>
      <c r="U213" s="23"/>
      <c r="V213" s="27"/>
      <c r="W213" s="27"/>
    </row>
    <row r="214" spans="1:23" ht="12" customHeight="1" x14ac:dyDescent="0.15">
      <c r="A214" s="8"/>
      <c r="U214" s="27"/>
      <c r="V214" s="23"/>
      <c r="W214" s="23"/>
    </row>
    <row r="215" spans="1:23" ht="12" customHeight="1" x14ac:dyDescent="0.15">
      <c r="A215" s="8"/>
      <c r="U215" s="27"/>
      <c r="V215" s="26"/>
      <c r="W215" s="26"/>
    </row>
    <row r="216" spans="1:23" ht="12" customHeight="1" x14ac:dyDescent="0.15">
      <c r="A216" s="8"/>
      <c r="U216" s="27"/>
      <c r="V216" s="23"/>
      <c r="W216" s="23"/>
    </row>
    <row r="217" spans="1:23" ht="12" customHeight="1" x14ac:dyDescent="0.15">
      <c r="A217" s="8"/>
      <c r="U217" s="27"/>
      <c r="V217" s="26"/>
      <c r="W217" s="26"/>
    </row>
    <row r="218" spans="1:23" ht="12" customHeight="1" x14ac:dyDescent="0.15">
      <c r="A218" s="8"/>
      <c r="U218" s="27"/>
      <c r="V218" s="26"/>
      <c r="W218" s="26"/>
    </row>
    <row r="219" spans="1:23" ht="12" customHeight="1" x14ac:dyDescent="0.15">
      <c r="A219" s="8"/>
      <c r="U219" s="27"/>
      <c r="V219" s="23"/>
      <c r="W219" s="23"/>
    </row>
    <row r="220" spans="1:23" ht="12" customHeight="1" x14ac:dyDescent="0.15">
      <c r="A220" s="8"/>
      <c r="U220" s="27"/>
      <c r="V220" s="27"/>
      <c r="W220" s="27"/>
    </row>
    <row r="221" spans="1:23" ht="12" customHeight="1" x14ac:dyDescent="0.15">
      <c r="A221" s="8"/>
      <c r="U221" s="28"/>
      <c r="V221" s="27"/>
      <c r="W221" s="27"/>
    </row>
    <row r="222" spans="1:23" ht="12" customHeight="1" x14ac:dyDescent="0.15">
      <c r="A222" s="8"/>
      <c r="U222" s="28"/>
      <c r="V222" s="27"/>
      <c r="W222" s="27"/>
    </row>
    <row r="223" spans="1:23" ht="12" customHeight="1" x14ac:dyDescent="0.15">
      <c r="A223" s="8"/>
      <c r="U223" s="28"/>
      <c r="V223" s="27"/>
      <c r="W223" s="27"/>
    </row>
    <row r="224" spans="1:23" ht="12" customHeight="1" x14ac:dyDescent="0.15">
      <c r="A224" s="8"/>
      <c r="V224" s="27"/>
      <c r="W224" s="27"/>
    </row>
    <row r="225" spans="1:38" ht="12" customHeight="1" x14ac:dyDescent="0.15">
      <c r="A225" s="8"/>
      <c r="V225" s="27"/>
      <c r="W225" s="27"/>
    </row>
    <row r="226" spans="1:38" ht="12" customHeight="1" x14ac:dyDescent="0.15">
      <c r="A226" s="8"/>
      <c r="V226" s="27"/>
      <c r="W226" s="27"/>
    </row>
    <row r="227" spans="1:38" ht="12" customHeight="1" x14ac:dyDescent="0.15">
      <c r="A227" s="8"/>
      <c r="V227" s="28"/>
      <c r="W227" s="28"/>
      <c r="AF227" s="43"/>
      <c r="AG227" s="43"/>
      <c r="AK227" s="43"/>
      <c r="AL227" s="43"/>
    </row>
    <row r="228" spans="1:38" ht="12" customHeight="1" x14ac:dyDescent="0.15">
      <c r="A228" s="8"/>
      <c r="V228" s="28"/>
      <c r="W228" s="28"/>
      <c r="AF228" s="43"/>
      <c r="AG228" s="43"/>
      <c r="AK228" s="43"/>
      <c r="AL228" s="43"/>
    </row>
    <row r="229" spans="1:38" ht="12" customHeight="1" x14ac:dyDescent="0.15">
      <c r="A229" s="8"/>
      <c r="V229" s="28"/>
      <c r="W229" s="28"/>
      <c r="AF229" s="43"/>
      <c r="AG229" s="43"/>
      <c r="AK229" s="43"/>
      <c r="AL229" s="43"/>
    </row>
    <row r="230" spans="1:38" ht="12" customHeight="1" x14ac:dyDescent="0.15">
      <c r="A230" s="8"/>
      <c r="AF230" s="43"/>
      <c r="AG230" s="43"/>
      <c r="AK230" s="43"/>
      <c r="AL230" s="43"/>
    </row>
    <row r="231" spans="1:38" ht="12" customHeight="1" x14ac:dyDescent="0.15">
      <c r="A231" s="8"/>
      <c r="AF231" s="43"/>
      <c r="AG231" s="43"/>
      <c r="AK231" s="43"/>
      <c r="AL231" s="43"/>
    </row>
    <row r="232" spans="1:38" ht="12" customHeight="1" x14ac:dyDescent="0.15">
      <c r="A232" s="8"/>
      <c r="AF232" s="43"/>
      <c r="AG232" s="43"/>
      <c r="AK232" s="43"/>
      <c r="AL232" s="43"/>
    </row>
    <row r="233" spans="1:38" ht="12" customHeight="1" x14ac:dyDescent="0.15">
      <c r="A233" s="8"/>
      <c r="AF233" s="43"/>
      <c r="AG233" s="43"/>
      <c r="AK233" s="43"/>
      <c r="AL233" s="43"/>
    </row>
    <row r="234" spans="1:38" ht="12" customHeight="1" x14ac:dyDescent="0.15">
      <c r="A234" s="8"/>
      <c r="AF234" s="43"/>
      <c r="AG234" s="43"/>
      <c r="AK234" s="43"/>
      <c r="AL234" s="43"/>
    </row>
    <row r="235" spans="1:38" ht="12" customHeight="1" x14ac:dyDescent="0.15">
      <c r="A235" s="8"/>
      <c r="AF235" s="43"/>
      <c r="AG235" s="43"/>
      <c r="AK235" s="43"/>
      <c r="AL235" s="43"/>
    </row>
    <row r="236" spans="1:38" ht="12" customHeight="1" x14ac:dyDescent="0.15">
      <c r="A236" s="8"/>
      <c r="AF236" s="43"/>
      <c r="AG236" s="43"/>
      <c r="AK236" s="43"/>
      <c r="AL236" s="43"/>
    </row>
    <row r="237" spans="1:38" ht="12" customHeight="1" x14ac:dyDescent="0.15">
      <c r="A237" s="8"/>
      <c r="AF237" s="43"/>
      <c r="AG237" s="43"/>
      <c r="AK237" s="43"/>
      <c r="AL237" s="43"/>
    </row>
    <row r="238" spans="1:38" ht="12" customHeight="1" x14ac:dyDescent="0.15">
      <c r="A238" s="8"/>
      <c r="AF238" s="43"/>
      <c r="AG238" s="43"/>
      <c r="AK238" s="43"/>
      <c r="AL238" s="43"/>
    </row>
    <row r="239" spans="1:38" ht="12" customHeight="1" x14ac:dyDescent="0.15">
      <c r="A239" s="8"/>
      <c r="AF239" s="43"/>
      <c r="AG239" s="43"/>
      <c r="AK239" s="43"/>
      <c r="AL239" s="43"/>
    </row>
    <row r="240" spans="1:38" ht="12" customHeight="1" x14ac:dyDescent="0.15">
      <c r="A240" s="8"/>
      <c r="AF240" s="43"/>
      <c r="AG240" s="43"/>
      <c r="AK240" s="43"/>
      <c r="AL240" s="43"/>
    </row>
    <row r="241" spans="1:38" ht="12" customHeight="1" x14ac:dyDescent="0.15">
      <c r="A241" s="8"/>
      <c r="AF241" s="43"/>
      <c r="AG241" s="43"/>
      <c r="AK241" s="43"/>
      <c r="AL241" s="43"/>
    </row>
    <row r="242" spans="1:38" ht="12" customHeight="1" x14ac:dyDescent="0.15">
      <c r="A242" s="8"/>
      <c r="AF242" s="43"/>
      <c r="AG242" s="43"/>
      <c r="AK242" s="43"/>
      <c r="AL242" s="43"/>
    </row>
    <row r="243" spans="1:38" ht="12" customHeight="1" x14ac:dyDescent="0.15">
      <c r="A243" s="8"/>
    </row>
    <row r="244" spans="1:38" ht="12" customHeight="1" x14ac:dyDescent="0.15">
      <c r="A244" s="8"/>
      <c r="AF244" s="43"/>
      <c r="AG244" s="43"/>
      <c r="AK244" s="43"/>
      <c r="AL244" s="43"/>
    </row>
    <row r="245" spans="1:38" ht="12" customHeight="1" x14ac:dyDescent="0.15">
      <c r="A245" s="8"/>
      <c r="AF245" s="43"/>
      <c r="AG245" s="43"/>
      <c r="AK245" s="43"/>
      <c r="AL245" s="43"/>
    </row>
    <row r="246" spans="1:38" ht="12" customHeight="1" x14ac:dyDescent="0.15">
      <c r="A246" s="8"/>
      <c r="AF246" s="43"/>
      <c r="AG246" s="43"/>
      <c r="AK246" s="43"/>
      <c r="AL246" s="43"/>
    </row>
    <row r="247" spans="1:38" ht="12" customHeight="1" x14ac:dyDescent="0.15">
      <c r="A247" s="8"/>
      <c r="AF247" s="43"/>
      <c r="AG247" s="43"/>
      <c r="AK247" s="43"/>
      <c r="AL247" s="43"/>
    </row>
    <row r="248" spans="1:38" ht="12" customHeight="1" x14ac:dyDescent="0.15">
      <c r="A248" s="8"/>
      <c r="AF248" s="43"/>
      <c r="AG248" s="43"/>
      <c r="AK248" s="43"/>
      <c r="AL248" s="43"/>
    </row>
    <row r="249" spans="1:38" ht="12" customHeight="1" x14ac:dyDescent="0.15">
      <c r="A249" s="8"/>
      <c r="AF249" s="43"/>
      <c r="AG249" s="43"/>
      <c r="AK249" s="43"/>
      <c r="AL249" s="43"/>
    </row>
    <row r="250" spans="1:38" ht="12" customHeight="1" x14ac:dyDescent="0.15">
      <c r="A250" s="8"/>
      <c r="AF250" s="43"/>
      <c r="AG250" s="43"/>
      <c r="AK250" s="43"/>
      <c r="AL250" s="43"/>
    </row>
    <row r="251" spans="1:38" ht="12" customHeight="1" x14ac:dyDescent="0.15">
      <c r="A251" s="8"/>
      <c r="AF251" s="43"/>
      <c r="AG251" s="43"/>
      <c r="AK251" s="43"/>
      <c r="AL251" s="43"/>
    </row>
    <row r="252" spans="1:38" ht="12" customHeight="1" x14ac:dyDescent="0.15">
      <c r="A252" s="8"/>
      <c r="AF252" s="43"/>
      <c r="AG252" s="43"/>
      <c r="AK252" s="43"/>
      <c r="AL252" s="43"/>
    </row>
    <row r="253" spans="1:38" ht="12" customHeight="1" x14ac:dyDescent="0.15">
      <c r="A253" s="8"/>
    </row>
    <row r="254" spans="1:38" ht="12" customHeight="1" x14ac:dyDescent="0.15">
      <c r="A254" s="8"/>
    </row>
    <row r="255" spans="1:38" ht="12" customHeight="1" x14ac:dyDescent="0.15">
      <c r="A255" s="8"/>
    </row>
    <row r="256" spans="1:38" ht="12" customHeight="1" x14ac:dyDescent="0.15">
      <c r="A256" s="8"/>
    </row>
    <row r="257" spans="1:37" ht="12" customHeight="1" x14ac:dyDescent="0.15">
      <c r="A257" s="8"/>
    </row>
    <row r="258" spans="1:37" ht="12" customHeight="1" x14ac:dyDescent="0.15">
      <c r="A258" s="8"/>
    </row>
    <row r="259" spans="1:37" ht="12" customHeight="1" x14ac:dyDescent="0.15">
      <c r="A259" s="8"/>
      <c r="AF259" s="43"/>
      <c r="AG259" s="43"/>
    </row>
    <row r="260" spans="1:37" ht="12" customHeight="1" x14ac:dyDescent="0.15">
      <c r="A260" s="8"/>
      <c r="AF260" s="53"/>
      <c r="AG260" s="43"/>
      <c r="AK260" s="43"/>
    </row>
    <row r="261" spans="1:37" ht="12" customHeight="1" x14ac:dyDescent="0.15">
      <c r="A261" s="8"/>
      <c r="AF261" s="43"/>
      <c r="AG261" s="43"/>
      <c r="AK261" s="43"/>
    </row>
    <row r="262" spans="1:37" ht="12" customHeight="1" x14ac:dyDescent="0.15">
      <c r="A262" s="8"/>
      <c r="AF262" s="43"/>
      <c r="AG262" s="43"/>
      <c r="AK262" s="43"/>
    </row>
    <row r="263" spans="1:37" ht="12" customHeight="1" x14ac:dyDescent="0.15">
      <c r="A263" s="8"/>
      <c r="AF263" s="43"/>
      <c r="AG263" s="43"/>
      <c r="AK263" s="43"/>
    </row>
    <row r="264" spans="1:37" ht="12" customHeight="1" x14ac:dyDescent="0.15">
      <c r="A264" s="8"/>
      <c r="AF264" s="43"/>
      <c r="AG264" s="43"/>
      <c r="AK264" s="43"/>
    </row>
    <row r="265" spans="1:37" ht="12" customHeight="1" x14ac:dyDescent="0.15">
      <c r="A265" s="8"/>
      <c r="AF265" s="43"/>
      <c r="AG265" s="43"/>
      <c r="AK265" s="43"/>
    </row>
    <row r="266" spans="1:37" ht="12" customHeight="1" x14ac:dyDescent="0.15">
      <c r="A266" s="8"/>
      <c r="AF266" s="43"/>
      <c r="AH266" s="74"/>
      <c r="AI266" s="74"/>
      <c r="AJ266" s="74"/>
    </row>
    <row r="267" spans="1:37" ht="12" customHeight="1" x14ac:dyDescent="0.15">
      <c r="A267" s="8"/>
      <c r="AF267" s="43"/>
      <c r="AH267" s="74"/>
      <c r="AI267" s="74"/>
      <c r="AJ267" s="74"/>
    </row>
    <row r="268" spans="1:37" ht="12" customHeight="1" x14ac:dyDescent="0.15">
      <c r="A268" s="8"/>
      <c r="AF268" s="43"/>
      <c r="AH268" s="74"/>
      <c r="AI268" s="74"/>
      <c r="AJ268" s="74"/>
    </row>
    <row r="269" spans="1:37" ht="12" customHeight="1" x14ac:dyDescent="0.15">
      <c r="A269" s="8"/>
      <c r="AF269" s="43"/>
      <c r="AH269" s="74"/>
      <c r="AI269" s="74"/>
      <c r="AJ269" s="74"/>
    </row>
    <row r="270" spans="1:37" ht="12" customHeight="1" x14ac:dyDescent="0.15">
      <c r="A270" s="8"/>
      <c r="AF270" s="43"/>
      <c r="AH270" s="74"/>
      <c r="AI270" s="74"/>
      <c r="AJ270" s="74"/>
    </row>
    <row r="271" spans="1:37" ht="12" customHeight="1" x14ac:dyDescent="0.15">
      <c r="A271" s="8"/>
      <c r="AF271" s="43"/>
      <c r="AH271" s="74"/>
      <c r="AI271" s="74"/>
      <c r="AJ271" s="74"/>
    </row>
    <row r="272" spans="1:37" ht="12" customHeight="1" x14ac:dyDescent="0.15">
      <c r="A272" s="8"/>
      <c r="AF272" s="43"/>
      <c r="AH272" s="74"/>
      <c r="AI272" s="74"/>
      <c r="AJ272" s="74"/>
    </row>
    <row r="273" spans="1:36" ht="12" customHeight="1" x14ac:dyDescent="0.15">
      <c r="A273" s="8"/>
      <c r="AF273" s="43"/>
      <c r="AH273" s="74"/>
      <c r="AI273" s="74"/>
      <c r="AJ273" s="74"/>
    </row>
    <row r="274" spans="1:36" ht="12" customHeight="1" x14ac:dyDescent="0.15">
      <c r="A274" s="8"/>
    </row>
    <row r="275" spans="1:36" ht="12" customHeight="1" x14ac:dyDescent="0.15">
      <c r="A275" s="8"/>
    </row>
    <row r="276" spans="1:36" ht="12" customHeight="1" x14ac:dyDescent="0.15">
      <c r="A276" s="8"/>
    </row>
    <row r="277" spans="1:36" ht="12" customHeight="1" x14ac:dyDescent="0.15">
      <c r="A277" s="8"/>
    </row>
    <row r="278" spans="1:36" ht="12" customHeight="1" x14ac:dyDescent="0.15">
      <c r="A278" s="8"/>
    </row>
    <row r="279" spans="1:36" ht="12" customHeight="1" x14ac:dyDescent="0.15">
      <c r="A279" s="8"/>
    </row>
    <row r="280" spans="1:36" ht="12" customHeight="1" x14ac:dyDescent="0.15">
      <c r="A280" s="8"/>
    </row>
    <row r="281" spans="1:36" ht="12" customHeight="1" x14ac:dyDescent="0.15">
      <c r="A281" s="8"/>
    </row>
    <row r="282" spans="1:36" ht="12" customHeight="1" x14ac:dyDescent="0.15">
      <c r="A282" s="8"/>
    </row>
    <row r="283" spans="1:36" ht="12" customHeight="1" x14ac:dyDescent="0.15">
      <c r="A283" s="8"/>
    </row>
    <row r="284" spans="1:36" ht="12" customHeight="1" x14ac:dyDescent="0.15">
      <c r="A284" s="8"/>
    </row>
    <row r="285" spans="1:36" ht="12" customHeight="1" x14ac:dyDescent="0.15">
      <c r="A285" s="8"/>
    </row>
    <row r="286" spans="1:36" ht="12" customHeight="1" x14ac:dyDescent="0.15">
      <c r="A286" s="8"/>
    </row>
    <row r="287" spans="1:36" ht="12" customHeight="1" x14ac:dyDescent="0.15">
      <c r="A287" s="8"/>
    </row>
    <row r="288" spans="1:36" ht="12" customHeight="1" x14ac:dyDescent="0.15">
      <c r="A288" s="8"/>
    </row>
    <row r="289" spans="1:38" ht="11.25" customHeight="1" x14ac:dyDescent="0.15">
      <c r="A289" s="8"/>
    </row>
    <row r="290" spans="1:38" ht="12" customHeight="1" x14ac:dyDescent="0.15">
      <c r="A290" s="8"/>
    </row>
    <row r="291" spans="1:38" ht="12" customHeight="1" x14ac:dyDescent="0.15">
      <c r="A291" s="8"/>
    </row>
    <row r="292" spans="1:38" ht="12" customHeight="1" x14ac:dyDescent="0.15">
      <c r="A292" s="8"/>
    </row>
    <row r="293" spans="1:38" ht="12" customHeight="1" x14ac:dyDescent="0.15">
      <c r="A293" s="8"/>
    </row>
    <row r="294" spans="1:38" ht="12" customHeight="1" x14ac:dyDescent="0.15">
      <c r="A294" s="8"/>
    </row>
    <row r="295" spans="1:38" ht="12" customHeight="1" x14ac:dyDescent="0.15">
      <c r="A295" s="8"/>
    </row>
    <row r="296" spans="1:38" ht="12" customHeight="1" x14ac:dyDescent="0.15">
      <c r="A296" s="8"/>
    </row>
    <row r="297" spans="1:38" ht="12" customHeight="1" x14ac:dyDescent="0.15">
      <c r="A297" s="8"/>
    </row>
    <row r="298" spans="1:38" ht="12" customHeight="1" x14ac:dyDescent="0.15">
      <c r="A298" s="8"/>
    </row>
    <row r="299" spans="1:38" ht="12" customHeight="1" x14ac:dyDescent="0.15">
      <c r="A299" s="8"/>
    </row>
    <row r="300" spans="1:38" ht="12" customHeight="1" x14ac:dyDescent="0.15">
      <c r="A300" s="8"/>
    </row>
    <row r="301" spans="1:38" ht="12" customHeight="1" x14ac:dyDescent="0.15">
      <c r="A301" s="8"/>
    </row>
    <row r="302" spans="1:38" ht="12" customHeight="1" x14ac:dyDescent="0.15">
      <c r="A302" s="8"/>
      <c r="AF302" s="8"/>
      <c r="AG302" s="8"/>
      <c r="AH302" s="8"/>
      <c r="AI302" s="8"/>
      <c r="AJ302" s="8"/>
      <c r="AK302" s="8"/>
      <c r="AL302" s="8"/>
    </row>
    <row r="303" spans="1:38" ht="12" customHeight="1" x14ac:dyDescent="0.15">
      <c r="A303" s="8"/>
    </row>
    <row r="304" spans="1:38" ht="12" customHeight="1" x14ac:dyDescent="0.15">
      <c r="A304" s="8"/>
    </row>
    <row r="305" spans="1:1" ht="12" customHeight="1" x14ac:dyDescent="0.15">
      <c r="A305" s="8"/>
    </row>
    <row r="306" spans="1:1" ht="12" customHeight="1" x14ac:dyDescent="0.15">
      <c r="A306" s="8"/>
    </row>
    <row r="307" spans="1:1" ht="12" customHeight="1" x14ac:dyDescent="0.15">
      <c r="A307" s="8"/>
    </row>
    <row r="308" spans="1:1" ht="12" customHeight="1" x14ac:dyDescent="0.15">
      <c r="A308" s="8"/>
    </row>
    <row r="309" spans="1:1" ht="12" customHeight="1" x14ac:dyDescent="0.15">
      <c r="A309" s="8"/>
    </row>
    <row r="310" spans="1:1" ht="12" customHeight="1" x14ac:dyDescent="0.15">
      <c r="A310" s="8"/>
    </row>
    <row r="311" spans="1:1" ht="12" customHeight="1" x14ac:dyDescent="0.15">
      <c r="A311" s="8"/>
    </row>
    <row r="312" spans="1:1" ht="12" customHeight="1" x14ac:dyDescent="0.15">
      <c r="A312" s="8"/>
    </row>
    <row r="313" spans="1:1" ht="12" customHeight="1" x14ac:dyDescent="0.15">
      <c r="A313" s="8"/>
    </row>
    <row r="314" spans="1:1" ht="12" customHeight="1" x14ac:dyDescent="0.15">
      <c r="A314" s="8"/>
    </row>
    <row r="315" spans="1:1" ht="12" customHeight="1" x14ac:dyDescent="0.15">
      <c r="A315" s="8"/>
    </row>
    <row r="316" spans="1:1" ht="12" customHeight="1" x14ac:dyDescent="0.15">
      <c r="A316" s="8"/>
    </row>
    <row r="317" spans="1:1" ht="12" customHeight="1" x14ac:dyDescent="0.15">
      <c r="A317" s="8"/>
    </row>
    <row r="318" spans="1:1" ht="12" customHeight="1" x14ac:dyDescent="0.15">
      <c r="A318" s="8"/>
    </row>
    <row r="319" spans="1:1" ht="12" customHeight="1" x14ac:dyDescent="0.15">
      <c r="A319" s="8"/>
    </row>
    <row r="320" spans="1:1" ht="12" customHeight="1" x14ac:dyDescent="0.15">
      <c r="A320" s="8"/>
    </row>
    <row r="321" spans="1:1" ht="12" customHeight="1" x14ac:dyDescent="0.15">
      <c r="A321" s="8"/>
    </row>
    <row r="322" spans="1:1" ht="12" customHeight="1" x14ac:dyDescent="0.15">
      <c r="A322" s="8"/>
    </row>
    <row r="323" spans="1:1" ht="12" customHeight="1" x14ac:dyDescent="0.15">
      <c r="A323" s="8"/>
    </row>
    <row r="324" spans="1:1" ht="12" customHeight="1" x14ac:dyDescent="0.15">
      <c r="A324" s="8"/>
    </row>
    <row r="325" spans="1:1" ht="12" customHeight="1" x14ac:dyDescent="0.15">
      <c r="A325" s="8"/>
    </row>
    <row r="326" spans="1:1" ht="12" customHeight="1" x14ac:dyDescent="0.15">
      <c r="A326" s="8"/>
    </row>
    <row r="327" spans="1:1" ht="12" customHeight="1" x14ac:dyDescent="0.15">
      <c r="A327" s="8"/>
    </row>
    <row r="328" spans="1:1" ht="12" customHeight="1" x14ac:dyDescent="0.15">
      <c r="A328" s="8"/>
    </row>
    <row r="329" spans="1:1" ht="12" customHeight="1" x14ac:dyDescent="0.15">
      <c r="A329" s="8"/>
    </row>
    <row r="330" spans="1:1" ht="12" customHeight="1" x14ac:dyDescent="0.15">
      <c r="A330" s="8"/>
    </row>
    <row r="331" spans="1:1" ht="12" customHeight="1" x14ac:dyDescent="0.15">
      <c r="A331" s="8"/>
    </row>
    <row r="332" spans="1:1" ht="12" customHeight="1" x14ac:dyDescent="0.15">
      <c r="A332" s="8"/>
    </row>
    <row r="333" spans="1:1" ht="12" customHeight="1" x14ac:dyDescent="0.15">
      <c r="A333" s="8"/>
    </row>
    <row r="334" spans="1:1" ht="12" customHeight="1" x14ac:dyDescent="0.15">
      <c r="A334" s="8"/>
    </row>
    <row r="335" spans="1:1" ht="12" customHeight="1" x14ac:dyDescent="0.15">
      <c r="A335" s="8"/>
    </row>
    <row r="336" spans="1:1" ht="12" customHeight="1" x14ac:dyDescent="0.15">
      <c r="A336" s="8"/>
    </row>
    <row r="337" spans="1:1" ht="12" customHeight="1" x14ac:dyDescent="0.15">
      <c r="A337" s="8"/>
    </row>
    <row r="338" spans="1:1" ht="12" customHeight="1" x14ac:dyDescent="0.15">
      <c r="A338" s="8"/>
    </row>
    <row r="339" spans="1:1" ht="12" customHeight="1" x14ac:dyDescent="0.15">
      <c r="A339" s="8"/>
    </row>
    <row r="340" spans="1:1" ht="12" customHeight="1" x14ac:dyDescent="0.15">
      <c r="A340" s="8"/>
    </row>
    <row r="341" spans="1:1" ht="12" customHeight="1" x14ac:dyDescent="0.15">
      <c r="A341" s="8"/>
    </row>
    <row r="342" spans="1:1" ht="12" customHeight="1" x14ac:dyDescent="0.15">
      <c r="A342" s="8"/>
    </row>
    <row r="343" spans="1:1" ht="12" customHeight="1" x14ac:dyDescent="0.15">
      <c r="A343" s="8"/>
    </row>
    <row r="344" spans="1:1" ht="12" customHeight="1" x14ac:dyDescent="0.15">
      <c r="A344" s="8"/>
    </row>
    <row r="345" spans="1:1" ht="12" customHeight="1" x14ac:dyDescent="0.15">
      <c r="A345" s="8"/>
    </row>
    <row r="346" spans="1:1" ht="12" customHeight="1" x14ac:dyDescent="0.15">
      <c r="A346" s="8"/>
    </row>
    <row r="347" spans="1:1" ht="12" customHeight="1" x14ac:dyDescent="0.15">
      <c r="A347" s="8"/>
    </row>
    <row r="348" spans="1:1" ht="12" customHeight="1" x14ac:dyDescent="0.15">
      <c r="A348" s="8"/>
    </row>
    <row r="349" spans="1:1" ht="12" customHeight="1" x14ac:dyDescent="0.15">
      <c r="A349" s="8"/>
    </row>
    <row r="350" spans="1:1" ht="12" customHeight="1" x14ac:dyDescent="0.15">
      <c r="A350" s="8"/>
    </row>
    <row r="351" spans="1:1" ht="12" customHeight="1" x14ac:dyDescent="0.15">
      <c r="A351" s="8"/>
    </row>
    <row r="352" spans="1:1" ht="12" customHeight="1" x14ac:dyDescent="0.15">
      <c r="A352" s="8"/>
    </row>
    <row r="353" spans="1:1" ht="12" customHeight="1" x14ac:dyDescent="0.15">
      <c r="A353" s="8"/>
    </row>
    <row r="354" spans="1:1" ht="12" customHeight="1" x14ac:dyDescent="0.15">
      <c r="A354" s="8"/>
    </row>
    <row r="355" spans="1:1" ht="12" customHeight="1" x14ac:dyDescent="0.15">
      <c r="A355" s="8"/>
    </row>
    <row r="356" spans="1:1" ht="12" customHeight="1" x14ac:dyDescent="0.15">
      <c r="A356" s="8"/>
    </row>
    <row r="357" spans="1:1" ht="12" customHeight="1" x14ac:dyDescent="0.15">
      <c r="A357" s="8"/>
    </row>
    <row r="358" spans="1:1" ht="12" customHeight="1" x14ac:dyDescent="0.15">
      <c r="A358" s="8"/>
    </row>
    <row r="359" spans="1:1" ht="12" customHeight="1" x14ac:dyDescent="0.15">
      <c r="A359" s="8"/>
    </row>
    <row r="360" spans="1:1" ht="12" customHeight="1" x14ac:dyDescent="0.15">
      <c r="A360" s="8"/>
    </row>
    <row r="361" spans="1:1" ht="12" customHeight="1" x14ac:dyDescent="0.15">
      <c r="A361" s="8"/>
    </row>
    <row r="362" spans="1:1" ht="12" customHeight="1" x14ac:dyDescent="0.15">
      <c r="A362" s="8"/>
    </row>
    <row r="363" spans="1:1" ht="12" customHeight="1" x14ac:dyDescent="0.15">
      <c r="A363" s="8"/>
    </row>
    <row r="364" spans="1:1" ht="12" customHeight="1" x14ac:dyDescent="0.15">
      <c r="A364" s="8"/>
    </row>
    <row r="365" spans="1:1" ht="12" customHeight="1" x14ac:dyDescent="0.15">
      <c r="A365" s="8"/>
    </row>
    <row r="366" spans="1:1" ht="12" customHeight="1" x14ac:dyDescent="0.15">
      <c r="A366" s="8"/>
    </row>
    <row r="367" spans="1:1" ht="12" customHeight="1" x14ac:dyDescent="0.15">
      <c r="A367" s="8"/>
    </row>
    <row r="368" spans="1:1" ht="12" customHeight="1" x14ac:dyDescent="0.15">
      <c r="A368" s="8"/>
    </row>
    <row r="369" spans="1:1" ht="12" customHeight="1" x14ac:dyDescent="0.15">
      <c r="A369" s="8"/>
    </row>
    <row r="370" spans="1:1" ht="12" customHeight="1" x14ac:dyDescent="0.15">
      <c r="A370" s="8"/>
    </row>
    <row r="371" spans="1:1" ht="12" customHeight="1" x14ac:dyDescent="0.15">
      <c r="A371" s="8"/>
    </row>
    <row r="372" spans="1:1" ht="12" customHeight="1" x14ac:dyDescent="0.15">
      <c r="A372" s="8"/>
    </row>
    <row r="373" spans="1:1" ht="12" customHeight="1" x14ac:dyDescent="0.15">
      <c r="A373" s="8"/>
    </row>
    <row r="374" spans="1:1" ht="12" customHeight="1" x14ac:dyDescent="0.15">
      <c r="A374" s="8"/>
    </row>
    <row r="375" spans="1:1" ht="12" customHeight="1" x14ac:dyDescent="0.15">
      <c r="A375" s="8"/>
    </row>
    <row r="376" spans="1:1" ht="12" customHeight="1" x14ac:dyDescent="0.15">
      <c r="A376" s="8"/>
    </row>
    <row r="377" spans="1:1" ht="12" customHeight="1" x14ac:dyDescent="0.15">
      <c r="A377" s="8"/>
    </row>
    <row r="378" spans="1:1" ht="12" customHeight="1" x14ac:dyDescent="0.15">
      <c r="A378" s="8"/>
    </row>
    <row r="379" spans="1:1" ht="12" customHeight="1" x14ac:dyDescent="0.15">
      <c r="A379" s="8"/>
    </row>
    <row r="380" spans="1:1" ht="12" customHeight="1" x14ac:dyDescent="0.15">
      <c r="A380" s="8"/>
    </row>
    <row r="381" spans="1:1" ht="12" customHeight="1" x14ac:dyDescent="0.15">
      <c r="A381" s="8"/>
    </row>
    <row r="382" spans="1:1" ht="12" customHeight="1" x14ac:dyDescent="0.15">
      <c r="A382" s="8"/>
    </row>
    <row r="383" spans="1:1" ht="12" customHeight="1" x14ac:dyDescent="0.15">
      <c r="A383" s="8"/>
    </row>
    <row r="384" spans="1:1" ht="12" customHeight="1" x14ac:dyDescent="0.15">
      <c r="A384" s="8"/>
    </row>
    <row r="385" spans="1:1" ht="12" customHeight="1" x14ac:dyDescent="0.15">
      <c r="A385" s="8"/>
    </row>
    <row r="386" spans="1:1" ht="12" customHeight="1" x14ac:dyDescent="0.15">
      <c r="A386" s="8"/>
    </row>
    <row r="387" spans="1:1" ht="12" customHeight="1" x14ac:dyDescent="0.15">
      <c r="A387" s="8"/>
    </row>
    <row r="388" spans="1:1" ht="12" customHeight="1" x14ac:dyDescent="0.15">
      <c r="A388" s="8"/>
    </row>
    <row r="389" spans="1:1" ht="12" customHeight="1" x14ac:dyDescent="0.15">
      <c r="A389" s="8"/>
    </row>
    <row r="390" spans="1:1" ht="12" customHeight="1" x14ac:dyDescent="0.15">
      <c r="A390" s="8"/>
    </row>
    <row r="391" spans="1:1" ht="12" customHeight="1" x14ac:dyDescent="0.15">
      <c r="A391" s="8"/>
    </row>
    <row r="392" spans="1:1" ht="12" customHeight="1" x14ac:dyDescent="0.15">
      <c r="A392" s="8"/>
    </row>
    <row r="393" spans="1:1" ht="12" customHeight="1" x14ac:dyDescent="0.15">
      <c r="A393" s="8"/>
    </row>
    <row r="394" spans="1:1" ht="12" customHeight="1" x14ac:dyDescent="0.15">
      <c r="A394" s="8"/>
    </row>
    <row r="395" spans="1:1" ht="12" customHeight="1" x14ac:dyDescent="0.15">
      <c r="A395" s="8"/>
    </row>
    <row r="396" spans="1:1" ht="12" customHeight="1" x14ac:dyDescent="0.15">
      <c r="A396" s="8"/>
    </row>
    <row r="397" spans="1:1" ht="12" customHeight="1" x14ac:dyDescent="0.15">
      <c r="A397" s="8"/>
    </row>
    <row r="398" spans="1:1" ht="12" customHeight="1" x14ac:dyDescent="0.15">
      <c r="A398" s="8"/>
    </row>
    <row r="399" spans="1:1" ht="12" customHeight="1" x14ac:dyDescent="0.15">
      <c r="A399" s="8"/>
    </row>
    <row r="400" spans="1:1" ht="12" customHeight="1" x14ac:dyDescent="0.15">
      <c r="A400" s="8"/>
    </row>
    <row r="401" spans="1:1" ht="12" customHeight="1" x14ac:dyDescent="0.15">
      <c r="A401" s="8"/>
    </row>
    <row r="402" spans="1:1" ht="12" customHeight="1" x14ac:dyDescent="0.15">
      <c r="A402" s="8"/>
    </row>
    <row r="403" spans="1:1" ht="12" customHeight="1" x14ac:dyDescent="0.15">
      <c r="A403" s="8"/>
    </row>
    <row r="404" spans="1:1" ht="12" customHeight="1" x14ac:dyDescent="0.15">
      <c r="A404" s="8"/>
    </row>
    <row r="405" spans="1:1" ht="12" customHeight="1" x14ac:dyDescent="0.15">
      <c r="A405" s="8"/>
    </row>
    <row r="406" spans="1:1" ht="12" customHeight="1" x14ac:dyDescent="0.15">
      <c r="A406" s="8"/>
    </row>
    <row r="407" spans="1:1" ht="12" customHeight="1" x14ac:dyDescent="0.15">
      <c r="A407" s="8"/>
    </row>
    <row r="408" spans="1:1" ht="12" customHeight="1" x14ac:dyDescent="0.15">
      <c r="A408" s="8"/>
    </row>
    <row r="409" spans="1:1" ht="12" customHeight="1" x14ac:dyDescent="0.15">
      <c r="A409" s="8"/>
    </row>
    <row r="410" spans="1:1" ht="12" customHeight="1" x14ac:dyDescent="0.15">
      <c r="A410" s="8"/>
    </row>
    <row r="411" spans="1:1" ht="12" customHeight="1" x14ac:dyDescent="0.15">
      <c r="A411" s="8"/>
    </row>
    <row r="412" spans="1:1" ht="12" customHeight="1" x14ac:dyDescent="0.15">
      <c r="A412" s="8"/>
    </row>
    <row r="413" spans="1:1" ht="12" customHeight="1" x14ac:dyDescent="0.15">
      <c r="A413" s="8"/>
    </row>
    <row r="414" spans="1:1" ht="12" customHeight="1" x14ac:dyDescent="0.15">
      <c r="A414" s="8"/>
    </row>
    <row r="415" spans="1:1" ht="12" customHeight="1" x14ac:dyDescent="0.15">
      <c r="A415" s="8"/>
    </row>
    <row r="416" spans="1:1" ht="12" customHeight="1" x14ac:dyDescent="0.15">
      <c r="A416" s="8"/>
    </row>
    <row r="417" spans="1:1" ht="12" customHeight="1" x14ac:dyDescent="0.15">
      <c r="A417" s="8"/>
    </row>
    <row r="418" spans="1:1" ht="12" customHeight="1" x14ac:dyDescent="0.15">
      <c r="A418" s="8"/>
    </row>
    <row r="419" spans="1:1" ht="12" customHeight="1" x14ac:dyDescent="0.15">
      <c r="A419" s="8"/>
    </row>
    <row r="420" spans="1:1" ht="12" customHeight="1" x14ac:dyDescent="0.15">
      <c r="A420" s="8"/>
    </row>
    <row r="421" spans="1:1" ht="12" customHeight="1" x14ac:dyDescent="0.15">
      <c r="A421" s="8"/>
    </row>
    <row r="422" spans="1:1" ht="12" customHeight="1" x14ac:dyDescent="0.15">
      <c r="A422" s="8"/>
    </row>
    <row r="423" spans="1:1" ht="12" customHeight="1" x14ac:dyDescent="0.15">
      <c r="A423" s="8"/>
    </row>
    <row r="424" spans="1:1" ht="12" customHeight="1" x14ac:dyDescent="0.15">
      <c r="A424" s="8"/>
    </row>
    <row r="425" spans="1:1" ht="12" customHeight="1" x14ac:dyDescent="0.15">
      <c r="A425" s="8"/>
    </row>
    <row r="426" spans="1:1" ht="12" customHeight="1" x14ac:dyDescent="0.15">
      <c r="A426" s="8"/>
    </row>
    <row r="427" spans="1:1" ht="12" customHeight="1" x14ac:dyDescent="0.15">
      <c r="A427" s="8"/>
    </row>
    <row r="428" spans="1:1" ht="12" customHeight="1" x14ac:dyDescent="0.15">
      <c r="A428" s="8"/>
    </row>
    <row r="429" spans="1:1" ht="12" customHeight="1" x14ac:dyDescent="0.15">
      <c r="A429" s="8"/>
    </row>
    <row r="430" spans="1:1" ht="12" customHeight="1" x14ac:dyDescent="0.15">
      <c r="A430" s="8"/>
    </row>
    <row r="431" spans="1:1" ht="12" customHeight="1" x14ac:dyDescent="0.15">
      <c r="A431" s="8"/>
    </row>
    <row r="432" spans="1:1" ht="12" customHeight="1" x14ac:dyDescent="0.15">
      <c r="A432" s="8"/>
    </row>
    <row r="433" spans="1:1" ht="12" customHeight="1" x14ac:dyDescent="0.15">
      <c r="A433" s="8"/>
    </row>
    <row r="434" spans="1:1" ht="12" customHeight="1" x14ac:dyDescent="0.15">
      <c r="A434" s="8"/>
    </row>
    <row r="435" spans="1:1" ht="12" customHeight="1" x14ac:dyDescent="0.15">
      <c r="A435" s="8"/>
    </row>
    <row r="436" spans="1:1" ht="12" customHeight="1" x14ac:dyDescent="0.15">
      <c r="A436" s="8"/>
    </row>
    <row r="437" spans="1:1" ht="12" customHeight="1" x14ac:dyDescent="0.15">
      <c r="A437" s="8"/>
    </row>
    <row r="438" spans="1:1" ht="12" customHeight="1" x14ac:dyDescent="0.15">
      <c r="A438" s="8"/>
    </row>
    <row r="439" spans="1:1" ht="12.95" customHeight="1" x14ac:dyDescent="0.15">
      <c r="A439" s="8"/>
    </row>
    <row r="440" spans="1:1" ht="12.95" customHeight="1" x14ac:dyDescent="0.15">
      <c r="A440" s="8"/>
    </row>
    <row r="441" spans="1:1" ht="12" customHeight="1" x14ac:dyDescent="0.15">
      <c r="A441" s="8"/>
    </row>
    <row r="442" spans="1:1" ht="12" customHeight="1" x14ac:dyDescent="0.15">
      <c r="A442" s="8"/>
    </row>
    <row r="443" spans="1:1" ht="12" customHeight="1" x14ac:dyDescent="0.15">
      <c r="A443" s="8"/>
    </row>
    <row r="444" spans="1:1" ht="12" customHeight="1" x14ac:dyDescent="0.15">
      <c r="A444" s="8"/>
    </row>
    <row r="445" spans="1:1" ht="12" customHeight="1" x14ac:dyDescent="0.15">
      <c r="A445" s="8"/>
    </row>
    <row r="446" spans="1:1" ht="12" customHeight="1" x14ac:dyDescent="0.15">
      <c r="A446" s="8"/>
    </row>
    <row r="447" spans="1:1" ht="12" customHeight="1" x14ac:dyDescent="0.15">
      <c r="A447" s="8"/>
    </row>
    <row r="448" spans="1:1" ht="12" customHeight="1" x14ac:dyDescent="0.15">
      <c r="A448" s="8"/>
    </row>
    <row r="449" spans="1:1" ht="12" customHeight="1" x14ac:dyDescent="0.15">
      <c r="A449" s="8"/>
    </row>
    <row r="450" spans="1:1" ht="12" customHeight="1" x14ac:dyDescent="0.15">
      <c r="A450" s="8"/>
    </row>
    <row r="451" spans="1:1" ht="12" customHeight="1" x14ac:dyDescent="0.15">
      <c r="A451" s="8"/>
    </row>
    <row r="452" spans="1:1" ht="12" customHeight="1" x14ac:dyDescent="0.15">
      <c r="A452" s="8"/>
    </row>
    <row r="453" spans="1:1" ht="12" customHeight="1" x14ac:dyDescent="0.15">
      <c r="A453" s="8"/>
    </row>
    <row r="454" spans="1:1" ht="12" customHeight="1" x14ac:dyDescent="0.15">
      <c r="A454" s="8"/>
    </row>
    <row r="455" spans="1:1" ht="12" customHeight="1" x14ac:dyDescent="0.15">
      <c r="A455" s="8"/>
    </row>
    <row r="456" spans="1:1" ht="12" customHeight="1" x14ac:dyDescent="0.15">
      <c r="A456" s="8"/>
    </row>
    <row r="457" spans="1:1" ht="12" customHeight="1" x14ac:dyDescent="0.15">
      <c r="A457" s="8"/>
    </row>
    <row r="458" spans="1:1" ht="12" customHeight="1" x14ac:dyDescent="0.15">
      <c r="A458" s="8"/>
    </row>
    <row r="459" spans="1:1" ht="12" customHeight="1" x14ac:dyDescent="0.15">
      <c r="A459" s="8"/>
    </row>
    <row r="460" spans="1:1" ht="12" customHeight="1" x14ac:dyDescent="0.15">
      <c r="A460" s="8"/>
    </row>
    <row r="461" spans="1:1" ht="12" customHeight="1" x14ac:dyDescent="0.15">
      <c r="A461" s="8"/>
    </row>
    <row r="462" spans="1:1" ht="12" customHeight="1" x14ac:dyDescent="0.15">
      <c r="A462" s="8"/>
    </row>
    <row r="463" spans="1:1" ht="12" customHeight="1" x14ac:dyDescent="0.15">
      <c r="A463" s="8"/>
    </row>
    <row r="464" spans="1:1" ht="12" customHeight="1" x14ac:dyDescent="0.15">
      <c r="A464" s="8"/>
    </row>
    <row r="465" spans="1:1" ht="12" customHeight="1" x14ac:dyDescent="0.15">
      <c r="A465" s="8"/>
    </row>
    <row r="466" spans="1:1" ht="12" customHeight="1" x14ac:dyDescent="0.15">
      <c r="A466" s="8"/>
    </row>
    <row r="467" spans="1:1" ht="12" customHeight="1" x14ac:dyDescent="0.15">
      <c r="A467" s="8"/>
    </row>
    <row r="468" spans="1:1" ht="12" customHeight="1" x14ac:dyDescent="0.15">
      <c r="A468" s="8"/>
    </row>
    <row r="469" spans="1:1" ht="12" customHeight="1" x14ac:dyDescent="0.15">
      <c r="A469" s="8"/>
    </row>
    <row r="470" spans="1:1" ht="12" customHeight="1" x14ac:dyDescent="0.15">
      <c r="A470" s="8"/>
    </row>
    <row r="471" spans="1:1" ht="12" customHeight="1" x14ac:dyDescent="0.15">
      <c r="A471" s="8"/>
    </row>
    <row r="472" spans="1:1" ht="12" customHeight="1" x14ac:dyDescent="0.15">
      <c r="A472" s="8"/>
    </row>
    <row r="473" spans="1:1" ht="12" customHeight="1" x14ac:dyDescent="0.15">
      <c r="A473" s="8"/>
    </row>
    <row r="474" spans="1:1" ht="12" customHeight="1" x14ac:dyDescent="0.15">
      <c r="A474" s="8"/>
    </row>
    <row r="475" spans="1:1" ht="12" customHeight="1" x14ac:dyDescent="0.15">
      <c r="A475" s="8"/>
    </row>
    <row r="476" spans="1:1" ht="12" customHeight="1" x14ac:dyDescent="0.15">
      <c r="A476" s="8"/>
    </row>
    <row r="477" spans="1:1" ht="12" customHeight="1" x14ac:dyDescent="0.15">
      <c r="A477" s="8"/>
    </row>
    <row r="478" spans="1:1" ht="12" customHeight="1" x14ac:dyDescent="0.15">
      <c r="A478" s="8"/>
    </row>
    <row r="479" spans="1:1" ht="12" customHeight="1" x14ac:dyDescent="0.15">
      <c r="A479" s="8"/>
    </row>
    <row r="480" spans="1:1" ht="12" customHeight="1" x14ac:dyDescent="0.15">
      <c r="A480" s="8"/>
    </row>
    <row r="481" spans="1:1" ht="12" customHeight="1" x14ac:dyDescent="0.15">
      <c r="A481" s="8"/>
    </row>
    <row r="482" spans="1:1" ht="12" customHeight="1" x14ac:dyDescent="0.15">
      <c r="A482" s="8"/>
    </row>
    <row r="483" spans="1:1" ht="12" customHeight="1" x14ac:dyDescent="0.15">
      <c r="A483" s="8"/>
    </row>
    <row r="484" spans="1:1" ht="12" customHeight="1" x14ac:dyDescent="0.15">
      <c r="A484" s="8"/>
    </row>
    <row r="485" spans="1:1" ht="12" customHeight="1" x14ac:dyDescent="0.15">
      <c r="A485" s="8"/>
    </row>
    <row r="486" spans="1:1" ht="12" customHeight="1" x14ac:dyDescent="0.15">
      <c r="A486" s="8"/>
    </row>
    <row r="487" spans="1:1" ht="12" customHeight="1" x14ac:dyDescent="0.15">
      <c r="A487" s="8"/>
    </row>
    <row r="488" spans="1:1" ht="12" customHeight="1" x14ac:dyDescent="0.15">
      <c r="A488" s="8"/>
    </row>
    <row r="489" spans="1:1" ht="12" customHeight="1" x14ac:dyDescent="0.15">
      <c r="A489" s="8"/>
    </row>
    <row r="490" spans="1:1" ht="12" customHeight="1" x14ac:dyDescent="0.15">
      <c r="A490" s="8"/>
    </row>
    <row r="491" spans="1:1" ht="12" customHeight="1" x14ac:dyDescent="0.15">
      <c r="A491" s="8"/>
    </row>
    <row r="492" spans="1:1" ht="12" customHeight="1" x14ac:dyDescent="0.15">
      <c r="A492" s="8"/>
    </row>
    <row r="493" spans="1:1" ht="12" customHeight="1" x14ac:dyDescent="0.15">
      <c r="A493" s="8"/>
    </row>
    <row r="494" spans="1:1" ht="12" customHeight="1" x14ac:dyDescent="0.15">
      <c r="A494" s="8"/>
    </row>
    <row r="495" spans="1:1" ht="12" customHeight="1" x14ac:dyDescent="0.15">
      <c r="A495" s="8"/>
    </row>
    <row r="496" spans="1:1" ht="12" customHeight="1" x14ac:dyDescent="0.15">
      <c r="A496" s="8"/>
    </row>
    <row r="497" spans="1:1" ht="12" customHeight="1" x14ac:dyDescent="0.15">
      <c r="A497" s="8"/>
    </row>
    <row r="498" spans="1:1" ht="12" customHeight="1" x14ac:dyDescent="0.15">
      <c r="A498" s="8"/>
    </row>
    <row r="499" spans="1:1" ht="12" customHeight="1" x14ac:dyDescent="0.15">
      <c r="A499" s="8"/>
    </row>
    <row r="500" spans="1:1" ht="12" customHeight="1" x14ac:dyDescent="0.15">
      <c r="A500" s="8"/>
    </row>
    <row r="501" spans="1:1" ht="12" customHeight="1" x14ac:dyDescent="0.15">
      <c r="A501" s="8"/>
    </row>
    <row r="502" spans="1:1" ht="12" customHeight="1" x14ac:dyDescent="0.15">
      <c r="A502" s="8"/>
    </row>
    <row r="503" spans="1:1" ht="12" customHeight="1" x14ac:dyDescent="0.15">
      <c r="A503" s="8"/>
    </row>
    <row r="504" spans="1:1" ht="12" customHeight="1" x14ac:dyDescent="0.15">
      <c r="A504" s="8"/>
    </row>
    <row r="505" spans="1:1" ht="12" customHeight="1" x14ac:dyDescent="0.15">
      <c r="A505" s="8"/>
    </row>
    <row r="506" spans="1:1" ht="12" customHeight="1" x14ac:dyDescent="0.15">
      <c r="A506" s="8"/>
    </row>
    <row r="507" spans="1:1" ht="12" customHeight="1" x14ac:dyDescent="0.15">
      <c r="A507" s="8"/>
    </row>
    <row r="508" spans="1:1" ht="12" customHeight="1" x14ac:dyDescent="0.15">
      <c r="A508" s="8"/>
    </row>
    <row r="509" spans="1:1" ht="12" customHeight="1" x14ac:dyDescent="0.15">
      <c r="A509" s="8"/>
    </row>
    <row r="510" spans="1:1" ht="12" customHeight="1" x14ac:dyDescent="0.15">
      <c r="A510" s="8"/>
    </row>
    <row r="511" spans="1:1" ht="12" customHeight="1" x14ac:dyDescent="0.15">
      <c r="A511" s="8"/>
    </row>
    <row r="512" spans="1:1" ht="12" customHeight="1" x14ac:dyDescent="0.15">
      <c r="A512" s="8"/>
    </row>
    <row r="513" spans="1:1" ht="12" customHeight="1" x14ac:dyDescent="0.15">
      <c r="A513" s="8"/>
    </row>
    <row r="514" spans="1:1" ht="12" customHeight="1" x14ac:dyDescent="0.15">
      <c r="A514" s="8"/>
    </row>
    <row r="515" spans="1:1" ht="12" customHeight="1" x14ac:dyDescent="0.15">
      <c r="A515" s="8"/>
    </row>
    <row r="516" spans="1:1" ht="12" customHeight="1" x14ac:dyDescent="0.15">
      <c r="A516" s="8"/>
    </row>
    <row r="517" spans="1:1" ht="12" customHeight="1" x14ac:dyDescent="0.15">
      <c r="A517" s="8"/>
    </row>
    <row r="518" spans="1:1" ht="12" customHeight="1" x14ac:dyDescent="0.15">
      <c r="A518" s="8"/>
    </row>
    <row r="519" spans="1:1" ht="12" customHeight="1" x14ac:dyDescent="0.15">
      <c r="A519" s="8"/>
    </row>
    <row r="520" spans="1:1" ht="12" customHeight="1" x14ac:dyDescent="0.15">
      <c r="A520" s="8"/>
    </row>
    <row r="521" spans="1:1" ht="12" customHeight="1" x14ac:dyDescent="0.15">
      <c r="A521" s="8"/>
    </row>
    <row r="522" spans="1:1" ht="12" customHeight="1" x14ac:dyDescent="0.15">
      <c r="A522" s="8"/>
    </row>
    <row r="523" spans="1:1" ht="12" customHeight="1" x14ac:dyDescent="0.15">
      <c r="A523" s="8"/>
    </row>
    <row r="524" spans="1:1" ht="12" customHeight="1" x14ac:dyDescent="0.15">
      <c r="A524" s="8"/>
    </row>
    <row r="525" spans="1:1" ht="12" customHeight="1" x14ac:dyDescent="0.15">
      <c r="A525" s="8"/>
    </row>
    <row r="526" spans="1:1" ht="12" customHeight="1" x14ac:dyDescent="0.15">
      <c r="A526" s="8"/>
    </row>
    <row r="527" spans="1:1" ht="12" customHeight="1" x14ac:dyDescent="0.15">
      <c r="A527" s="8"/>
    </row>
    <row r="528" spans="1:1" ht="12" customHeight="1" x14ac:dyDescent="0.15">
      <c r="A528" s="8"/>
    </row>
    <row r="529" spans="1:1" ht="12" customHeight="1" x14ac:dyDescent="0.15">
      <c r="A529" s="8"/>
    </row>
    <row r="530" spans="1:1" ht="12" customHeight="1" x14ac:dyDescent="0.15">
      <c r="A530" s="8"/>
    </row>
    <row r="531" spans="1:1" ht="12" customHeight="1" x14ac:dyDescent="0.15">
      <c r="A531" s="8"/>
    </row>
    <row r="532" spans="1:1" ht="12" customHeight="1" x14ac:dyDescent="0.15">
      <c r="A532" s="8"/>
    </row>
    <row r="533" spans="1:1" ht="12" customHeight="1" x14ac:dyDescent="0.15">
      <c r="A533" s="8"/>
    </row>
    <row r="534" spans="1:1" ht="12" customHeight="1" x14ac:dyDescent="0.15">
      <c r="A534" s="8"/>
    </row>
    <row r="535" spans="1:1" ht="12" customHeight="1" x14ac:dyDescent="0.15">
      <c r="A535" s="8"/>
    </row>
    <row r="536" spans="1:1" ht="12" customHeight="1" x14ac:dyDescent="0.15">
      <c r="A536" s="8"/>
    </row>
    <row r="537" spans="1:1" ht="12" customHeight="1" x14ac:dyDescent="0.15">
      <c r="A537" s="8"/>
    </row>
    <row r="538" spans="1:1" ht="12" customHeight="1" x14ac:dyDescent="0.15">
      <c r="A538" s="8"/>
    </row>
    <row r="539" spans="1:1" ht="12" customHeight="1" x14ac:dyDescent="0.15">
      <c r="A539" s="8"/>
    </row>
    <row r="540" spans="1:1" ht="12" customHeight="1" x14ac:dyDescent="0.15">
      <c r="A540" s="8"/>
    </row>
    <row r="541" spans="1:1" ht="12" customHeight="1" x14ac:dyDescent="0.15">
      <c r="A541" s="8"/>
    </row>
    <row r="542" spans="1:1" ht="12" customHeight="1" x14ac:dyDescent="0.15">
      <c r="A542" s="8"/>
    </row>
    <row r="543" spans="1:1" ht="12" customHeight="1" x14ac:dyDescent="0.15">
      <c r="A543" s="8"/>
    </row>
    <row r="544" spans="1:1" ht="12" customHeight="1" x14ac:dyDescent="0.15">
      <c r="A544" s="8"/>
    </row>
    <row r="545" spans="1:1" ht="12" customHeight="1" x14ac:dyDescent="0.15">
      <c r="A545" s="8"/>
    </row>
    <row r="546" spans="1:1" ht="12" customHeight="1" x14ac:dyDescent="0.15">
      <c r="A546" s="8"/>
    </row>
    <row r="547" spans="1:1" ht="12" customHeight="1" x14ac:dyDescent="0.15">
      <c r="A547" s="8"/>
    </row>
    <row r="548" spans="1:1" ht="12" customHeight="1" x14ac:dyDescent="0.15">
      <c r="A548" s="8"/>
    </row>
    <row r="549" spans="1:1" ht="12" customHeight="1" x14ac:dyDescent="0.15">
      <c r="A549" s="8"/>
    </row>
    <row r="550" spans="1:1" ht="12" customHeight="1" x14ac:dyDescent="0.15">
      <c r="A550" s="8"/>
    </row>
    <row r="551" spans="1:1" ht="12" customHeight="1" x14ac:dyDescent="0.15">
      <c r="A551" s="8"/>
    </row>
    <row r="552" spans="1:1" ht="12" customHeight="1" x14ac:dyDescent="0.15">
      <c r="A552" s="8"/>
    </row>
    <row r="553" spans="1:1" ht="12" customHeight="1" x14ac:dyDescent="0.15">
      <c r="A553" s="8"/>
    </row>
    <row r="554" spans="1:1" ht="12" customHeight="1" x14ac:dyDescent="0.15">
      <c r="A554" s="8"/>
    </row>
    <row r="555" spans="1:1" ht="12" customHeight="1" x14ac:dyDescent="0.15">
      <c r="A555" s="8"/>
    </row>
    <row r="556" spans="1:1" ht="12" customHeight="1" x14ac:dyDescent="0.15">
      <c r="A556" s="8"/>
    </row>
    <row r="557" spans="1:1" ht="12" customHeight="1" x14ac:dyDescent="0.15">
      <c r="A557" s="8"/>
    </row>
    <row r="558" spans="1:1" ht="12" customHeight="1" x14ac:dyDescent="0.15">
      <c r="A558" s="8"/>
    </row>
    <row r="559" spans="1:1" ht="12" customHeight="1" x14ac:dyDescent="0.15">
      <c r="A559" s="8"/>
    </row>
    <row r="560" spans="1:1" ht="12" customHeight="1" x14ac:dyDescent="0.15">
      <c r="A560" s="8"/>
    </row>
    <row r="561" spans="1:1" ht="12" customHeight="1" x14ac:dyDescent="0.15">
      <c r="A561" s="8"/>
    </row>
    <row r="562" spans="1:1" ht="12" customHeight="1" x14ac:dyDescent="0.15">
      <c r="A562" s="8"/>
    </row>
    <row r="563" spans="1:1" ht="12" customHeight="1" x14ac:dyDescent="0.15">
      <c r="A563" s="8"/>
    </row>
    <row r="564" spans="1:1" ht="12" customHeight="1" x14ac:dyDescent="0.15">
      <c r="A564" s="8"/>
    </row>
    <row r="565" spans="1:1" ht="12" customHeight="1" x14ac:dyDescent="0.15">
      <c r="A565" s="8"/>
    </row>
    <row r="566" spans="1:1" ht="12" customHeight="1" x14ac:dyDescent="0.15">
      <c r="A566" s="8"/>
    </row>
    <row r="567" spans="1:1" ht="12" customHeight="1" x14ac:dyDescent="0.15">
      <c r="A567" s="8"/>
    </row>
    <row r="568" spans="1:1" ht="12" customHeight="1" x14ac:dyDescent="0.15">
      <c r="A568" s="8"/>
    </row>
    <row r="569" spans="1:1" ht="12" customHeight="1" x14ac:dyDescent="0.15">
      <c r="A569" s="8"/>
    </row>
    <row r="570" spans="1:1" ht="12" customHeight="1" x14ac:dyDescent="0.15">
      <c r="A570" s="8"/>
    </row>
    <row r="571" spans="1:1" ht="12" customHeight="1" x14ac:dyDescent="0.15">
      <c r="A571" s="8"/>
    </row>
    <row r="572" spans="1:1" ht="12" customHeight="1" x14ac:dyDescent="0.15">
      <c r="A572" s="8"/>
    </row>
    <row r="573" spans="1:1" ht="12" customHeight="1" x14ac:dyDescent="0.15">
      <c r="A573" s="8"/>
    </row>
    <row r="574" spans="1:1" ht="12" customHeight="1" x14ac:dyDescent="0.15">
      <c r="A574" s="8"/>
    </row>
    <row r="575" spans="1:1" ht="12" customHeight="1" x14ac:dyDescent="0.15">
      <c r="A575" s="8"/>
    </row>
    <row r="576" spans="1:1" ht="12" customHeight="1" x14ac:dyDescent="0.15">
      <c r="A576" s="8"/>
    </row>
    <row r="577" spans="1:1" ht="12" customHeight="1" x14ac:dyDescent="0.15">
      <c r="A577" s="8"/>
    </row>
    <row r="578" spans="1:1" ht="12" customHeight="1" x14ac:dyDescent="0.15">
      <c r="A578" s="8"/>
    </row>
    <row r="579" spans="1:1" ht="12" customHeight="1" x14ac:dyDescent="0.15">
      <c r="A579" s="8"/>
    </row>
    <row r="580" spans="1:1" ht="12" customHeight="1" x14ac:dyDescent="0.15">
      <c r="A580" s="8"/>
    </row>
    <row r="581" spans="1:1" ht="12" customHeight="1" x14ac:dyDescent="0.15">
      <c r="A581" s="8"/>
    </row>
    <row r="582" spans="1:1" ht="12" customHeight="1" x14ac:dyDescent="0.15">
      <c r="A582" s="8"/>
    </row>
    <row r="583" spans="1:1" ht="12" customHeight="1" x14ac:dyDescent="0.15">
      <c r="A583" s="8"/>
    </row>
    <row r="584" spans="1:1" ht="12" customHeight="1" x14ac:dyDescent="0.15">
      <c r="A584" s="8"/>
    </row>
    <row r="585" spans="1:1" ht="12" customHeight="1" x14ac:dyDescent="0.15">
      <c r="A585" s="8"/>
    </row>
    <row r="586" spans="1:1" ht="12" customHeight="1" x14ac:dyDescent="0.15">
      <c r="A586" s="8"/>
    </row>
    <row r="587" spans="1:1" ht="12" customHeight="1" x14ac:dyDescent="0.15">
      <c r="A587" s="8"/>
    </row>
    <row r="588" spans="1:1" ht="12" customHeight="1" x14ac:dyDescent="0.15">
      <c r="A588" s="8"/>
    </row>
    <row r="589" spans="1:1" ht="12" customHeight="1" x14ac:dyDescent="0.15">
      <c r="A589" s="8"/>
    </row>
    <row r="590" spans="1:1" ht="12" customHeight="1" x14ac:dyDescent="0.15">
      <c r="A590" s="8"/>
    </row>
    <row r="591" spans="1:1" ht="12" customHeight="1" x14ac:dyDescent="0.15">
      <c r="A591" s="8"/>
    </row>
    <row r="592" spans="1:1" ht="12" customHeight="1" x14ac:dyDescent="0.15">
      <c r="A592" s="8"/>
    </row>
    <row r="593" spans="1:1" ht="12" customHeight="1" x14ac:dyDescent="0.15">
      <c r="A593" s="8"/>
    </row>
    <row r="594" spans="1:1" ht="12" customHeight="1" x14ac:dyDescent="0.15">
      <c r="A594" s="8"/>
    </row>
    <row r="595" spans="1:1" ht="12" customHeight="1" x14ac:dyDescent="0.15">
      <c r="A595" s="8"/>
    </row>
    <row r="596" spans="1:1" ht="12" customHeight="1" x14ac:dyDescent="0.15">
      <c r="A596" s="8"/>
    </row>
    <row r="597" spans="1:1" ht="12" customHeight="1" x14ac:dyDescent="0.15">
      <c r="A597" s="8"/>
    </row>
    <row r="598" spans="1:1" ht="12" customHeight="1" x14ac:dyDescent="0.15">
      <c r="A598" s="8"/>
    </row>
    <row r="599" spans="1:1" ht="12" customHeight="1" x14ac:dyDescent="0.15">
      <c r="A599" s="8"/>
    </row>
    <row r="600" spans="1:1" ht="12" customHeight="1" x14ac:dyDescent="0.15">
      <c r="A600" s="8"/>
    </row>
    <row r="601" spans="1:1" ht="12" customHeight="1" x14ac:dyDescent="0.15">
      <c r="A601" s="8"/>
    </row>
    <row r="602" spans="1:1" ht="12" customHeight="1" x14ac:dyDescent="0.15">
      <c r="A602" s="8"/>
    </row>
    <row r="603" spans="1:1" ht="12" customHeight="1" x14ac:dyDescent="0.15">
      <c r="A603" s="8"/>
    </row>
    <row r="604" spans="1:1" ht="12" customHeight="1" x14ac:dyDescent="0.15">
      <c r="A604" s="8"/>
    </row>
    <row r="605" spans="1:1" ht="12" customHeight="1" x14ac:dyDescent="0.15">
      <c r="A605" s="8"/>
    </row>
    <row r="606" spans="1:1" ht="12" customHeight="1" x14ac:dyDescent="0.15">
      <c r="A606" s="8"/>
    </row>
    <row r="607" spans="1:1" ht="12" customHeight="1" x14ac:dyDescent="0.15">
      <c r="A607" s="8"/>
    </row>
    <row r="608" spans="1:1" ht="12" customHeight="1" x14ac:dyDescent="0.15">
      <c r="A608" s="8"/>
    </row>
    <row r="609" spans="1:1" ht="12" customHeight="1" x14ac:dyDescent="0.15">
      <c r="A609" s="8"/>
    </row>
    <row r="610" spans="1:1" ht="12" customHeight="1" x14ac:dyDescent="0.15">
      <c r="A610" s="8"/>
    </row>
    <row r="611" spans="1:1" ht="12" customHeight="1" x14ac:dyDescent="0.15">
      <c r="A611" s="8"/>
    </row>
    <row r="612" spans="1:1" ht="12" customHeight="1" x14ac:dyDescent="0.15">
      <c r="A612" s="8"/>
    </row>
    <row r="613" spans="1:1" ht="12" customHeight="1" x14ac:dyDescent="0.15">
      <c r="A613" s="8"/>
    </row>
    <row r="614" spans="1:1" ht="12" customHeight="1" x14ac:dyDescent="0.15">
      <c r="A614" s="8"/>
    </row>
    <row r="615" spans="1:1" ht="12" customHeight="1" x14ac:dyDescent="0.15">
      <c r="A615" s="8"/>
    </row>
    <row r="616" spans="1:1" ht="12" customHeight="1" x14ac:dyDescent="0.15">
      <c r="A616" s="8"/>
    </row>
    <row r="617" spans="1:1" ht="12" customHeight="1" x14ac:dyDescent="0.15">
      <c r="A617" s="8"/>
    </row>
    <row r="618" spans="1:1" ht="12" customHeight="1" x14ac:dyDescent="0.15">
      <c r="A618" s="8"/>
    </row>
    <row r="619" spans="1:1" ht="12" customHeight="1" x14ac:dyDescent="0.15">
      <c r="A619" s="8"/>
    </row>
    <row r="620" spans="1:1" ht="12" customHeight="1" x14ac:dyDescent="0.15">
      <c r="A620" s="8"/>
    </row>
    <row r="621" spans="1:1" ht="12" customHeight="1" x14ac:dyDescent="0.15">
      <c r="A621" s="8"/>
    </row>
    <row r="622" spans="1:1" ht="12" customHeight="1" x14ac:dyDescent="0.15">
      <c r="A622" s="8"/>
    </row>
    <row r="623" spans="1:1" ht="12" customHeight="1" x14ac:dyDescent="0.15">
      <c r="A623" s="8"/>
    </row>
    <row r="624" spans="1:1" ht="12" customHeight="1" x14ac:dyDescent="0.15">
      <c r="A624" s="8"/>
    </row>
    <row r="625" spans="1:1" ht="12" customHeight="1" x14ac:dyDescent="0.15">
      <c r="A625" s="8"/>
    </row>
    <row r="626" spans="1:1" ht="12" customHeight="1" x14ac:dyDescent="0.15">
      <c r="A626" s="8"/>
    </row>
    <row r="627" spans="1:1" ht="12" customHeight="1" x14ac:dyDescent="0.15">
      <c r="A627" s="8"/>
    </row>
    <row r="628" spans="1:1" ht="12" customHeight="1" x14ac:dyDescent="0.15">
      <c r="A628" s="8"/>
    </row>
    <row r="629" spans="1:1" ht="12" customHeight="1" x14ac:dyDescent="0.15">
      <c r="A629" s="8"/>
    </row>
    <row r="630" spans="1:1" ht="12" customHeight="1" x14ac:dyDescent="0.15">
      <c r="A630" s="8"/>
    </row>
    <row r="631" spans="1:1" ht="12" customHeight="1" x14ac:dyDescent="0.15">
      <c r="A631" s="8"/>
    </row>
    <row r="632" spans="1:1" ht="12" customHeight="1" x14ac:dyDescent="0.15">
      <c r="A632" s="8"/>
    </row>
    <row r="633" spans="1:1" ht="12" customHeight="1" x14ac:dyDescent="0.15">
      <c r="A633" s="8"/>
    </row>
    <row r="634" spans="1:1" ht="12" customHeight="1" x14ac:dyDescent="0.15">
      <c r="A634" s="8"/>
    </row>
    <row r="635" spans="1:1" ht="12" customHeight="1" x14ac:dyDescent="0.15">
      <c r="A635" s="8"/>
    </row>
    <row r="636" spans="1:1" ht="12" customHeight="1" x14ac:dyDescent="0.15">
      <c r="A636" s="8"/>
    </row>
    <row r="637" spans="1:1" ht="12" customHeight="1" x14ac:dyDescent="0.15">
      <c r="A637" s="8"/>
    </row>
    <row r="638" spans="1:1" ht="12" customHeight="1" x14ac:dyDescent="0.15">
      <c r="A638" s="8"/>
    </row>
    <row r="639" spans="1:1" ht="12" customHeight="1" x14ac:dyDescent="0.15">
      <c r="A639" s="8"/>
    </row>
    <row r="640" spans="1:1" ht="12" customHeight="1" x14ac:dyDescent="0.15">
      <c r="A640" s="8"/>
    </row>
    <row r="641" spans="1:1" ht="12" customHeight="1" x14ac:dyDescent="0.15">
      <c r="A641" s="8"/>
    </row>
    <row r="642" spans="1:1" ht="12" customHeight="1" x14ac:dyDescent="0.15">
      <c r="A642" s="8"/>
    </row>
    <row r="643" spans="1:1" ht="12" customHeight="1" x14ac:dyDescent="0.15">
      <c r="A643" s="8"/>
    </row>
    <row r="644" spans="1:1" ht="12" customHeight="1" x14ac:dyDescent="0.15">
      <c r="A644" s="8"/>
    </row>
    <row r="645" spans="1:1" ht="12" customHeight="1" x14ac:dyDescent="0.15">
      <c r="A645" s="8"/>
    </row>
    <row r="646" spans="1:1" ht="12" customHeight="1" x14ac:dyDescent="0.15">
      <c r="A646" s="8"/>
    </row>
    <row r="647" spans="1:1" ht="12" customHeight="1" x14ac:dyDescent="0.15">
      <c r="A647" s="8"/>
    </row>
    <row r="648" spans="1:1" ht="12" customHeight="1" x14ac:dyDescent="0.15">
      <c r="A648" s="8"/>
    </row>
    <row r="649" spans="1:1" ht="12" customHeight="1" x14ac:dyDescent="0.15">
      <c r="A649" s="8"/>
    </row>
    <row r="650" spans="1:1" ht="12" customHeight="1" x14ac:dyDescent="0.15">
      <c r="A650" s="8"/>
    </row>
    <row r="651" spans="1:1" ht="12" customHeight="1" x14ac:dyDescent="0.15">
      <c r="A651" s="8"/>
    </row>
    <row r="652" spans="1:1" ht="12" customHeight="1" x14ac:dyDescent="0.15">
      <c r="A652" s="8"/>
    </row>
    <row r="653" spans="1:1" ht="12" customHeight="1" x14ac:dyDescent="0.15">
      <c r="A653" s="8"/>
    </row>
    <row r="654" spans="1:1" ht="12" customHeight="1" x14ac:dyDescent="0.15">
      <c r="A654" s="8"/>
    </row>
    <row r="655" spans="1:1" ht="12" customHeight="1" x14ac:dyDescent="0.15">
      <c r="A655" s="8"/>
    </row>
    <row r="656" spans="1:1" ht="12" customHeight="1" x14ac:dyDescent="0.15">
      <c r="A656" s="8"/>
    </row>
    <row r="657" spans="1:1" ht="12" customHeight="1" x14ac:dyDescent="0.15">
      <c r="A657" s="8"/>
    </row>
    <row r="658" spans="1:1" ht="12" customHeight="1" x14ac:dyDescent="0.15">
      <c r="A658" s="8"/>
    </row>
    <row r="659" spans="1:1" ht="12" customHeight="1" x14ac:dyDescent="0.15">
      <c r="A659" s="8"/>
    </row>
    <row r="660" spans="1:1" ht="12" customHeight="1" x14ac:dyDescent="0.15">
      <c r="A660" s="8"/>
    </row>
    <row r="661" spans="1:1" ht="12" customHeight="1" x14ac:dyDescent="0.15">
      <c r="A661" s="8"/>
    </row>
    <row r="662" spans="1:1" ht="12" customHeight="1" x14ac:dyDescent="0.15">
      <c r="A662" s="8"/>
    </row>
    <row r="663" spans="1:1" ht="12" customHeight="1" x14ac:dyDescent="0.15">
      <c r="A663" s="8"/>
    </row>
    <row r="664" spans="1:1" ht="12" customHeight="1" x14ac:dyDescent="0.15">
      <c r="A664" s="8"/>
    </row>
    <row r="665" spans="1:1" ht="12" customHeight="1" x14ac:dyDescent="0.15">
      <c r="A665" s="8"/>
    </row>
    <row r="666" spans="1:1" ht="12" customHeight="1" x14ac:dyDescent="0.15">
      <c r="A666" s="8"/>
    </row>
    <row r="667" spans="1:1" ht="12" customHeight="1" x14ac:dyDescent="0.15">
      <c r="A667" s="8"/>
    </row>
    <row r="668" spans="1:1" ht="12" customHeight="1" x14ac:dyDescent="0.15">
      <c r="A668" s="8"/>
    </row>
    <row r="669" spans="1:1" ht="12" customHeight="1" x14ac:dyDescent="0.15">
      <c r="A669" s="8"/>
    </row>
    <row r="670" spans="1:1" ht="12" customHeight="1" x14ac:dyDescent="0.15">
      <c r="A670" s="8"/>
    </row>
    <row r="671" spans="1:1" ht="12" customHeight="1" x14ac:dyDescent="0.15">
      <c r="A671" s="8"/>
    </row>
    <row r="672" spans="1:1" ht="12" customHeight="1" x14ac:dyDescent="0.15">
      <c r="A672" s="8"/>
    </row>
    <row r="673" spans="1:1" ht="12" customHeight="1" x14ac:dyDescent="0.15">
      <c r="A673" s="8"/>
    </row>
    <row r="674" spans="1:1" ht="12" customHeight="1" x14ac:dyDescent="0.15">
      <c r="A674" s="8"/>
    </row>
    <row r="675" spans="1:1" ht="12" customHeight="1" x14ac:dyDescent="0.15">
      <c r="A675" s="8"/>
    </row>
    <row r="676" spans="1:1" ht="12" customHeight="1" x14ac:dyDescent="0.15">
      <c r="A676" s="8"/>
    </row>
    <row r="677" spans="1:1" ht="12" customHeight="1" x14ac:dyDescent="0.15">
      <c r="A677" s="8"/>
    </row>
    <row r="678" spans="1:1" ht="12" customHeight="1" x14ac:dyDescent="0.15">
      <c r="A678" s="8"/>
    </row>
    <row r="679" spans="1:1" ht="12" customHeight="1" x14ac:dyDescent="0.15">
      <c r="A679" s="33"/>
    </row>
    <row r="680" spans="1:1" ht="12" customHeight="1" x14ac:dyDescent="0.15">
      <c r="A680" s="33"/>
    </row>
    <row r="681" spans="1:1" ht="12" customHeight="1" x14ac:dyDescent="0.15">
      <c r="A681" s="33"/>
    </row>
    <row r="682" spans="1:1" ht="12" customHeight="1" x14ac:dyDescent="0.15">
      <c r="A682" s="8"/>
    </row>
    <row r="683" spans="1:1" ht="12" customHeight="1" x14ac:dyDescent="0.15">
      <c r="A683" s="8"/>
    </row>
    <row r="684" spans="1:1" ht="12" customHeight="1" x14ac:dyDescent="0.15">
      <c r="A684" s="8"/>
    </row>
    <row r="685" spans="1:1" ht="12" customHeight="1" x14ac:dyDescent="0.15">
      <c r="A685" s="8"/>
    </row>
    <row r="686" spans="1:1" ht="12" customHeight="1" x14ac:dyDescent="0.15">
      <c r="A686" s="8"/>
    </row>
    <row r="687" spans="1:1" ht="12" customHeight="1" x14ac:dyDescent="0.15">
      <c r="A687" s="8"/>
    </row>
    <row r="688" spans="1:1" ht="12" customHeight="1" x14ac:dyDescent="0.15">
      <c r="A688" s="8"/>
    </row>
    <row r="689" spans="1:1" ht="12" customHeight="1" x14ac:dyDescent="0.15">
      <c r="A689" s="8"/>
    </row>
    <row r="690" spans="1:1" ht="12" customHeight="1" x14ac:dyDescent="0.15">
      <c r="A690" s="8"/>
    </row>
    <row r="691" spans="1:1" ht="12" customHeight="1" x14ac:dyDescent="0.15">
      <c r="A691" s="8"/>
    </row>
    <row r="692" spans="1:1" ht="12" customHeight="1" x14ac:dyDescent="0.15">
      <c r="A692" s="8"/>
    </row>
    <row r="693" spans="1:1" ht="12" customHeight="1" x14ac:dyDescent="0.15">
      <c r="A693" s="8"/>
    </row>
    <row r="694" spans="1:1" ht="12" customHeight="1" x14ac:dyDescent="0.15">
      <c r="A694" s="8"/>
    </row>
    <row r="695" spans="1:1" ht="12" customHeight="1" x14ac:dyDescent="0.15">
      <c r="A695" s="8"/>
    </row>
    <row r="696" spans="1:1" ht="12" customHeight="1" x14ac:dyDescent="0.15">
      <c r="A696" s="8"/>
    </row>
    <row r="697" spans="1:1" ht="12" customHeight="1" x14ac:dyDescent="0.15">
      <c r="A697" s="8"/>
    </row>
    <row r="698" spans="1:1" ht="12" customHeight="1" x14ac:dyDescent="0.15">
      <c r="A698" s="8"/>
    </row>
    <row r="699" spans="1:1" ht="12" customHeight="1" x14ac:dyDescent="0.15">
      <c r="A699" s="8"/>
    </row>
    <row r="700" spans="1:1" ht="12" customHeight="1" x14ac:dyDescent="0.15">
      <c r="A700" s="8"/>
    </row>
    <row r="701" spans="1:1" ht="12" customHeight="1" x14ac:dyDescent="0.15">
      <c r="A701" s="8"/>
    </row>
    <row r="702" spans="1:1" ht="12" customHeight="1" x14ac:dyDescent="0.15">
      <c r="A702" s="8"/>
    </row>
    <row r="703" spans="1:1" ht="12" customHeight="1" x14ac:dyDescent="0.15">
      <c r="A703" s="8"/>
    </row>
    <row r="704" spans="1:1" ht="12" customHeight="1" x14ac:dyDescent="0.15">
      <c r="A704" s="8"/>
    </row>
    <row r="705" spans="1:1" ht="12" customHeight="1" x14ac:dyDescent="0.15">
      <c r="A705" s="8"/>
    </row>
    <row r="706" spans="1:1" ht="12" customHeight="1" x14ac:dyDescent="0.15">
      <c r="A706" s="8"/>
    </row>
    <row r="707" spans="1:1" ht="12" customHeight="1" x14ac:dyDescent="0.15">
      <c r="A707" s="8"/>
    </row>
    <row r="708" spans="1:1" ht="12" customHeight="1" x14ac:dyDescent="0.15">
      <c r="A708" s="8"/>
    </row>
    <row r="709" spans="1:1" ht="12" customHeight="1" x14ac:dyDescent="0.15">
      <c r="A709" s="8"/>
    </row>
    <row r="710" spans="1:1" ht="12" customHeight="1" x14ac:dyDescent="0.15">
      <c r="A710" s="8"/>
    </row>
    <row r="711" spans="1:1" ht="12" customHeight="1" x14ac:dyDescent="0.15">
      <c r="A711" s="8"/>
    </row>
    <row r="712" spans="1:1" ht="12" customHeight="1" x14ac:dyDescent="0.15">
      <c r="A712" s="8"/>
    </row>
    <row r="713" spans="1:1" ht="12" customHeight="1" x14ac:dyDescent="0.15">
      <c r="A713" s="8"/>
    </row>
    <row r="714" spans="1:1" ht="12" customHeight="1" x14ac:dyDescent="0.15">
      <c r="A714" s="8"/>
    </row>
    <row r="715" spans="1:1" ht="12" customHeight="1" x14ac:dyDescent="0.15">
      <c r="A715" s="8"/>
    </row>
    <row r="716" spans="1:1" ht="12" customHeight="1" x14ac:dyDescent="0.15">
      <c r="A716" s="8"/>
    </row>
    <row r="717" spans="1:1" ht="12" customHeight="1" x14ac:dyDescent="0.15">
      <c r="A717" s="8"/>
    </row>
    <row r="718" spans="1:1" ht="12" customHeight="1" x14ac:dyDescent="0.15">
      <c r="A718" s="8"/>
    </row>
    <row r="719" spans="1:1" ht="12" customHeight="1" x14ac:dyDescent="0.15">
      <c r="A719" s="8"/>
    </row>
    <row r="720" spans="1:1" ht="12" customHeight="1" x14ac:dyDescent="0.15">
      <c r="A720" s="8"/>
    </row>
    <row r="721" spans="1:1" ht="12" customHeight="1" x14ac:dyDescent="0.15">
      <c r="A721" s="8"/>
    </row>
    <row r="722" spans="1:1" ht="12" customHeight="1" x14ac:dyDescent="0.15">
      <c r="A722" s="8"/>
    </row>
    <row r="723" spans="1:1" ht="12" customHeight="1" x14ac:dyDescent="0.15">
      <c r="A723" s="8"/>
    </row>
    <row r="724" spans="1:1" ht="12" customHeight="1" x14ac:dyDescent="0.15">
      <c r="A724" s="8"/>
    </row>
    <row r="725" spans="1:1" ht="12" customHeight="1" x14ac:dyDescent="0.15">
      <c r="A725" s="8"/>
    </row>
    <row r="726" spans="1:1" ht="12" customHeight="1" x14ac:dyDescent="0.15">
      <c r="A726" s="8"/>
    </row>
    <row r="727" spans="1:1" ht="12" customHeight="1" x14ac:dyDescent="0.15">
      <c r="A727" s="8"/>
    </row>
    <row r="728" spans="1:1" ht="12" customHeight="1" x14ac:dyDescent="0.15">
      <c r="A728" s="8"/>
    </row>
    <row r="729" spans="1:1" ht="12" customHeight="1" x14ac:dyDescent="0.15">
      <c r="A729" s="8"/>
    </row>
    <row r="730" spans="1:1" ht="12" customHeight="1" x14ac:dyDescent="0.15">
      <c r="A730" s="8"/>
    </row>
    <row r="731" spans="1:1" ht="12" customHeight="1" x14ac:dyDescent="0.15">
      <c r="A731" s="8"/>
    </row>
    <row r="732" spans="1:1" ht="12" customHeight="1" x14ac:dyDescent="0.15">
      <c r="A732" s="8"/>
    </row>
    <row r="733" spans="1:1" ht="12" customHeight="1" x14ac:dyDescent="0.15">
      <c r="A733" s="8"/>
    </row>
    <row r="734" spans="1:1" ht="12" customHeight="1" x14ac:dyDescent="0.15">
      <c r="A734" s="8"/>
    </row>
    <row r="735" spans="1:1" ht="12" customHeight="1" x14ac:dyDescent="0.15">
      <c r="A735" s="8"/>
    </row>
    <row r="736" spans="1:1" ht="12" customHeight="1" x14ac:dyDescent="0.15">
      <c r="A736" s="8"/>
    </row>
    <row r="737" spans="1:1" ht="12" customHeight="1" x14ac:dyDescent="0.15">
      <c r="A737" s="8"/>
    </row>
    <row r="738" spans="1:1" ht="12" customHeight="1" x14ac:dyDescent="0.15">
      <c r="A738" s="8"/>
    </row>
    <row r="739" spans="1:1" ht="12" customHeight="1" x14ac:dyDescent="0.15">
      <c r="A739" s="8"/>
    </row>
    <row r="740" spans="1:1" ht="12" customHeight="1" x14ac:dyDescent="0.15">
      <c r="A740" s="8"/>
    </row>
    <row r="741" spans="1:1" ht="12" customHeight="1" x14ac:dyDescent="0.15">
      <c r="A741" s="8"/>
    </row>
    <row r="742" spans="1:1" ht="12" customHeight="1" x14ac:dyDescent="0.15">
      <c r="A742" s="8"/>
    </row>
    <row r="743" spans="1:1" ht="12" customHeight="1" x14ac:dyDescent="0.15">
      <c r="A743" s="8"/>
    </row>
    <row r="744" spans="1:1" ht="12" customHeight="1" x14ac:dyDescent="0.15">
      <c r="A744" s="8"/>
    </row>
    <row r="745" spans="1:1" ht="12" customHeight="1" x14ac:dyDescent="0.15">
      <c r="A745" s="8"/>
    </row>
    <row r="746" spans="1:1" ht="12" customHeight="1" x14ac:dyDescent="0.15">
      <c r="A746" s="8"/>
    </row>
    <row r="747" spans="1:1" ht="12" customHeight="1" x14ac:dyDescent="0.15">
      <c r="A747" s="8"/>
    </row>
    <row r="748" spans="1:1" ht="12" customHeight="1" x14ac:dyDescent="0.15">
      <c r="A748" s="8"/>
    </row>
    <row r="749" spans="1:1" ht="12" customHeight="1" x14ac:dyDescent="0.15">
      <c r="A749" s="8"/>
    </row>
    <row r="750" spans="1:1" ht="12" customHeight="1" x14ac:dyDescent="0.15">
      <c r="A750" s="8"/>
    </row>
    <row r="751" spans="1:1" ht="12" customHeight="1" x14ac:dyDescent="0.15">
      <c r="A751" s="8"/>
    </row>
    <row r="752" spans="1:1" ht="12" customHeight="1" x14ac:dyDescent="0.15">
      <c r="A752" s="8"/>
    </row>
    <row r="753" spans="1:1" ht="12" customHeight="1" x14ac:dyDescent="0.15">
      <c r="A753" s="8"/>
    </row>
    <row r="754" spans="1:1" ht="12" customHeight="1" x14ac:dyDescent="0.15">
      <c r="A754" s="8"/>
    </row>
    <row r="755" spans="1:1" ht="12" customHeight="1" x14ac:dyDescent="0.15">
      <c r="A755" s="8"/>
    </row>
    <row r="756" spans="1:1" ht="12" customHeight="1" x14ac:dyDescent="0.15">
      <c r="A756" s="8"/>
    </row>
    <row r="757" spans="1:1" ht="12" customHeight="1" x14ac:dyDescent="0.15">
      <c r="A757" s="8"/>
    </row>
    <row r="758" spans="1:1" ht="12" customHeight="1" x14ac:dyDescent="0.15">
      <c r="A758" s="8"/>
    </row>
    <row r="759" spans="1:1" ht="12" customHeight="1" x14ac:dyDescent="0.15">
      <c r="A759" s="8"/>
    </row>
    <row r="760" spans="1:1" ht="12" customHeight="1" x14ac:dyDescent="0.15">
      <c r="A760" s="8"/>
    </row>
    <row r="761" spans="1:1" ht="12" customHeight="1" x14ac:dyDescent="0.15">
      <c r="A761" s="8"/>
    </row>
    <row r="762" spans="1:1" ht="12" customHeight="1" x14ac:dyDescent="0.15">
      <c r="A762" s="8"/>
    </row>
    <row r="763" spans="1:1" ht="12" customHeight="1" x14ac:dyDescent="0.15">
      <c r="A763" s="8"/>
    </row>
    <row r="764" spans="1:1" ht="12" customHeight="1" x14ac:dyDescent="0.15">
      <c r="A764" s="8"/>
    </row>
    <row r="765" spans="1:1" ht="12" customHeight="1" x14ac:dyDescent="0.15">
      <c r="A765" s="8"/>
    </row>
    <row r="766" spans="1:1" ht="12" customHeight="1" x14ac:dyDescent="0.15">
      <c r="A766" s="8"/>
    </row>
    <row r="767" spans="1:1" ht="12" customHeight="1" x14ac:dyDescent="0.15">
      <c r="A767" s="8"/>
    </row>
    <row r="768" spans="1:1" ht="12" customHeight="1" x14ac:dyDescent="0.15">
      <c r="A768" s="8"/>
    </row>
    <row r="769" spans="1:1" ht="12" customHeight="1" x14ac:dyDescent="0.15">
      <c r="A769" s="8"/>
    </row>
    <row r="770" spans="1:1" ht="12" customHeight="1" x14ac:dyDescent="0.15">
      <c r="A770" s="8"/>
    </row>
    <row r="771" spans="1:1" ht="12" customHeight="1" x14ac:dyDescent="0.15">
      <c r="A771" s="8"/>
    </row>
    <row r="772" spans="1:1" ht="12" customHeight="1" x14ac:dyDescent="0.15">
      <c r="A772" s="8"/>
    </row>
    <row r="773" spans="1:1" ht="12" customHeight="1" x14ac:dyDescent="0.15">
      <c r="A773" s="8"/>
    </row>
    <row r="774" spans="1:1" ht="12" customHeight="1" x14ac:dyDescent="0.15">
      <c r="A774" s="8"/>
    </row>
    <row r="775" spans="1:1" ht="12" customHeight="1" x14ac:dyDescent="0.15">
      <c r="A775" s="8"/>
    </row>
    <row r="776" spans="1:1" ht="12" customHeight="1" x14ac:dyDescent="0.15">
      <c r="A776" s="8"/>
    </row>
    <row r="777" spans="1:1" ht="12" customHeight="1" x14ac:dyDescent="0.15">
      <c r="A777" s="8"/>
    </row>
    <row r="778" spans="1:1" ht="12" customHeight="1" x14ac:dyDescent="0.15">
      <c r="A778" s="8"/>
    </row>
    <row r="779" spans="1:1" ht="12" customHeight="1" x14ac:dyDescent="0.15">
      <c r="A779" s="8"/>
    </row>
    <row r="780" spans="1:1" ht="12" customHeight="1" x14ac:dyDescent="0.15">
      <c r="A780" s="8"/>
    </row>
    <row r="781" spans="1:1" ht="12" customHeight="1" x14ac:dyDescent="0.15">
      <c r="A781" s="8"/>
    </row>
    <row r="782" spans="1:1" ht="12" customHeight="1" x14ac:dyDescent="0.15">
      <c r="A782" s="8"/>
    </row>
    <row r="783" spans="1:1" ht="12" customHeight="1" x14ac:dyDescent="0.15">
      <c r="A783" s="8"/>
    </row>
    <row r="784" spans="1:1" ht="12" customHeight="1" x14ac:dyDescent="0.15">
      <c r="A784" s="8"/>
    </row>
    <row r="785" spans="1:1" ht="12" customHeight="1" x14ac:dyDescent="0.15">
      <c r="A785" s="8"/>
    </row>
    <row r="786" spans="1:1" ht="12" customHeight="1" x14ac:dyDescent="0.15">
      <c r="A786" s="8"/>
    </row>
    <row r="787" spans="1:1" ht="12" customHeight="1" x14ac:dyDescent="0.15">
      <c r="A787" s="8"/>
    </row>
    <row r="788" spans="1:1" ht="12" customHeight="1" x14ac:dyDescent="0.15">
      <c r="A788" s="8"/>
    </row>
    <row r="789" spans="1:1" ht="12" customHeight="1" x14ac:dyDescent="0.15">
      <c r="A789" s="8"/>
    </row>
    <row r="790" spans="1:1" ht="12" customHeight="1" x14ac:dyDescent="0.15">
      <c r="A790" s="8"/>
    </row>
    <row r="791" spans="1:1" ht="12" customHeight="1" x14ac:dyDescent="0.15">
      <c r="A791" s="8"/>
    </row>
    <row r="792" spans="1:1" ht="12" customHeight="1" x14ac:dyDescent="0.15">
      <c r="A792" s="8"/>
    </row>
    <row r="793" spans="1:1" ht="12" customHeight="1" x14ac:dyDescent="0.15">
      <c r="A793" s="8"/>
    </row>
    <row r="794" spans="1:1" ht="12" customHeight="1" x14ac:dyDescent="0.15">
      <c r="A794" s="8"/>
    </row>
    <row r="795" spans="1:1" ht="12" customHeight="1" x14ac:dyDescent="0.15">
      <c r="A795" s="8"/>
    </row>
    <row r="796" spans="1:1" ht="12" customHeight="1" x14ac:dyDescent="0.15">
      <c r="A796" s="8"/>
    </row>
    <row r="797" spans="1:1" ht="12" customHeight="1" x14ac:dyDescent="0.15">
      <c r="A797" s="8"/>
    </row>
    <row r="798" spans="1:1" ht="12" customHeight="1" x14ac:dyDescent="0.15">
      <c r="A798" s="8"/>
    </row>
    <row r="799" spans="1:1" ht="12" customHeight="1" x14ac:dyDescent="0.15">
      <c r="A799" s="8"/>
    </row>
    <row r="800" spans="1:1" ht="12" customHeight="1" x14ac:dyDescent="0.15">
      <c r="A800" s="8"/>
    </row>
    <row r="801" spans="1:1" ht="12" customHeight="1" x14ac:dyDescent="0.15">
      <c r="A801" s="8"/>
    </row>
    <row r="802" spans="1:1" ht="12" customHeight="1" x14ac:dyDescent="0.15">
      <c r="A802" s="8"/>
    </row>
    <row r="803" spans="1:1" ht="12" customHeight="1" x14ac:dyDescent="0.15">
      <c r="A803" s="8"/>
    </row>
    <row r="804" spans="1:1" ht="12" customHeight="1" x14ac:dyDescent="0.15">
      <c r="A804" s="8"/>
    </row>
    <row r="805" spans="1:1" ht="12" customHeight="1" x14ac:dyDescent="0.15">
      <c r="A805" s="8"/>
    </row>
    <row r="806" spans="1:1" ht="12" customHeight="1" x14ac:dyDescent="0.15">
      <c r="A806" s="8"/>
    </row>
    <row r="807" spans="1:1" ht="12" customHeight="1" x14ac:dyDescent="0.15">
      <c r="A807" s="8"/>
    </row>
    <row r="808" spans="1:1" ht="12" customHeight="1" x14ac:dyDescent="0.15">
      <c r="A808" s="8"/>
    </row>
    <row r="809" spans="1:1" ht="12" customHeight="1" x14ac:dyDescent="0.15">
      <c r="A809" s="8"/>
    </row>
    <row r="810" spans="1:1" ht="12" customHeight="1" x14ac:dyDescent="0.15">
      <c r="A810" s="8"/>
    </row>
    <row r="811" spans="1:1" ht="12" customHeight="1" x14ac:dyDescent="0.15">
      <c r="A811" s="8"/>
    </row>
    <row r="812" spans="1:1" ht="12" customHeight="1" x14ac:dyDescent="0.15">
      <c r="A812" s="8"/>
    </row>
    <row r="813" spans="1:1" ht="12" customHeight="1" x14ac:dyDescent="0.15">
      <c r="A813" s="8"/>
    </row>
    <row r="814" spans="1:1" ht="12" customHeight="1" x14ac:dyDescent="0.15">
      <c r="A814" s="8"/>
    </row>
    <row r="815" spans="1:1" ht="12" customHeight="1" x14ac:dyDescent="0.15">
      <c r="A815" s="8"/>
    </row>
    <row r="816" spans="1:1" ht="12" customHeight="1" x14ac:dyDescent="0.15">
      <c r="A816" s="8"/>
    </row>
    <row r="817" spans="1:1" ht="12" customHeight="1" x14ac:dyDescent="0.15">
      <c r="A817" s="8"/>
    </row>
    <row r="818" spans="1:1" ht="12" customHeight="1" x14ac:dyDescent="0.15">
      <c r="A818" s="8"/>
    </row>
    <row r="819" spans="1:1" ht="12" customHeight="1" x14ac:dyDescent="0.15">
      <c r="A819" s="8"/>
    </row>
    <row r="820" spans="1:1" ht="12" customHeight="1" x14ac:dyDescent="0.15">
      <c r="A820" s="8"/>
    </row>
    <row r="821" spans="1:1" ht="12" customHeight="1" x14ac:dyDescent="0.15">
      <c r="A821" s="8"/>
    </row>
    <row r="822" spans="1:1" ht="12" customHeight="1" x14ac:dyDescent="0.15">
      <c r="A822" s="8"/>
    </row>
    <row r="823" spans="1:1" ht="12" customHeight="1" x14ac:dyDescent="0.15">
      <c r="A823" s="8"/>
    </row>
    <row r="824" spans="1:1" ht="12" customHeight="1" x14ac:dyDescent="0.15">
      <c r="A824" s="8"/>
    </row>
    <row r="825" spans="1:1" ht="12" customHeight="1" x14ac:dyDescent="0.15">
      <c r="A825" s="8"/>
    </row>
    <row r="826" spans="1:1" ht="12" customHeight="1" x14ac:dyDescent="0.15">
      <c r="A826" s="8"/>
    </row>
    <row r="827" spans="1:1" ht="12" customHeight="1" x14ac:dyDescent="0.15">
      <c r="A827" s="8"/>
    </row>
    <row r="828" spans="1:1" ht="12" customHeight="1" x14ac:dyDescent="0.15">
      <c r="A828" s="8"/>
    </row>
    <row r="829" spans="1:1" ht="12" customHeight="1" x14ac:dyDescent="0.15">
      <c r="A829" s="8"/>
    </row>
    <row r="830" spans="1:1" ht="12" customHeight="1" x14ac:dyDescent="0.15">
      <c r="A830" s="8"/>
    </row>
    <row r="831" spans="1:1" ht="12" customHeight="1" x14ac:dyDescent="0.15">
      <c r="A831" s="8"/>
    </row>
    <row r="832" spans="1:1" ht="12" customHeight="1" x14ac:dyDescent="0.15">
      <c r="A832" s="8"/>
    </row>
    <row r="833" spans="1:1" ht="12" customHeight="1" x14ac:dyDescent="0.15">
      <c r="A833" s="8"/>
    </row>
    <row r="834" spans="1:1" ht="12" customHeight="1" x14ac:dyDescent="0.15">
      <c r="A834" s="8"/>
    </row>
    <row r="835" spans="1:1" ht="12" customHeight="1" x14ac:dyDescent="0.15">
      <c r="A835" s="8"/>
    </row>
    <row r="836" spans="1:1" ht="12" customHeight="1" x14ac:dyDescent="0.15">
      <c r="A836" s="8"/>
    </row>
    <row r="837" spans="1:1" ht="12" customHeight="1" x14ac:dyDescent="0.15">
      <c r="A837" s="8"/>
    </row>
    <row r="838" spans="1:1" ht="12" customHeight="1" x14ac:dyDescent="0.15">
      <c r="A838" s="8"/>
    </row>
    <row r="839" spans="1:1" ht="12" customHeight="1" x14ac:dyDescent="0.15">
      <c r="A839" s="8"/>
    </row>
    <row r="840" spans="1:1" ht="12" customHeight="1" x14ac:dyDescent="0.15">
      <c r="A840" s="8"/>
    </row>
    <row r="841" spans="1:1" ht="12" customHeight="1" x14ac:dyDescent="0.15">
      <c r="A841" s="8"/>
    </row>
    <row r="842" spans="1:1" ht="12" customHeight="1" x14ac:dyDescent="0.15">
      <c r="A842" s="8"/>
    </row>
    <row r="843" spans="1:1" ht="12" customHeight="1" x14ac:dyDescent="0.15">
      <c r="A843" s="8"/>
    </row>
    <row r="844" spans="1:1" ht="12" customHeight="1" x14ac:dyDescent="0.15">
      <c r="A844" s="8"/>
    </row>
    <row r="845" spans="1:1" ht="12" customHeight="1" x14ac:dyDescent="0.15">
      <c r="A845" s="8"/>
    </row>
    <row r="846" spans="1:1" ht="12" customHeight="1" x14ac:dyDescent="0.15">
      <c r="A846" s="8"/>
    </row>
    <row r="847" spans="1:1" ht="12" customHeight="1" x14ac:dyDescent="0.15">
      <c r="A847" s="8"/>
    </row>
    <row r="848" spans="1:1" ht="12" customHeight="1" x14ac:dyDescent="0.15">
      <c r="A848" s="8"/>
    </row>
    <row r="849" spans="1:1" ht="12" customHeight="1" x14ac:dyDescent="0.15">
      <c r="A849" s="8"/>
    </row>
    <row r="850" spans="1:1" ht="12" customHeight="1" x14ac:dyDescent="0.15">
      <c r="A850" s="8"/>
    </row>
    <row r="851" spans="1:1" ht="12" customHeight="1" x14ac:dyDescent="0.15">
      <c r="A851" s="8"/>
    </row>
    <row r="852" spans="1:1" ht="12" customHeight="1" x14ac:dyDescent="0.15">
      <c r="A852" s="8"/>
    </row>
    <row r="853" spans="1:1" ht="12" customHeight="1" x14ac:dyDescent="0.15">
      <c r="A853" s="8"/>
    </row>
    <row r="854" spans="1:1" ht="12" customHeight="1" x14ac:dyDescent="0.15">
      <c r="A854" s="8"/>
    </row>
    <row r="855" spans="1:1" ht="12" customHeight="1" x14ac:dyDescent="0.15">
      <c r="A855" s="8"/>
    </row>
    <row r="856" spans="1:1" ht="12" customHeight="1" x14ac:dyDescent="0.15">
      <c r="A856" s="8"/>
    </row>
    <row r="857" spans="1:1" ht="12" customHeight="1" x14ac:dyDescent="0.15">
      <c r="A857" s="8"/>
    </row>
    <row r="858" spans="1:1" ht="12" customHeight="1" x14ac:dyDescent="0.15">
      <c r="A858" s="8"/>
    </row>
    <row r="859" spans="1:1" ht="12" customHeight="1" x14ac:dyDescent="0.15">
      <c r="A859" s="8"/>
    </row>
    <row r="860" spans="1:1" ht="12" customHeight="1" x14ac:dyDescent="0.15">
      <c r="A860" s="8"/>
    </row>
    <row r="861" spans="1:1" ht="12" customHeight="1" x14ac:dyDescent="0.15">
      <c r="A861" s="8"/>
    </row>
    <row r="862" spans="1:1" ht="12" customHeight="1" x14ac:dyDescent="0.15">
      <c r="A862" s="8"/>
    </row>
    <row r="863" spans="1:1" ht="12" customHeight="1" x14ac:dyDescent="0.15">
      <c r="A863" s="8"/>
    </row>
    <row r="864" spans="1:1" ht="12" customHeight="1" x14ac:dyDescent="0.15">
      <c r="A864" s="8"/>
    </row>
    <row r="865" spans="1:1" ht="12" customHeight="1" x14ac:dyDescent="0.15">
      <c r="A865" s="8"/>
    </row>
    <row r="866" spans="1:1" ht="12" customHeight="1" x14ac:dyDescent="0.15">
      <c r="A866" s="8"/>
    </row>
    <row r="867" spans="1:1" ht="12" customHeight="1" x14ac:dyDescent="0.15">
      <c r="A867" s="8"/>
    </row>
    <row r="868" spans="1:1" ht="12" customHeight="1" x14ac:dyDescent="0.15">
      <c r="A868" s="8"/>
    </row>
    <row r="869" spans="1:1" ht="12" customHeight="1" x14ac:dyDescent="0.15">
      <c r="A869" s="8"/>
    </row>
    <row r="870" spans="1:1" ht="12" customHeight="1" x14ac:dyDescent="0.15">
      <c r="A870" s="8"/>
    </row>
    <row r="871" spans="1:1" ht="12" customHeight="1" x14ac:dyDescent="0.15">
      <c r="A871" s="8"/>
    </row>
    <row r="872" spans="1:1" ht="12" customHeight="1" x14ac:dyDescent="0.15">
      <c r="A872" s="8"/>
    </row>
    <row r="873" spans="1:1" ht="12" customHeight="1" x14ac:dyDescent="0.15">
      <c r="A873" s="8"/>
    </row>
    <row r="874" spans="1:1" ht="12" customHeight="1" x14ac:dyDescent="0.15">
      <c r="A874" s="8"/>
    </row>
    <row r="875" spans="1:1" ht="12" customHeight="1" x14ac:dyDescent="0.15">
      <c r="A875" s="8"/>
    </row>
    <row r="876" spans="1:1" ht="12" customHeight="1" x14ac:dyDescent="0.15">
      <c r="A876" s="8"/>
    </row>
    <row r="877" spans="1:1" ht="12" customHeight="1" x14ac:dyDescent="0.15">
      <c r="A877" s="8"/>
    </row>
    <row r="878" spans="1:1" ht="12" customHeight="1" x14ac:dyDescent="0.15">
      <c r="A878" s="8"/>
    </row>
    <row r="879" spans="1:1" ht="12" customHeight="1" x14ac:dyDescent="0.15">
      <c r="A879" s="8"/>
    </row>
    <row r="880" spans="1:1" ht="12" customHeight="1" x14ac:dyDescent="0.15">
      <c r="A880" s="8"/>
    </row>
    <row r="881" spans="1:1" ht="12" customHeight="1" x14ac:dyDescent="0.15">
      <c r="A881" s="8"/>
    </row>
    <row r="882" spans="1:1" ht="12" customHeight="1" x14ac:dyDescent="0.15">
      <c r="A882" s="8"/>
    </row>
    <row r="883" spans="1:1" ht="12" customHeight="1" x14ac:dyDescent="0.15">
      <c r="A883" s="8"/>
    </row>
    <row r="884" spans="1:1" ht="12" customHeight="1" x14ac:dyDescent="0.15">
      <c r="A884" s="8"/>
    </row>
    <row r="885" spans="1:1" ht="12" customHeight="1" x14ac:dyDescent="0.15">
      <c r="A885" s="8"/>
    </row>
    <row r="886" spans="1:1" ht="12" customHeight="1" x14ac:dyDescent="0.15">
      <c r="A886" s="8"/>
    </row>
    <row r="887" spans="1:1" ht="12" customHeight="1" x14ac:dyDescent="0.15">
      <c r="A887" s="8"/>
    </row>
    <row r="888" spans="1:1" ht="12" customHeight="1" x14ac:dyDescent="0.15">
      <c r="A888" s="8"/>
    </row>
    <row r="889" spans="1:1" ht="12" customHeight="1" x14ac:dyDescent="0.15">
      <c r="A889" s="8"/>
    </row>
    <row r="890" spans="1:1" ht="12" customHeight="1" x14ac:dyDescent="0.15">
      <c r="A890" s="8"/>
    </row>
    <row r="891" spans="1:1" ht="12" customHeight="1" x14ac:dyDescent="0.15">
      <c r="A891" s="8"/>
    </row>
    <row r="892" spans="1:1" ht="12" customHeight="1" x14ac:dyDescent="0.15">
      <c r="A892" s="8"/>
    </row>
    <row r="893" spans="1:1" ht="12" customHeight="1" x14ac:dyDescent="0.15">
      <c r="A893" s="8"/>
    </row>
    <row r="894" spans="1:1" ht="12" customHeight="1" x14ac:dyDescent="0.15">
      <c r="A894" s="8"/>
    </row>
    <row r="895" spans="1:1" ht="12" customHeight="1" x14ac:dyDescent="0.15">
      <c r="A895" s="8"/>
    </row>
    <row r="896" spans="1:1" ht="12" customHeight="1" x14ac:dyDescent="0.15">
      <c r="A896" s="8"/>
    </row>
    <row r="897" spans="1:1" ht="12" customHeight="1" x14ac:dyDescent="0.15">
      <c r="A897" s="8"/>
    </row>
    <row r="898" spans="1:1" ht="12" customHeight="1" x14ac:dyDescent="0.15">
      <c r="A898" s="8"/>
    </row>
    <row r="899" spans="1:1" ht="12" customHeight="1" x14ac:dyDescent="0.15">
      <c r="A899" s="8"/>
    </row>
    <row r="900" spans="1:1" ht="12" customHeight="1" x14ac:dyDescent="0.15">
      <c r="A900" s="8"/>
    </row>
    <row r="901" spans="1:1" ht="12" customHeight="1" x14ac:dyDescent="0.15">
      <c r="A901" s="8"/>
    </row>
    <row r="902" spans="1:1" ht="12" customHeight="1" x14ac:dyDescent="0.15">
      <c r="A902" s="8"/>
    </row>
    <row r="903" spans="1:1" ht="12" customHeight="1" x14ac:dyDescent="0.15">
      <c r="A903" s="8"/>
    </row>
    <row r="904" spans="1:1" ht="12" customHeight="1" x14ac:dyDescent="0.15">
      <c r="A904" s="8"/>
    </row>
    <row r="905" spans="1:1" ht="12" customHeight="1" x14ac:dyDescent="0.15">
      <c r="A905" s="8"/>
    </row>
    <row r="906" spans="1:1" ht="12" customHeight="1" x14ac:dyDescent="0.15">
      <c r="A906" s="8"/>
    </row>
    <row r="907" spans="1:1" ht="12" customHeight="1" x14ac:dyDescent="0.15">
      <c r="A907" s="8"/>
    </row>
    <row r="908" spans="1:1" ht="12" customHeight="1" x14ac:dyDescent="0.15">
      <c r="A908" s="8"/>
    </row>
    <row r="909" spans="1:1" ht="12" customHeight="1" x14ac:dyDescent="0.15">
      <c r="A909" s="8"/>
    </row>
    <row r="910" spans="1:1" ht="12" customHeight="1" x14ac:dyDescent="0.15">
      <c r="A910" s="8"/>
    </row>
    <row r="911" spans="1:1" ht="12" customHeight="1" x14ac:dyDescent="0.15">
      <c r="A911" s="8"/>
    </row>
    <row r="912" spans="1:1" ht="12" customHeight="1" x14ac:dyDescent="0.15">
      <c r="A912" s="8"/>
    </row>
    <row r="913" spans="1:1" ht="12" customHeight="1" x14ac:dyDescent="0.15">
      <c r="A913" s="8"/>
    </row>
    <row r="914" spans="1:1" ht="12" customHeight="1" x14ac:dyDescent="0.15">
      <c r="A914" s="8"/>
    </row>
    <row r="915" spans="1:1" ht="12" customHeight="1" x14ac:dyDescent="0.15">
      <c r="A915" s="8"/>
    </row>
    <row r="916" spans="1:1" ht="12" customHeight="1" x14ac:dyDescent="0.15">
      <c r="A916" s="8"/>
    </row>
    <row r="917" spans="1:1" ht="12" customHeight="1" x14ac:dyDescent="0.15">
      <c r="A917" s="8"/>
    </row>
    <row r="918" spans="1:1" ht="12" customHeight="1" x14ac:dyDescent="0.15">
      <c r="A918" s="8"/>
    </row>
    <row r="919" spans="1:1" ht="12" customHeight="1" x14ac:dyDescent="0.15">
      <c r="A919" s="8"/>
    </row>
    <row r="920" spans="1:1" ht="12" customHeight="1" x14ac:dyDescent="0.15">
      <c r="A920" s="8"/>
    </row>
    <row r="921" spans="1:1" ht="12" customHeight="1" x14ac:dyDescent="0.15">
      <c r="A921" s="8"/>
    </row>
    <row r="922" spans="1:1" ht="12" customHeight="1" x14ac:dyDescent="0.15">
      <c r="A922" s="8"/>
    </row>
    <row r="923" spans="1:1" ht="12" customHeight="1" x14ac:dyDescent="0.15">
      <c r="A923" s="8"/>
    </row>
    <row r="924" spans="1:1" ht="12" customHeight="1" x14ac:dyDescent="0.15">
      <c r="A924" s="8"/>
    </row>
    <row r="925" spans="1:1" ht="12" customHeight="1" x14ac:dyDescent="0.15">
      <c r="A925" s="8"/>
    </row>
    <row r="926" spans="1:1" ht="12" customHeight="1" x14ac:dyDescent="0.15">
      <c r="A926" s="8"/>
    </row>
    <row r="927" spans="1:1" ht="12" customHeight="1" x14ac:dyDescent="0.15">
      <c r="A927" s="8"/>
    </row>
    <row r="928" spans="1:1" ht="12" customHeight="1" x14ac:dyDescent="0.15">
      <c r="A928" s="8"/>
    </row>
    <row r="929" spans="1:1" ht="12" customHeight="1" x14ac:dyDescent="0.15">
      <c r="A929" s="8"/>
    </row>
    <row r="930" spans="1:1" ht="12" customHeight="1" x14ac:dyDescent="0.15">
      <c r="A930" s="8"/>
    </row>
    <row r="931" spans="1:1" ht="12" customHeight="1" x14ac:dyDescent="0.15">
      <c r="A931" s="8"/>
    </row>
    <row r="932" spans="1:1" ht="12" customHeight="1" x14ac:dyDescent="0.15">
      <c r="A932" s="8"/>
    </row>
    <row r="933" spans="1:1" ht="12" customHeight="1" x14ac:dyDescent="0.15">
      <c r="A933" s="8"/>
    </row>
    <row r="934" spans="1:1" ht="12" customHeight="1" x14ac:dyDescent="0.15">
      <c r="A934" s="8"/>
    </row>
    <row r="935" spans="1:1" ht="12" customHeight="1" x14ac:dyDescent="0.15">
      <c r="A935" s="8"/>
    </row>
    <row r="936" spans="1:1" ht="12" customHeight="1" x14ac:dyDescent="0.15">
      <c r="A936" s="8"/>
    </row>
    <row r="937" spans="1:1" ht="12" customHeight="1" x14ac:dyDescent="0.15">
      <c r="A937" s="8"/>
    </row>
    <row r="938" spans="1:1" ht="12" customHeight="1" x14ac:dyDescent="0.15">
      <c r="A938" s="8"/>
    </row>
    <row r="939" spans="1:1" ht="12" customHeight="1" x14ac:dyDescent="0.15">
      <c r="A939" s="8"/>
    </row>
    <row r="940" spans="1:1" ht="12" customHeight="1" x14ac:dyDescent="0.15">
      <c r="A940" s="8"/>
    </row>
    <row r="941" spans="1:1" ht="12" customHeight="1" x14ac:dyDescent="0.15">
      <c r="A941" s="8"/>
    </row>
    <row r="942" spans="1:1" ht="12" customHeight="1" x14ac:dyDescent="0.15">
      <c r="A942" s="8"/>
    </row>
    <row r="943" spans="1:1" ht="12" customHeight="1" x14ac:dyDescent="0.15">
      <c r="A943" s="8"/>
    </row>
    <row r="944" spans="1:1" ht="12" customHeight="1" x14ac:dyDescent="0.15">
      <c r="A944" s="8"/>
    </row>
    <row r="945" spans="1:1" ht="12" customHeight="1" x14ac:dyDescent="0.15">
      <c r="A945" s="8"/>
    </row>
    <row r="946" spans="1:1" ht="12" customHeight="1" x14ac:dyDescent="0.15">
      <c r="A946" s="8"/>
    </row>
    <row r="947" spans="1:1" ht="12" customHeight="1" x14ac:dyDescent="0.15">
      <c r="A947" s="8"/>
    </row>
    <row r="948" spans="1:1" ht="12" customHeight="1" x14ac:dyDescent="0.15">
      <c r="A948" s="8"/>
    </row>
    <row r="949" spans="1:1" ht="12" customHeight="1" x14ac:dyDescent="0.15">
      <c r="A949" s="8"/>
    </row>
    <row r="950" spans="1:1" ht="12" customHeight="1" x14ac:dyDescent="0.15">
      <c r="A950" s="8"/>
    </row>
    <row r="951" spans="1:1" ht="12" customHeight="1" x14ac:dyDescent="0.15">
      <c r="A951" s="8"/>
    </row>
    <row r="952" spans="1:1" ht="12" customHeight="1" x14ac:dyDescent="0.15">
      <c r="A952" s="8"/>
    </row>
    <row r="953" spans="1:1" ht="12" customHeight="1" x14ac:dyDescent="0.15">
      <c r="A953" s="8"/>
    </row>
    <row r="954" spans="1:1" ht="12" customHeight="1" x14ac:dyDescent="0.15">
      <c r="A954" s="8"/>
    </row>
    <row r="955" spans="1:1" ht="12" customHeight="1" x14ac:dyDescent="0.15">
      <c r="A955" s="8"/>
    </row>
    <row r="956" spans="1:1" ht="12" customHeight="1" x14ac:dyDescent="0.15">
      <c r="A956" s="8"/>
    </row>
    <row r="957" spans="1:1" ht="12" customHeight="1" x14ac:dyDescent="0.15">
      <c r="A957" s="8"/>
    </row>
    <row r="958" spans="1:1" ht="12" customHeight="1" x14ac:dyDescent="0.15">
      <c r="A958" s="8"/>
    </row>
    <row r="959" spans="1:1" ht="12" customHeight="1" x14ac:dyDescent="0.15">
      <c r="A959" s="8"/>
    </row>
    <row r="960" spans="1:1" ht="12" customHeight="1" x14ac:dyDescent="0.15">
      <c r="A960" s="8"/>
    </row>
    <row r="961" spans="1:1" ht="12" customHeight="1" x14ac:dyDescent="0.15">
      <c r="A961" s="8"/>
    </row>
    <row r="962" spans="1:1" ht="12" customHeight="1" x14ac:dyDescent="0.15">
      <c r="A962" s="8"/>
    </row>
    <row r="963" spans="1:1" ht="12" customHeight="1" x14ac:dyDescent="0.15">
      <c r="A963" s="8"/>
    </row>
    <row r="964" spans="1:1" ht="12" customHeight="1" x14ac:dyDescent="0.15">
      <c r="A964" s="8"/>
    </row>
    <row r="965" spans="1:1" ht="12" customHeight="1" x14ac:dyDescent="0.15">
      <c r="A965" s="8"/>
    </row>
    <row r="966" spans="1:1" ht="12" customHeight="1" x14ac:dyDescent="0.15">
      <c r="A966" s="8"/>
    </row>
    <row r="967" spans="1:1" ht="12" customHeight="1" x14ac:dyDescent="0.15">
      <c r="A967" s="8"/>
    </row>
    <row r="968" spans="1:1" ht="12" customHeight="1" x14ac:dyDescent="0.15">
      <c r="A968" s="8"/>
    </row>
    <row r="969" spans="1:1" ht="12" customHeight="1" x14ac:dyDescent="0.15">
      <c r="A969" s="8"/>
    </row>
    <row r="970" spans="1:1" ht="12" customHeight="1" x14ac:dyDescent="0.15">
      <c r="A970" s="8"/>
    </row>
    <row r="971" spans="1:1" ht="12" customHeight="1" x14ac:dyDescent="0.15">
      <c r="A971" s="8"/>
    </row>
    <row r="972" spans="1:1" ht="12" customHeight="1" x14ac:dyDescent="0.15">
      <c r="A972" s="8"/>
    </row>
    <row r="973" spans="1:1" ht="12" customHeight="1" x14ac:dyDescent="0.15">
      <c r="A973" s="8"/>
    </row>
    <row r="974" spans="1:1" ht="12" customHeight="1" x14ac:dyDescent="0.15">
      <c r="A974" s="8"/>
    </row>
    <row r="975" spans="1:1" ht="12" customHeight="1" x14ac:dyDescent="0.15">
      <c r="A975" s="8"/>
    </row>
    <row r="976" spans="1:1" ht="12" customHeight="1" x14ac:dyDescent="0.15">
      <c r="A976" s="8"/>
    </row>
    <row r="977" spans="1:1" ht="12" customHeight="1" x14ac:dyDescent="0.15">
      <c r="A977" s="8"/>
    </row>
    <row r="978" spans="1:1" ht="12" customHeight="1" x14ac:dyDescent="0.15">
      <c r="A978" s="8"/>
    </row>
    <row r="979" spans="1:1" ht="12" customHeight="1" x14ac:dyDescent="0.15">
      <c r="A979" s="8"/>
    </row>
    <row r="980" spans="1:1" ht="12" customHeight="1" x14ac:dyDescent="0.15">
      <c r="A980" s="8"/>
    </row>
    <row r="981" spans="1:1" ht="12" customHeight="1" x14ac:dyDescent="0.15">
      <c r="A981" s="8"/>
    </row>
    <row r="982" spans="1:1" ht="12" customHeight="1" x14ac:dyDescent="0.15">
      <c r="A982" s="8"/>
    </row>
    <row r="983" spans="1:1" ht="12" customHeight="1" x14ac:dyDescent="0.15">
      <c r="A983" s="8"/>
    </row>
    <row r="984" spans="1:1" ht="12" customHeight="1" x14ac:dyDescent="0.15">
      <c r="A984" s="8"/>
    </row>
    <row r="985" spans="1:1" ht="12" customHeight="1" x14ac:dyDescent="0.15">
      <c r="A985" s="8"/>
    </row>
    <row r="986" spans="1:1" ht="12" customHeight="1" x14ac:dyDescent="0.15">
      <c r="A986" s="8"/>
    </row>
    <row r="987" spans="1:1" ht="12" customHeight="1" x14ac:dyDescent="0.15">
      <c r="A987" s="8"/>
    </row>
    <row r="988" spans="1:1" ht="12" customHeight="1" x14ac:dyDescent="0.15">
      <c r="A988" s="8"/>
    </row>
    <row r="989" spans="1:1" ht="12" customHeight="1" x14ac:dyDescent="0.15">
      <c r="A989" s="8"/>
    </row>
    <row r="990" spans="1:1" ht="12" customHeight="1" x14ac:dyDescent="0.15">
      <c r="A990" s="8"/>
    </row>
    <row r="991" spans="1:1" ht="12" customHeight="1" x14ac:dyDescent="0.15">
      <c r="A991" s="8"/>
    </row>
    <row r="992" spans="1:1" ht="12" customHeight="1" x14ac:dyDescent="0.15">
      <c r="A992" s="8"/>
    </row>
    <row r="993" spans="1:1" ht="12" customHeight="1" x14ac:dyDescent="0.15">
      <c r="A993" s="8"/>
    </row>
    <row r="994" spans="1:1" ht="12" customHeight="1" x14ac:dyDescent="0.15">
      <c r="A994" s="8"/>
    </row>
    <row r="995" spans="1:1" ht="12" customHeight="1" x14ac:dyDescent="0.15">
      <c r="A995" s="8"/>
    </row>
    <row r="996" spans="1:1" ht="12" customHeight="1" x14ac:dyDescent="0.15">
      <c r="A996" s="8"/>
    </row>
    <row r="997" spans="1:1" ht="12" customHeight="1" x14ac:dyDescent="0.15">
      <c r="A997" s="8"/>
    </row>
    <row r="998" spans="1:1" ht="12" customHeight="1" x14ac:dyDescent="0.15">
      <c r="A998" s="8"/>
    </row>
    <row r="999" spans="1:1" ht="12" customHeight="1" x14ac:dyDescent="0.15">
      <c r="A999" s="8"/>
    </row>
    <row r="1000" spans="1:1" ht="12" customHeight="1" x14ac:dyDescent="0.15">
      <c r="A1000" s="8"/>
    </row>
    <row r="1001" spans="1:1" ht="12" customHeight="1" x14ac:dyDescent="0.15">
      <c r="A1001" s="8"/>
    </row>
    <row r="1002" spans="1:1" ht="12" customHeight="1" x14ac:dyDescent="0.15">
      <c r="A1002" s="8"/>
    </row>
    <row r="1003" spans="1:1" ht="12" customHeight="1" x14ac:dyDescent="0.15">
      <c r="A1003" s="8"/>
    </row>
    <row r="1004" spans="1:1" ht="12" customHeight="1" x14ac:dyDescent="0.15">
      <c r="A1004" s="8"/>
    </row>
    <row r="1005" spans="1:1" ht="12" customHeight="1" x14ac:dyDescent="0.15">
      <c r="A1005" s="8"/>
    </row>
    <row r="1006" spans="1:1" ht="12" customHeight="1" x14ac:dyDescent="0.15">
      <c r="A1006" s="8"/>
    </row>
    <row r="1007" spans="1:1" ht="12" customHeight="1" x14ac:dyDescent="0.15">
      <c r="A1007" s="8"/>
    </row>
    <row r="1008" spans="1:1" ht="12" customHeight="1" x14ac:dyDescent="0.15">
      <c r="A1008" s="8"/>
    </row>
    <row r="1009" spans="1:1" ht="12" customHeight="1" x14ac:dyDescent="0.15">
      <c r="A1009" s="8"/>
    </row>
    <row r="1010" spans="1:1" ht="12" customHeight="1" x14ac:dyDescent="0.15">
      <c r="A1010" s="8"/>
    </row>
    <row r="1011" spans="1:1" ht="12" customHeight="1" x14ac:dyDescent="0.15">
      <c r="A1011" s="8"/>
    </row>
    <row r="1012" spans="1:1" ht="12" customHeight="1" x14ac:dyDescent="0.15">
      <c r="A1012" s="8"/>
    </row>
    <row r="1013" spans="1:1" ht="12" customHeight="1" x14ac:dyDescent="0.15">
      <c r="A1013" s="8"/>
    </row>
    <row r="1014" spans="1:1" ht="12" customHeight="1" x14ac:dyDescent="0.15">
      <c r="A1014" s="8"/>
    </row>
    <row r="1015" spans="1:1" ht="12" customHeight="1" x14ac:dyDescent="0.15">
      <c r="A1015" s="8"/>
    </row>
    <row r="1016" spans="1:1" ht="12" customHeight="1" x14ac:dyDescent="0.15">
      <c r="A1016" s="8"/>
    </row>
    <row r="1017" spans="1:1" ht="12" customHeight="1" x14ac:dyDescent="0.15">
      <c r="A1017" s="8"/>
    </row>
    <row r="1018" spans="1:1" ht="12" customHeight="1" x14ac:dyDescent="0.15">
      <c r="A1018" s="8"/>
    </row>
    <row r="1019" spans="1:1" ht="12" customHeight="1" x14ac:dyDescent="0.15">
      <c r="A1019" s="8"/>
    </row>
    <row r="1020" spans="1:1" ht="12" customHeight="1" x14ac:dyDescent="0.15">
      <c r="A1020" s="8"/>
    </row>
    <row r="1021" spans="1:1" ht="12" customHeight="1" x14ac:dyDescent="0.15">
      <c r="A1021" s="8"/>
    </row>
    <row r="1022" spans="1:1" ht="12" customHeight="1" x14ac:dyDescent="0.15">
      <c r="A1022" s="8"/>
    </row>
    <row r="1023" spans="1:1" ht="12" customHeight="1" x14ac:dyDescent="0.15">
      <c r="A1023" s="8"/>
    </row>
    <row r="1024" spans="1:1" ht="12" customHeight="1" x14ac:dyDescent="0.15">
      <c r="A1024" s="8"/>
    </row>
    <row r="1025" spans="1:1" ht="12" customHeight="1" x14ac:dyDescent="0.15">
      <c r="A1025" s="8"/>
    </row>
    <row r="1026" spans="1:1" ht="12" customHeight="1" x14ac:dyDescent="0.15">
      <c r="A1026" s="8"/>
    </row>
    <row r="1027" spans="1:1" ht="12" customHeight="1" x14ac:dyDescent="0.15">
      <c r="A1027" s="8"/>
    </row>
    <row r="1028" spans="1:1" ht="12" customHeight="1" x14ac:dyDescent="0.15">
      <c r="A1028" s="8"/>
    </row>
    <row r="1029" spans="1:1" ht="12" customHeight="1" x14ac:dyDescent="0.15">
      <c r="A1029" s="8"/>
    </row>
    <row r="1030" spans="1:1" ht="12" customHeight="1" x14ac:dyDescent="0.15">
      <c r="A1030" s="8"/>
    </row>
    <row r="1031" spans="1:1" ht="12" customHeight="1" x14ac:dyDescent="0.15">
      <c r="A1031" s="8"/>
    </row>
    <row r="1032" spans="1:1" ht="12" customHeight="1" x14ac:dyDescent="0.15">
      <c r="A1032" s="8"/>
    </row>
    <row r="1033" spans="1:1" ht="12" customHeight="1" x14ac:dyDescent="0.15">
      <c r="A1033" s="8"/>
    </row>
    <row r="1034" spans="1:1" ht="12" customHeight="1" x14ac:dyDescent="0.15">
      <c r="A1034" s="8"/>
    </row>
    <row r="1035" spans="1:1" ht="12" customHeight="1" x14ac:dyDescent="0.15">
      <c r="A1035" s="8"/>
    </row>
    <row r="1036" spans="1:1" ht="12" customHeight="1" x14ac:dyDescent="0.15">
      <c r="A1036" s="8"/>
    </row>
    <row r="1037" spans="1:1" ht="12" customHeight="1" x14ac:dyDescent="0.15">
      <c r="A1037" s="8"/>
    </row>
    <row r="1038" spans="1:1" ht="12" customHeight="1" x14ac:dyDescent="0.15">
      <c r="A1038" s="8"/>
    </row>
    <row r="1039" spans="1:1" ht="12" customHeight="1" x14ac:dyDescent="0.15">
      <c r="A1039" s="8"/>
    </row>
    <row r="1040" spans="1:1" ht="12" customHeight="1" x14ac:dyDescent="0.15">
      <c r="A1040" s="8"/>
    </row>
    <row r="1041" spans="1:1" ht="12" customHeight="1" x14ac:dyDescent="0.15">
      <c r="A1041" s="8"/>
    </row>
    <row r="1042" spans="1:1" ht="12" customHeight="1" x14ac:dyDescent="0.15">
      <c r="A1042" s="8"/>
    </row>
    <row r="1043" spans="1:1" ht="12" customHeight="1" x14ac:dyDescent="0.15">
      <c r="A1043" s="8"/>
    </row>
    <row r="1044" spans="1:1" ht="12" customHeight="1" x14ac:dyDescent="0.15">
      <c r="A1044" s="8"/>
    </row>
    <row r="1045" spans="1:1" ht="12" customHeight="1" x14ac:dyDescent="0.15">
      <c r="A1045" s="8"/>
    </row>
    <row r="1046" spans="1:1" ht="12" customHeight="1" x14ac:dyDescent="0.15">
      <c r="A1046" s="8"/>
    </row>
    <row r="1047" spans="1:1" ht="12" customHeight="1" x14ac:dyDescent="0.15">
      <c r="A1047" s="8"/>
    </row>
    <row r="1048" spans="1:1" ht="12" customHeight="1" x14ac:dyDescent="0.15">
      <c r="A1048" s="8"/>
    </row>
    <row r="1049" spans="1:1" ht="12" customHeight="1" x14ac:dyDescent="0.15">
      <c r="A1049" s="8"/>
    </row>
    <row r="1050" spans="1:1" ht="12" customHeight="1" x14ac:dyDescent="0.15">
      <c r="A1050" s="8"/>
    </row>
    <row r="1051" spans="1:1" ht="12" customHeight="1" x14ac:dyDescent="0.15">
      <c r="A1051" s="8"/>
    </row>
    <row r="1052" spans="1:1" ht="12" customHeight="1" x14ac:dyDescent="0.15">
      <c r="A1052" s="8"/>
    </row>
    <row r="1053" spans="1:1" ht="12" customHeight="1" x14ac:dyDescent="0.15">
      <c r="A1053" s="8"/>
    </row>
    <row r="1054" spans="1:1" ht="12" customHeight="1" x14ac:dyDescent="0.15">
      <c r="A1054" s="8"/>
    </row>
    <row r="1055" spans="1:1" ht="12" customHeight="1" x14ac:dyDescent="0.15">
      <c r="A1055" s="8"/>
    </row>
    <row r="1056" spans="1:1" ht="12" customHeight="1" x14ac:dyDescent="0.15">
      <c r="A1056" s="8"/>
    </row>
    <row r="1057" spans="1:1" ht="12" customHeight="1" x14ac:dyDescent="0.15">
      <c r="A1057" s="8"/>
    </row>
    <row r="1058" spans="1:1" ht="12" customHeight="1" x14ac:dyDescent="0.15">
      <c r="A1058" s="8"/>
    </row>
    <row r="1059" spans="1:1" ht="12" customHeight="1" x14ac:dyDescent="0.15">
      <c r="A1059" s="8"/>
    </row>
    <row r="1060" spans="1:1" ht="12" customHeight="1" x14ac:dyDescent="0.15">
      <c r="A1060" s="8"/>
    </row>
    <row r="1061" spans="1:1" ht="12" customHeight="1" x14ac:dyDescent="0.15">
      <c r="A1061" s="8"/>
    </row>
    <row r="1062" spans="1:1" ht="12" customHeight="1" x14ac:dyDescent="0.15">
      <c r="A1062" s="8"/>
    </row>
    <row r="1063" spans="1:1" ht="12" customHeight="1" x14ac:dyDescent="0.15">
      <c r="A1063" s="8"/>
    </row>
    <row r="1064" spans="1:1" ht="12" customHeight="1" x14ac:dyDescent="0.15">
      <c r="A1064" s="8"/>
    </row>
    <row r="1065" spans="1:1" ht="12" customHeight="1" x14ac:dyDescent="0.15">
      <c r="A1065" s="8"/>
    </row>
    <row r="1066" spans="1:1" ht="12" customHeight="1" x14ac:dyDescent="0.15">
      <c r="A1066" s="8"/>
    </row>
    <row r="1067" spans="1:1" ht="12" customHeight="1" x14ac:dyDescent="0.15">
      <c r="A1067" s="8"/>
    </row>
    <row r="1068" spans="1:1" ht="12" customHeight="1" x14ac:dyDescent="0.15">
      <c r="A1068" s="8"/>
    </row>
    <row r="1069" spans="1:1" ht="12" customHeight="1" x14ac:dyDescent="0.15">
      <c r="A1069" s="8"/>
    </row>
    <row r="1070" spans="1:1" ht="12" customHeight="1" x14ac:dyDescent="0.15">
      <c r="A1070" s="8"/>
    </row>
    <row r="1071" spans="1:1" ht="12" customHeight="1" x14ac:dyDescent="0.15">
      <c r="A1071" s="8"/>
    </row>
    <row r="1072" spans="1:1" ht="12" customHeight="1" x14ac:dyDescent="0.15">
      <c r="A1072" s="8"/>
    </row>
    <row r="1073" spans="1:1" ht="12" customHeight="1" x14ac:dyDescent="0.15">
      <c r="A1073" s="8"/>
    </row>
    <row r="1074" spans="1:1" ht="12" customHeight="1" x14ac:dyDescent="0.15">
      <c r="A1074" s="8"/>
    </row>
    <row r="1075" spans="1:1" ht="12" customHeight="1" x14ac:dyDescent="0.15">
      <c r="A1075" s="8"/>
    </row>
    <row r="1076" spans="1:1" ht="12" customHeight="1" x14ac:dyDescent="0.15">
      <c r="A1076" s="8"/>
    </row>
    <row r="1077" spans="1:1" ht="12" customHeight="1" x14ac:dyDescent="0.15">
      <c r="A1077" s="8"/>
    </row>
    <row r="1078" spans="1:1" ht="12" customHeight="1" x14ac:dyDescent="0.15">
      <c r="A1078" s="8"/>
    </row>
    <row r="1079" spans="1:1" ht="12" customHeight="1" x14ac:dyDescent="0.15">
      <c r="A1079" s="8"/>
    </row>
    <row r="1080" spans="1:1" ht="12" customHeight="1" x14ac:dyDescent="0.15">
      <c r="A1080" s="8"/>
    </row>
    <row r="1081" spans="1:1" ht="12" customHeight="1" x14ac:dyDescent="0.15">
      <c r="A1081" s="8"/>
    </row>
    <row r="1082" spans="1:1" ht="12" customHeight="1" x14ac:dyDescent="0.15">
      <c r="A1082" s="8"/>
    </row>
    <row r="1083" spans="1:1" ht="12" customHeight="1" x14ac:dyDescent="0.15">
      <c r="A1083" s="8"/>
    </row>
    <row r="1084" spans="1:1" ht="12" customHeight="1" x14ac:dyDescent="0.15">
      <c r="A1084" s="8"/>
    </row>
    <row r="1085" spans="1:1" ht="12" customHeight="1" x14ac:dyDescent="0.15">
      <c r="A1085" s="8"/>
    </row>
    <row r="1086" spans="1:1" ht="12" customHeight="1" x14ac:dyDescent="0.15">
      <c r="A1086" s="8"/>
    </row>
    <row r="1087" spans="1:1" ht="12" customHeight="1" x14ac:dyDescent="0.15">
      <c r="A1087" s="8"/>
    </row>
    <row r="1088" spans="1:1" ht="12" customHeight="1" x14ac:dyDescent="0.15">
      <c r="A1088" s="8"/>
    </row>
    <row r="1089" spans="1:1" ht="12" customHeight="1" x14ac:dyDescent="0.15">
      <c r="A1089" s="8"/>
    </row>
    <row r="1090" spans="1:1" ht="12" customHeight="1" x14ac:dyDescent="0.15">
      <c r="A1090" s="8"/>
    </row>
    <row r="1091" spans="1:1" ht="12" customHeight="1" x14ac:dyDescent="0.15">
      <c r="A1091" s="8"/>
    </row>
    <row r="1092" spans="1:1" ht="12" customHeight="1" x14ac:dyDescent="0.15">
      <c r="A1092" s="8"/>
    </row>
    <row r="1093" spans="1:1" ht="12" customHeight="1" x14ac:dyDescent="0.15">
      <c r="A1093" s="8"/>
    </row>
    <row r="1094" spans="1:1" ht="12" customHeight="1" x14ac:dyDescent="0.15">
      <c r="A1094" s="8"/>
    </row>
    <row r="1095" spans="1:1" ht="12" customHeight="1" x14ac:dyDescent="0.15">
      <c r="A1095" s="8"/>
    </row>
    <row r="1096" spans="1:1" ht="12" customHeight="1" x14ac:dyDescent="0.15">
      <c r="A1096" s="8"/>
    </row>
    <row r="1097" spans="1:1" ht="12" customHeight="1" x14ac:dyDescent="0.15">
      <c r="A1097" s="8"/>
    </row>
    <row r="1098" spans="1:1" ht="12" customHeight="1" x14ac:dyDescent="0.15">
      <c r="A1098" s="8"/>
    </row>
    <row r="1099" spans="1:1" ht="12" customHeight="1" x14ac:dyDescent="0.15">
      <c r="A1099" s="8"/>
    </row>
    <row r="1100" spans="1:1" ht="12" customHeight="1" x14ac:dyDescent="0.15">
      <c r="A1100" s="8"/>
    </row>
    <row r="1101" spans="1:1" ht="12" customHeight="1" x14ac:dyDescent="0.15">
      <c r="A1101" s="8"/>
    </row>
    <row r="1102" spans="1:1" ht="12" customHeight="1" x14ac:dyDescent="0.15">
      <c r="A1102" s="8"/>
    </row>
    <row r="1103" spans="1:1" ht="12" customHeight="1" x14ac:dyDescent="0.15">
      <c r="A1103" s="8"/>
    </row>
    <row r="1104" spans="1:1" ht="12" customHeight="1" x14ac:dyDescent="0.15">
      <c r="A1104" s="8"/>
    </row>
    <row r="1105" spans="1:1" ht="12" customHeight="1" x14ac:dyDescent="0.15">
      <c r="A1105" s="8"/>
    </row>
    <row r="1106" spans="1:1" ht="12" customHeight="1" x14ac:dyDescent="0.15">
      <c r="A1106" s="8"/>
    </row>
    <row r="1107" spans="1:1" ht="12" customHeight="1" x14ac:dyDescent="0.15">
      <c r="A1107" s="8"/>
    </row>
    <row r="1108" spans="1:1" ht="12" customHeight="1" x14ac:dyDescent="0.15">
      <c r="A1108" s="8"/>
    </row>
    <row r="1109" spans="1:1" ht="12" customHeight="1" x14ac:dyDescent="0.15">
      <c r="A1109" s="8"/>
    </row>
    <row r="1110" spans="1:1" ht="12" customHeight="1" x14ac:dyDescent="0.15">
      <c r="A1110" s="8"/>
    </row>
    <row r="1111" spans="1:1" ht="12" customHeight="1" x14ac:dyDescent="0.15">
      <c r="A1111" s="8"/>
    </row>
    <row r="1112" spans="1:1" ht="12" customHeight="1" x14ac:dyDescent="0.15">
      <c r="A1112" s="8"/>
    </row>
    <row r="1113" spans="1:1" ht="12" customHeight="1" x14ac:dyDescent="0.15">
      <c r="A1113" s="8"/>
    </row>
    <row r="1114" spans="1:1" ht="12" customHeight="1" x14ac:dyDescent="0.15">
      <c r="A1114" s="8"/>
    </row>
    <row r="1115" spans="1:1" ht="12" customHeight="1" x14ac:dyDescent="0.15">
      <c r="A1115" s="8"/>
    </row>
    <row r="1116" spans="1:1" ht="12" customHeight="1" x14ac:dyDescent="0.15">
      <c r="A1116" s="8"/>
    </row>
    <row r="1117" spans="1:1" ht="12" customHeight="1" x14ac:dyDescent="0.15">
      <c r="A1117" s="8"/>
    </row>
    <row r="1118" spans="1:1" ht="12" customHeight="1" x14ac:dyDescent="0.15">
      <c r="A1118" s="8"/>
    </row>
    <row r="1119" spans="1:1" ht="12" customHeight="1" x14ac:dyDescent="0.15">
      <c r="A1119" s="8"/>
    </row>
    <row r="1120" spans="1:1" ht="12" customHeight="1" x14ac:dyDescent="0.15">
      <c r="A1120" s="8"/>
    </row>
    <row r="1121" spans="1:1" ht="12" customHeight="1" x14ac:dyDescent="0.15">
      <c r="A1121" s="8"/>
    </row>
    <row r="1122" spans="1:1" ht="12" customHeight="1" x14ac:dyDescent="0.15">
      <c r="A1122" s="8"/>
    </row>
    <row r="1123" spans="1:1" ht="12" customHeight="1" x14ac:dyDescent="0.15">
      <c r="A1123" s="8"/>
    </row>
    <row r="1124" spans="1:1" ht="12" customHeight="1" x14ac:dyDescent="0.15">
      <c r="A1124" s="8"/>
    </row>
    <row r="1125" spans="1:1" ht="12" customHeight="1" x14ac:dyDescent="0.15">
      <c r="A1125" s="8"/>
    </row>
    <row r="1126" spans="1:1" ht="12" customHeight="1" x14ac:dyDescent="0.15">
      <c r="A1126" s="8"/>
    </row>
    <row r="1127" spans="1:1" ht="12" customHeight="1" x14ac:dyDescent="0.15">
      <c r="A1127" s="8"/>
    </row>
    <row r="1128" spans="1:1" ht="12" customHeight="1" x14ac:dyDescent="0.15">
      <c r="A1128" s="8"/>
    </row>
    <row r="1129" spans="1:1" ht="12" customHeight="1" x14ac:dyDescent="0.15">
      <c r="A1129" s="8"/>
    </row>
    <row r="1130" spans="1:1" ht="12" customHeight="1" x14ac:dyDescent="0.15">
      <c r="A1130" s="8"/>
    </row>
    <row r="1131" spans="1:1" ht="12" customHeight="1" x14ac:dyDescent="0.15">
      <c r="A1131" s="8"/>
    </row>
    <row r="1132" spans="1:1" ht="12" customHeight="1" x14ac:dyDescent="0.15">
      <c r="A1132" s="8"/>
    </row>
    <row r="1133" spans="1:1" ht="12" customHeight="1" x14ac:dyDescent="0.15">
      <c r="A1133" s="8"/>
    </row>
    <row r="1134" spans="1:1" ht="12" customHeight="1" x14ac:dyDescent="0.15">
      <c r="A1134" s="8"/>
    </row>
    <row r="1135" spans="1:1" ht="12" customHeight="1" x14ac:dyDescent="0.15">
      <c r="A1135" s="8"/>
    </row>
    <row r="1136" spans="1:1" ht="12" customHeight="1" x14ac:dyDescent="0.15">
      <c r="A1136" s="8"/>
    </row>
    <row r="1137" spans="1:1" ht="12" customHeight="1" x14ac:dyDescent="0.15">
      <c r="A1137" s="8"/>
    </row>
    <row r="1138" spans="1:1" ht="12" customHeight="1" x14ac:dyDescent="0.15">
      <c r="A1138" s="8"/>
    </row>
    <row r="1139" spans="1:1" ht="12" customHeight="1" x14ac:dyDescent="0.15">
      <c r="A1139" s="8"/>
    </row>
    <row r="1140" spans="1:1" ht="12" customHeight="1" x14ac:dyDescent="0.15">
      <c r="A1140" s="8"/>
    </row>
    <row r="1141" spans="1:1" ht="12" customHeight="1" x14ac:dyDescent="0.15">
      <c r="A1141" s="8"/>
    </row>
    <row r="1142" spans="1:1" ht="12" customHeight="1" x14ac:dyDescent="0.15">
      <c r="A1142" s="8"/>
    </row>
    <row r="1143" spans="1:1" ht="12" customHeight="1" x14ac:dyDescent="0.15">
      <c r="A1143" s="8"/>
    </row>
    <row r="1144" spans="1:1" ht="12" customHeight="1" x14ac:dyDescent="0.15">
      <c r="A1144" s="8"/>
    </row>
    <row r="1145" spans="1:1" ht="12" customHeight="1" x14ac:dyDescent="0.15">
      <c r="A1145" s="8"/>
    </row>
    <row r="1146" spans="1:1" ht="12" customHeight="1" x14ac:dyDescent="0.15">
      <c r="A1146" s="8"/>
    </row>
    <row r="1147" spans="1:1" ht="12" customHeight="1" x14ac:dyDescent="0.15">
      <c r="A1147" s="8"/>
    </row>
    <row r="1148" spans="1:1" ht="12" customHeight="1" x14ac:dyDescent="0.15">
      <c r="A1148" s="8"/>
    </row>
    <row r="1149" spans="1:1" ht="12" customHeight="1" x14ac:dyDescent="0.15">
      <c r="A1149" s="8"/>
    </row>
    <row r="1150" spans="1:1" ht="12" customHeight="1" x14ac:dyDescent="0.15">
      <c r="A1150" s="8"/>
    </row>
    <row r="1151" spans="1:1" ht="12" customHeight="1" x14ac:dyDescent="0.15">
      <c r="A1151" s="8"/>
    </row>
    <row r="1152" spans="1:1" ht="12" customHeight="1" x14ac:dyDescent="0.15">
      <c r="A1152" s="8"/>
    </row>
    <row r="1153" spans="1:1" ht="12" customHeight="1" x14ac:dyDescent="0.15">
      <c r="A1153" s="8"/>
    </row>
    <row r="1154" spans="1:1" ht="12" customHeight="1" x14ac:dyDescent="0.15">
      <c r="A1154" s="8"/>
    </row>
    <row r="1155" spans="1:1" ht="12" customHeight="1" x14ac:dyDescent="0.15">
      <c r="A1155" s="8"/>
    </row>
    <row r="1156" spans="1:1" ht="12" customHeight="1" x14ac:dyDescent="0.15">
      <c r="A1156" s="8"/>
    </row>
    <row r="1157" spans="1:1" ht="12" customHeight="1" x14ac:dyDescent="0.15">
      <c r="A1157" s="8"/>
    </row>
    <row r="1158" spans="1:1" ht="12" customHeight="1" x14ac:dyDescent="0.15">
      <c r="A1158" s="8"/>
    </row>
    <row r="1159" spans="1:1" ht="12" customHeight="1" x14ac:dyDescent="0.15">
      <c r="A1159" s="8"/>
    </row>
    <row r="1160" spans="1:1" ht="12" customHeight="1" x14ac:dyDescent="0.15">
      <c r="A1160" s="8"/>
    </row>
    <row r="1161" spans="1:1" ht="12" customHeight="1" x14ac:dyDescent="0.15">
      <c r="A1161" s="8"/>
    </row>
    <row r="1162" spans="1:1" ht="12" customHeight="1" x14ac:dyDescent="0.15">
      <c r="A1162" s="8"/>
    </row>
    <row r="1163" spans="1:1" ht="12" customHeight="1" x14ac:dyDescent="0.15">
      <c r="A1163" s="8"/>
    </row>
    <row r="1164" spans="1:1" ht="12" customHeight="1" x14ac:dyDescent="0.15">
      <c r="A1164" s="8"/>
    </row>
    <row r="1165" spans="1:1" ht="12" customHeight="1" x14ac:dyDescent="0.15">
      <c r="A1165" s="8"/>
    </row>
    <row r="1166" spans="1:1" ht="12" customHeight="1" x14ac:dyDescent="0.15">
      <c r="A1166" s="8"/>
    </row>
    <row r="1167" spans="1:1" ht="12" customHeight="1" x14ac:dyDescent="0.15">
      <c r="A1167" s="8"/>
    </row>
    <row r="1168" spans="1:1" ht="12" customHeight="1" x14ac:dyDescent="0.15">
      <c r="A1168" s="8"/>
    </row>
    <row r="1169" spans="1:1" ht="12" customHeight="1" x14ac:dyDescent="0.15">
      <c r="A1169" s="8"/>
    </row>
    <row r="1170" spans="1:1" ht="12" customHeight="1" x14ac:dyDescent="0.15">
      <c r="A1170" s="8"/>
    </row>
    <row r="1171" spans="1:1" ht="12" customHeight="1" x14ac:dyDescent="0.15">
      <c r="A1171" s="8"/>
    </row>
    <row r="1172" spans="1:1" ht="12" customHeight="1" x14ac:dyDescent="0.15">
      <c r="A1172" s="8"/>
    </row>
    <row r="1173" spans="1:1" ht="12" customHeight="1" x14ac:dyDescent="0.15">
      <c r="A1173" s="8"/>
    </row>
    <row r="1174" spans="1:1" ht="12" customHeight="1" x14ac:dyDescent="0.15">
      <c r="A1174" s="8"/>
    </row>
    <row r="1175" spans="1:1" ht="12" customHeight="1" x14ac:dyDescent="0.15">
      <c r="A1175" s="8"/>
    </row>
    <row r="1176" spans="1:1" ht="12" customHeight="1" x14ac:dyDescent="0.15">
      <c r="A1176" s="8"/>
    </row>
    <row r="1177" spans="1:1" ht="12" customHeight="1" x14ac:dyDescent="0.15">
      <c r="A1177" s="8"/>
    </row>
    <row r="1178" spans="1:1" ht="12" customHeight="1" x14ac:dyDescent="0.15">
      <c r="A1178" s="8"/>
    </row>
    <row r="1179" spans="1:1" ht="12" customHeight="1" x14ac:dyDescent="0.15">
      <c r="A1179" s="8"/>
    </row>
    <row r="1180" spans="1:1" ht="12" customHeight="1" x14ac:dyDescent="0.15">
      <c r="A1180" s="8"/>
    </row>
    <row r="1181" spans="1:1" ht="12" customHeight="1" x14ac:dyDescent="0.15">
      <c r="A1181" s="8"/>
    </row>
    <row r="1182" spans="1:1" ht="12" customHeight="1" x14ac:dyDescent="0.15">
      <c r="A1182" s="8"/>
    </row>
    <row r="1183" spans="1:1" ht="12" customHeight="1" x14ac:dyDescent="0.15">
      <c r="A1183" s="8"/>
    </row>
    <row r="1184" spans="1:1" ht="12" customHeight="1" x14ac:dyDescent="0.15">
      <c r="A1184" s="8"/>
    </row>
    <row r="1185" spans="1:1" ht="12" customHeight="1" x14ac:dyDescent="0.15">
      <c r="A1185" s="8"/>
    </row>
    <row r="1186" spans="1:1" ht="12" customHeight="1" x14ac:dyDescent="0.15">
      <c r="A1186" s="8"/>
    </row>
    <row r="1187" spans="1:1" ht="12" customHeight="1" x14ac:dyDescent="0.15">
      <c r="A1187" s="8"/>
    </row>
    <row r="1188" spans="1:1" ht="12" customHeight="1" x14ac:dyDescent="0.15">
      <c r="A1188" s="8"/>
    </row>
    <row r="1189" spans="1:1" ht="12" customHeight="1" x14ac:dyDescent="0.15">
      <c r="A1189" s="8"/>
    </row>
    <row r="1190" spans="1:1" ht="12" customHeight="1" x14ac:dyDescent="0.15">
      <c r="A1190" s="8"/>
    </row>
    <row r="1191" spans="1:1" ht="12" customHeight="1" x14ac:dyDescent="0.15">
      <c r="A1191" s="8"/>
    </row>
    <row r="1192" spans="1:1" ht="12" customHeight="1" x14ac:dyDescent="0.15">
      <c r="A1192" s="8"/>
    </row>
    <row r="1193" spans="1:1" ht="12" customHeight="1" x14ac:dyDescent="0.15">
      <c r="A1193" s="8"/>
    </row>
    <row r="1194" spans="1:1" ht="12" customHeight="1" x14ac:dyDescent="0.15">
      <c r="A1194" s="8"/>
    </row>
    <row r="1195" spans="1:1" ht="12" customHeight="1" x14ac:dyDescent="0.15">
      <c r="A1195" s="8"/>
    </row>
    <row r="1196" spans="1:1" ht="12" customHeight="1" x14ac:dyDescent="0.15">
      <c r="A1196" s="8"/>
    </row>
    <row r="1197" spans="1:1" ht="12" customHeight="1" x14ac:dyDescent="0.15">
      <c r="A1197" s="8"/>
    </row>
    <row r="1198" spans="1:1" ht="12" customHeight="1" x14ac:dyDescent="0.15">
      <c r="A1198" s="8"/>
    </row>
    <row r="1199" spans="1:1" ht="12" customHeight="1" x14ac:dyDescent="0.15">
      <c r="A1199" s="8"/>
    </row>
    <row r="1200" spans="1:1" ht="12" customHeight="1" x14ac:dyDescent="0.15">
      <c r="A1200" s="8"/>
    </row>
    <row r="1201" spans="1:1" ht="12" customHeight="1" x14ac:dyDescent="0.15">
      <c r="A1201" s="8"/>
    </row>
    <row r="1202" spans="1:1" ht="12" customHeight="1" x14ac:dyDescent="0.15">
      <c r="A1202" s="8"/>
    </row>
    <row r="1203" spans="1:1" ht="12" customHeight="1" x14ac:dyDescent="0.15">
      <c r="A1203" s="8"/>
    </row>
    <row r="1204" spans="1:1" ht="12" customHeight="1" x14ac:dyDescent="0.15">
      <c r="A1204" s="8"/>
    </row>
    <row r="1205" spans="1:1" ht="12" customHeight="1" x14ac:dyDescent="0.15">
      <c r="A1205" s="8"/>
    </row>
    <row r="1206" spans="1:1" ht="12" customHeight="1" x14ac:dyDescent="0.15">
      <c r="A1206" s="8"/>
    </row>
    <row r="1207" spans="1:1" ht="12" customHeight="1" x14ac:dyDescent="0.15">
      <c r="A1207" s="8"/>
    </row>
    <row r="1208" spans="1:1" ht="12" customHeight="1" x14ac:dyDescent="0.15">
      <c r="A1208" s="8"/>
    </row>
    <row r="1209" spans="1:1" ht="12" customHeight="1" x14ac:dyDescent="0.15">
      <c r="A1209" s="8"/>
    </row>
    <row r="1210" spans="1:1" ht="12" customHeight="1" x14ac:dyDescent="0.15">
      <c r="A1210" s="8"/>
    </row>
    <row r="1211" spans="1:1" ht="12" customHeight="1" x14ac:dyDescent="0.15">
      <c r="A1211" s="8"/>
    </row>
    <row r="1212" spans="1:1" ht="12" customHeight="1" x14ac:dyDescent="0.15">
      <c r="A1212" s="8"/>
    </row>
    <row r="1213" spans="1:1" ht="12" customHeight="1" x14ac:dyDescent="0.15">
      <c r="A1213" s="8"/>
    </row>
    <row r="1214" spans="1:1" ht="12" customHeight="1" x14ac:dyDescent="0.15">
      <c r="A1214" s="8"/>
    </row>
    <row r="1215" spans="1:1" ht="12" customHeight="1" x14ac:dyDescent="0.15">
      <c r="A1215" s="8"/>
    </row>
    <row r="1216" spans="1:1" ht="12" customHeight="1" x14ac:dyDescent="0.15">
      <c r="A1216" s="8"/>
    </row>
    <row r="1217" spans="1:1" ht="12" customHeight="1" x14ac:dyDescent="0.15">
      <c r="A1217" s="8"/>
    </row>
    <row r="1218" spans="1:1" ht="12" customHeight="1" x14ac:dyDescent="0.15">
      <c r="A1218" s="8"/>
    </row>
    <row r="1219" spans="1:1" ht="12" customHeight="1" x14ac:dyDescent="0.15">
      <c r="A1219" s="8"/>
    </row>
    <row r="1220" spans="1:1" ht="12" customHeight="1" x14ac:dyDescent="0.15">
      <c r="A1220" s="8"/>
    </row>
    <row r="1221" spans="1:1" ht="12" customHeight="1" x14ac:dyDescent="0.15">
      <c r="A1221" s="8"/>
    </row>
    <row r="1222" spans="1:1" ht="12" customHeight="1" x14ac:dyDescent="0.15">
      <c r="A1222" s="8"/>
    </row>
    <row r="1223" spans="1:1" ht="12" customHeight="1" x14ac:dyDescent="0.15">
      <c r="A1223" s="8"/>
    </row>
    <row r="1224" spans="1:1" ht="12" customHeight="1" x14ac:dyDescent="0.15">
      <c r="A1224" s="8"/>
    </row>
    <row r="1225" spans="1:1" ht="12" customHeight="1" x14ac:dyDescent="0.15">
      <c r="A1225" s="8"/>
    </row>
    <row r="1226" spans="1:1" ht="12" customHeight="1" x14ac:dyDescent="0.15">
      <c r="A1226" s="8"/>
    </row>
    <row r="1227" spans="1:1" ht="12" customHeight="1" x14ac:dyDescent="0.15">
      <c r="A1227" s="8"/>
    </row>
    <row r="1228" spans="1:1" ht="12" customHeight="1" x14ac:dyDescent="0.15">
      <c r="A1228" s="8"/>
    </row>
    <row r="1229" spans="1:1" ht="12" customHeight="1" x14ac:dyDescent="0.15">
      <c r="A1229" s="8"/>
    </row>
    <row r="1230" spans="1:1" ht="12" customHeight="1" x14ac:dyDescent="0.15">
      <c r="A1230" s="8"/>
    </row>
    <row r="1231" spans="1:1" ht="12" customHeight="1" x14ac:dyDescent="0.15">
      <c r="A1231" s="8"/>
    </row>
    <row r="1232" spans="1:1" ht="12" customHeight="1" x14ac:dyDescent="0.15">
      <c r="A1232" s="8"/>
    </row>
    <row r="1233" spans="1:1" ht="12" customHeight="1" x14ac:dyDescent="0.15">
      <c r="A1233" s="8"/>
    </row>
    <row r="1234" spans="1:1" ht="12" customHeight="1" x14ac:dyDescent="0.15">
      <c r="A1234" s="8"/>
    </row>
    <row r="1235" spans="1:1" ht="12" customHeight="1" x14ac:dyDescent="0.15">
      <c r="A1235" s="8"/>
    </row>
    <row r="1236" spans="1:1" ht="12" customHeight="1" x14ac:dyDescent="0.15">
      <c r="A1236" s="8"/>
    </row>
    <row r="1237" spans="1:1" ht="12" customHeight="1" x14ac:dyDescent="0.15">
      <c r="A1237" s="8"/>
    </row>
    <row r="1238" spans="1:1" ht="12" customHeight="1" x14ac:dyDescent="0.15">
      <c r="A1238" s="8"/>
    </row>
    <row r="1239" spans="1:1" ht="12" customHeight="1" x14ac:dyDescent="0.15">
      <c r="A1239" s="8"/>
    </row>
    <row r="1240" spans="1:1" ht="12" customHeight="1" x14ac:dyDescent="0.15">
      <c r="A1240" s="8"/>
    </row>
    <row r="1241" spans="1:1" ht="12" customHeight="1" x14ac:dyDescent="0.15">
      <c r="A1241" s="8"/>
    </row>
    <row r="1242" spans="1:1" ht="12" customHeight="1" x14ac:dyDescent="0.15">
      <c r="A1242" s="8"/>
    </row>
    <row r="1243" spans="1:1" ht="12" customHeight="1" x14ac:dyDescent="0.15">
      <c r="A1243" s="8"/>
    </row>
    <row r="1244" spans="1:1" ht="12" customHeight="1" x14ac:dyDescent="0.15">
      <c r="A1244" s="8"/>
    </row>
    <row r="1245" spans="1:1" ht="12" customHeight="1" x14ac:dyDescent="0.15">
      <c r="A1245" s="8"/>
    </row>
    <row r="1246" spans="1:1" ht="12" customHeight="1" x14ac:dyDescent="0.15">
      <c r="A1246" s="8"/>
    </row>
    <row r="1247" spans="1:1" ht="12" customHeight="1" x14ac:dyDescent="0.15">
      <c r="A1247" s="8"/>
    </row>
    <row r="1248" spans="1:1" ht="12" customHeight="1" x14ac:dyDescent="0.15">
      <c r="A1248" s="8"/>
    </row>
    <row r="1249" spans="1:1" ht="12" customHeight="1" x14ac:dyDescent="0.15">
      <c r="A1249" s="8"/>
    </row>
    <row r="1250" spans="1:1" ht="12" customHeight="1" x14ac:dyDescent="0.15">
      <c r="A1250" s="8"/>
    </row>
    <row r="1251" spans="1:1" ht="12" customHeight="1" x14ac:dyDescent="0.15">
      <c r="A1251" s="8"/>
    </row>
    <row r="1252" spans="1:1" ht="12" customHeight="1" x14ac:dyDescent="0.15">
      <c r="A1252" s="8"/>
    </row>
    <row r="1253" spans="1:1" ht="12" customHeight="1" x14ac:dyDescent="0.15">
      <c r="A1253" s="8"/>
    </row>
    <row r="1254" spans="1:1" ht="12" customHeight="1" x14ac:dyDescent="0.15">
      <c r="A1254" s="8"/>
    </row>
    <row r="1255" spans="1:1" ht="12" customHeight="1" x14ac:dyDescent="0.15">
      <c r="A1255" s="8"/>
    </row>
    <row r="1256" spans="1:1" ht="12" customHeight="1" x14ac:dyDescent="0.15">
      <c r="A1256" s="8"/>
    </row>
    <row r="1257" spans="1:1" ht="12" customHeight="1" x14ac:dyDescent="0.15">
      <c r="A1257" s="8"/>
    </row>
    <row r="1258" spans="1:1" ht="12" customHeight="1" x14ac:dyDescent="0.15">
      <c r="A1258" s="8"/>
    </row>
    <row r="1259" spans="1:1" ht="12" customHeight="1" x14ac:dyDescent="0.15">
      <c r="A1259" s="8"/>
    </row>
    <row r="1260" spans="1:1" ht="12" customHeight="1" x14ac:dyDescent="0.15">
      <c r="A1260" s="8"/>
    </row>
    <row r="1261" spans="1:1" ht="12" customHeight="1" x14ac:dyDescent="0.15">
      <c r="A1261" s="8"/>
    </row>
    <row r="1262" spans="1:1" ht="12" customHeight="1" x14ac:dyDescent="0.15">
      <c r="A1262" s="8"/>
    </row>
    <row r="1263" spans="1:1" ht="12" customHeight="1" x14ac:dyDescent="0.15">
      <c r="A1263" s="8"/>
    </row>
    <row r="1264" spans="1:1" ht="12" customHeight="1" x14ac:dyDescent="0.15">
      <c r="A1264" s="8"/>
    </row>
    <row r="1265" spans="1:1" ht="12" customHeight="1" x14ac:dyDescent="0.15">
      <c r="A1265" s="8"/>
    </row>
    <row r="1266" spans="1:1" ht="12" customHeight="1" x14ac:dyDescent="0.15">
      <c r="A1266" s="8"/>
    </row>
    <row r="1267" spans="1:1" ht="12" customHeight="1" x14ac:dyDescent="0.15">
      <c r="A1267" s="8"/>
    </row>
    <row r="1268" spans="1:1" ht="12" customHeight="1" x14ac:dyDescent="0.15">
      <c r="A1268" s="8"/>
    </row>
    <row r="1269" spans="1:1" ht="12" customHeight="1" x14ac:dyDescent="0.15">
      <c r="A1269" s="8"/>
    </row>
    <row r="1270" spans="1:1" ht="12" customHeight="1" x14ac:dyDescent="0.15">
      <c r="A1270" s="8"/>
    </row>
  </sheetData>
  <mergeCells count="43">
    <mergeCell ref="AS29:AS31"/>
    <mergeCell ref="AS21:AS28"/>
    <mergeCell ref="AO21:AO28"/>
    <mergeCell ref="R20:T23"/>
    <mergeCell ref="AM21:AM28"/>
    <mergeCell ref="AN21:AN28"/>
    <mergeCell ref="AI29:AI31"/>
    <mergeCell ref="Z21:Z28"/>
    <mergeCell ref="AA21:AA28"/>
    <mergeCell ref="AC21:AC28"/>
    <mergeCell ref="AB29:AB31"/>
    <mergeCell ref="AB21:AB28"/>
    <mergeCell ref="AQ21:AQ28"/>
    <mergeCell ref="AK29:AK31"/>
    <mergeCell ref="AA29:AA31"/>
    <mergeCell ref="S24:T28"/>
    <mergeCell ref="AJ122:AJ124"/>
    <mergeCell ref="AK122:AK124"/>
    <mergeCell ref="AI122:AI124"/>
    <mergeCell ref="Y29:Y31"/>
    <mergeCell ref="Y122:Y124"/>
    <mergeCell ref="Z122:Z124"/>
    <mergeCell ref="AA122:AA124"/>
    <mergeCell ref="AH29:AH31"/>
    <mergeCell ref="AC122:AC124"/>
    <mergeCell ref="AD122:AD124"/>
    <mergeCell ref="AE122:AE124"/>
    <mergeCell ref="AF122:AF124"/>
    <mergeCell ref="AG122:AG124"/>
    <mergeCell ref="AH122:AH124"/>
    <mergeCell ref="AB122:AB124"/>
    <mergeCell ref="AJ29:AJ31"/>
    <mergeCell ref="V24:W28"/>
    <mergeCell ref="Y21:Y28"/>
    <mergeCell ref="Z29:Z31"/>
    <mergeCell ref="D56:J57"/>
    <mergeCell ref="AQ29:AQ31"/>
    <mergeCell ref="L55:M56"/>
    <mergeCell ref="AG29:AG31"/>
    <mergeCell ref="AE29:AE31"/>
    <mergeCell ref="AF29:AF31"/>
    <mergeCell ref="AC29:AC31"/>
    <mergeCell ref="AD29:AD31"/>
  </mergeCells>
  <phoneticPr fontId="5"/>
  <hyperlinks>
    <hyperlink ref="Q2:U2" r:id="rId1" display="黒川地域行政事務組合 環境管理センター"/>
    <hyperlink ref="Y2:AB2" r:id="rId2" display="http://www.kurogyou.jp/kankyou/kanri/index.html"/>
  </hyperlinks>
  <pageMargins left="0.75" right="0.75" top="1" bottom="1" header="0" footer="0"/>
  <pageSetup paperSize="8" orientation="portrait" verticalDpi="0" r:id="rId3"/>
  <headerFooter alignWithMargins="0"/>
  <drawing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BQ283"/>
  <sheetViews>
    <sheetView zoomScale="85" zoomScaleNormal="85" workbookViewId="0">
      <selection activeCell="AA3" sqref="AA3"/>
    </sheetView>
  </sheetViews>
  <sheetFormatPr defaultRowHeight="12" x14ac:dyDescent="0.15"/>
  <cols>
    <col min="1" max="1" width="1.375" style="384" customWidth="1"/>
    <col min="2" max="4" width="2.625" style="384" customWidth="1"/>
    <col min="5" max="14" width="2" style="384" customWidth="1"/>
    <col min="15" max="15" width="6.625" style="384" customWidth="1"/>
    <col min="16" max="16" width="3.25" style="384" customWidth="1"/>
    <col min="17" max="23" width="4" style="384" customWidth="1"/>
    <col min="24" max="27" width="4.125" style="384" customWidth="1"/>
    <col min="28" max="28" width="5.125" style="384" customWidth="1"/>
    <col min="29" max="29" width="3.125" style="384" customWidth="1"/>
    <col min="30" max="37" width="3.625" style="384" customWidth="1"/>
    <col min="38" max="38" width="6.125" style="384" customWidth="1"/>
    <col min="39" max="58" width="4.125" style="384" customWidth="1"/>
    <col min="59" max="74" width="4.5" style="384" customWidth="1"/>
    <col min="75" max="91" width="4.625" style="384" customWidth="1"/>
    <col min="92" max="16384" width="9" style="384"/>
  </cols>
  <sheetData>
    <row r="1" spans="2:57" ht="6" customHeight="1" x14ac:dyDescent="0.15"/>
    <row r="2" spans="2:57" ht="17.25" customHeight="1" x14ac:dyDescent="0.15">
      <c r="O2" s="385" t="s">
        <v>738</v>
      </c>
      <c r="P2" s="386"/>
      <c r="AC2" s="387" t="s">
        <v>739</v>
      </c>
      <c r="AM2" s="388" t="s">
        <v>740</v>
      </c>
      <c r="AN2" s="386"/>
      <c r="BA2" s="387" t="s">
        <v>741</v>
      </c>
    </row>
    <row r="3" spans="2:57" ht="60.75" customHeight="1" x14ac:dyDescent="0.15">
      <c r="O3" s="389" t="s">
        <v>742</v>
      </c>
      <c r="P3" s="390"/>
      <c r="Q3" s="391" t="s">
        <v>743</v>
      </c>
      <c r="R3" s="391" t="s">
        <v>834</v>
      </c>
      <c r="S3" s="391" t="s">
        <v>745</v>
      </c>
      <c r="T3" s="392" t="s">
        <v>746</v>
      </c>
      <c r="U3" s="391" t="s">
        <v>747</v>
      </c>
      <c r="V3" s="391" t="s">
        <v>748</v>
      </c>
      <c r="W3" s="391"/>
      <c r="X3" s="391" t="s">
        <v>836</v>
      </c>
      <c r="Y3" s="393"/>
      <c r="Z3" s="393"/>
      <c r="AA3" s="505" t="s">
        <v>839</v>
      </c>
      <c r="AB3" s="391"/>
      <c r="AL3" s="394" t="s">
        <v>123</v>
      </c>
      <c r="AM3" s="395" t="s">
        <v>755</v>
      </c>
      <c r="AN3" s="395" t="s">
        <v>756</v>
      </c>
      <c r="AO3" s="395" t="s">
        <v>757</v>
      </c>
      <c r="AP3" s="395" t="s">
        <v>758</v>
      </c>
      <c r="AQ3" s="395" t="s">
        <v>759</v>
      </c>
      <c r="AR3" s="395" t="s">
        <v>760</v>
      </c>
      <c r="AS3" s="395" t="s">
        <v>761</v>
      </c>
      <c r="AT3" s="395" t="s">
        <v>762</v>
      </c>
      <c r="AU3" s="396" t="s">
        <v>763</v>
      </c>
      <c r="AV3" s="395" t="s">
        <v>764</v>
      </c>
      <c r="AW3" s="395" t="s">
        <v>765</v>
      </c>
      <c r="AX3" s="395" t="s">
        <v>766</v>
      </c>
      <c r="AY3" s="395" t="s">
        <v>767</v>
      </c>
      <c r="AZ3" s="395" t="s">
        <v>768</v>
      </c>
      <c r="BA3" s="395" t="s">
        <v>769</v>
      </c>
      <c r="BB3" s="395" t="s">
        <v>770</v>
      </c>
      <c r="BC3" s="395" t="s">
        <v>771</v>
      </c>
      <c r="BD3" s="395" t="s">
        <v>772</v>
      </c>
      <c r="BE3" s="395" t="s">
        <v>773</v>
      </c>
    </row>
    <row r="4" spans="2:57" ht="10.5" customHeight="1" x14ac:dyDescent="0.15">
      <c r="B4" s="384" t="s">
        <v>792</v>
      </c>
      <c r="E4" s="384" t="s">
        <v>793</v>
      </c>
      <c r="O4" s="497">
        <v>40847</v>
      </c>
      <c r="P4" s="434"/>
      <c r="Q4" s="434"/>
      <c r="R4" s="434"/>
      <c r="S4" s="434"/>
      <c r="T4" s="434"/>
      <c r="U4" s="503">
        <f>U15</f>
        <v>1630</v>
      </c>
      <c r="V4" s="503"/>
      <c r="W4" s="434"/>
      <c r="X4" s="434"/>
      <c r="Y4" s="434"/>
      <c r="Z4" s="434"/>
      <c r="AA4" s="434"/>
      <c r="AB4" s="445"/>
      <c r="AD4" s="415" t="s">
        <v>800</v>
      </c>
      <c r="AF4" s="404"/>
      <c r="AG4" s="415" t="s">
        <v>671</v>
      </c>
    </row>
    <row r="5" spans="2:57" ht="10.5" customHeight="1" x14ac:dyDescent="0.15">
      <c r="B5" s="384" t="s">
        <v>794</v>
      </c>
      <c r="E5" s="384" t="s">
        <v>795</v>
      </c>
      <c r="G5" s="397"/>
      <c r="O5" s="498">
        <v>43220</v>
      </c>
      <c r="P5" s="400"/>
      <c r="Q5" s="400"/>
      <c r="R5" s="400"/>
      <c r="S5" s="400"/>
      <c r="T5" s="400"/>
      <c r="U5" s="444">
        <f>U16</f>
        <v>110</v>
      </c>
      <c r="V5" s="444">
        <f>V16</f>
        <v>32</v>
      </c>
      <c r="W5" s="400"/>
      <c r="X5" s="400"/>
      <c r="Y5" s="400"/>
      <c r="Z5" s="400"/>
      <c r="AA5" s="400"/>
      <c r="AB5" s="446"/>
      <c r="AD5" s="416" t="s">
        <v>801</v>
      </c>
      <c r="AF5" s="404"/>
      <c r="AG5" s="416" t="s">
        <v>683</v>
      </c>
    </row>
    <row r="6" spans="2:57" ht="10.5" customHeight="1" x14ac:dyDescent="0.15">
      <c r="B6" s="384" t="s">
        <v>796</v>
      </c>
      <c r="E6" s="384" t="s">
        <v>797</v>
      </c>
      <c r="G6" s="397"/>
      <c r="O6" s="498">
        <v>43251</v>
      </c>
      <c r="P6" s="400"/>
      <c r="Q6" s="431">
        <f>Y18</f>
        <v>4690</v>
      </c>
      <c r="R6" s="431">
        <f>R18</f>
        <v>300</v>
      </c>
      <c r="S6" s="400"/>
      <c r="T6" s="400"/>
      <c r="U6" s="444">
        <f>U17</f>
        <v>373</v>
      </c>
      <c r="V6" s="444">
        <f>V17</f>
        <v>110</v>
      </c>
      <c r="W6" s="400"/>
      <c r="X6" s="400"/>
      <c r="Y6" s="400"/>
      <c r="Z6" s="400"/>
      <c r="AA6" s="425">
        <f>Q6*R6/1000000</f>
        <v>1.407</v>
      </c>
      <c r="AB6" s="446" t="s">
        <v>825</v>
      </c>
      <c r="AD6" s="416" t="s">
        <v>803</v>
      </c>
      <c r="AF6" s="404"/>
      <c r="AG6" s="416" t="s">
        <v>804</v>
      </c>
      <c r="AH6" s="397"/>
    </row>
    <row r="7" spans="2:57" ht="10.5" customHeight="1" x14ac:dyDescent="0.15">
      <c r="B7" s="384" t="s">
        <v>798</v>
      </c>
      <c r="E7" s="384" t="s">
        <v>799</v>
      </c>
      <c r="G7" s="397"/>
      <c r="O7" s="498">
        <v>43281</v>
      </c>
      <c r="P7" s="400"/>
      <c r="Q7" s="444">
        <f>Y21</f>
        <v>4750</v>
      </c>
      <c r="R7" s="431">
        <f>R21</f>
        <v>700</v>
      </c>
      <c r="S7" s="400"/>
      <c r="T7" s="400"/>
      <c r="U7" s="444">
        <f>AVERAGE(U19:U20)</f>
        <v>127.5</v>
      </c>
      <c r="V7" s="444">
        <f>AVERAGE(V19:V20)</f>
        <v>44</v>
      </c>
      <c r="W7" s="400"/>
      <c r="X7" s="400"/>
      <c r="Y7" s="400"/>
      <c r="Z7" s="400"/>
      <c r="AA7" s="425">
        <f t="shared" ref="AA7:AA10" si="0">Q7*R7/1000000</f>
        <v>3.3250000000000002</v>
      </c>
      <c r="AB7" s="446" t="s">
        <v>825</v>
      </c>
      <c r="AD7" s="415" t="s">
        <v>806</v>
      </c>
      <c r="AF7" s="404"/>
      <c r="AG7" s="415" t="s">
        <v>671</v>
      </c>
      <c r="AH7" s="397"/>
    </row>
    <row r="8" spans="2:57" ht="10.5" customHeight="1" x14ac:dyDescent="0.15">
      <c r="G8" s="397"/>
      <c r="O8" s="498">
        <v>43312</v>
      </c>
      <c r="P8" s="400"/>
      <c r="Q8" s="400"/>
      <c r="R8" s="400"/>
      <c r="S8" s="431">
        <f>Y23</f>
        <v>4630</v>
      </c>
      <c r="T8" s="431">
        <f>T23</f>
        <v>1500</v>
      </c>
      <c r="U8" s="444">
        <f>AVERAGE(U22:U23)</f>
        <v>229.5</v>
      </c>
      <c r="V8" s="444">
        <f>AVERAGE(V22:V23)</f>
        <v>60.5</v>
      </c>
      <c r="W8" s="400"/>
      <c r="X8" s="400"/>
      <c r="Y8" s="400"/>
      <c r="Z8" s="400"/>
      <c r="AA8" s="425">
        <f>S8*T8/1000000</f>
        <v>6.9450000000000003</v>
      </c>
      <c r="AB8" s="446" t="s">
        <v>826</v>
      </c>
      <c r="AD8" s="416" t="s">
        <v>807</v>
      </c>
      <c r="AF8" s="404"/>
      <c r="AG8" s="416" t="s">
        <v>683</v>
      </c>
      <c r="AH8" s="397"/>
    </row>
    <row r="9" spans="2:57" ht="10.5" customHeight="1" x14ac:dyDescent="0.15">
      <c r="G9" s="397"/>
      <c r="O9" s="498">
        <v>43343</v>
      </c>
      <c r="P9" s="400"/>
      <c r="Q9" s="431">
        <f>Y25</f>
        <v>2430</v>
      </c>
      <c r="R9" s="431">
        <f>R25</f>
        <v>300</v>
      </c>
      <c r="S9" s="400"/>
      <c r="T9" s="400"/>
      <c r="U9" s="444">
        <f>AVERAGE(U24:U26)</f>
        <v>185</v>
      </c>
      <c r="V9" s="444">
        <f>AVERAGE(V24:V26)</f>
        <v>57.5</v>
      </c>
      <c r="W9" s="400"/>
      <c r="X9" s="400"/>
      <c r="Y9" s="400"/>
      <c r="Z9" s="400"/>
      <c r="AA9" s="425">
        <f t="shared" si="0"/>
        <v>0.72899999999999998</v>
      </c>
      <c r="AB9" s="446" t="s">
        <v>825</v>
      </c>
      <c r="AD9" s="416" t="s">
        <v>808</v>
      </c>
      <c r="AF9" s="404"/>
      <c r="AG9" s="416" t="s">
        <v>716</v>
      </c>
      <c r="AH9" s="397"/>
    </row>
    <row r="10" spans="2:57" ht="10.5" customHeight="1" x14ac:dyDescent="0.15">
      <c r="O10" s="498">
        <v>43373</v>
      </c>
      <c r="P10" s="400"/>
      <c r="Q10" s="431">
        <f>Y28</f>
        <v>3870</v>
      </c>
      <c r="R10" s="431">
        <f>R28</f>
        <v>700</v>
      </c>
      <c r="S10" s="400"/>
      <c r="T10" s="400"/>
      <c r="U10" s="444">
        <f>AVERAGE(U27:U28)</f>
        <v>214.5</v>
      </c>
      <c r="V10" s="444">
        <f>AVERAGE(V27:V28)</f>
        <v>44.5</v>
      </c>
      <c r="W10" s="400"/>
      <c r="X10" s="400"/>
      <c r="Y10" s="400"/>
      <c r="Z10" s="400"/>
      <c r="AA10" s="425">
        <f t="shared" si="0"/>
        <v>2.7090000000000001</v>
      </c>
      <c r="AB10" s="446" t="s">
        <v>825</v>
      </c>
    </row>
    <row r="11" spans="2:57" ht="10.5" customHeight="1" x14ac:dyDescent="0.15">
      <c r="O11" s="498">
        <v>43404</v>
      </c>
      <c r="P11" s="400"/>
      <c r="Q11" s="400"/>
      <c r="R11" s="400"/>
      <c r="S11" s="431">
        <f>Y32</f>
        <v>4770</v>
      </c>
      <c r="T11" s="431">
        <f>T31</f>
        <v>1500</v>
      </c>
      <c r="U11" s="444">
        <f>AVERAGE(U29:U32)</f>
        <v>313.5</v>
      </c>
      <c r="V11" s="444">
        <f>AVERAGE(V29:V32)</f>
        <v>73.5</v>
      </c>
      <c r="W11" s="400"/>
      <c r="X11" s="400"/>
      <c r="Y11" s="400"/>
      <c r="Z11" s="400"/>
      <c r="AA11" s="425">
        <f>S11*T11/1000000</f>
        <v>7.1550000000000002</v>
      </c>
      <c r="AB11" s="446" t="s">
        <v>826</v>
      </c>
    </row>
    <row r="12" spans="2:57" ht="10.5" customHeight="1" x14ac:dyDescent="0.15">
      <c r="O12" s="499">
        <v>43555</v>
      </c>
      <c r="P12" s="441"/>
      <c r="Q12" s="441"/>
      <c r="R12" s="441"/>
      <c r="S12" s="441"/>
      <c r="T12" s="441"/>
      <c r="U12" s="504">
        <f>U33</f>
        <v>51</v>
      </c>
      <c r="V12" s="504">
        <f>V33</f>
        <v>9.5</v>
      </c>
      <c r="W12" s="441"/>
      <c r="X12" s="441"/>
      <c r="Y12" s="441"/>
      <c r="Z12" s="441"/>
      <c r="AA12" s="441"/>
      <c r="AB12" s="447"/>
    </row>
    <row r="13" spans="2:57" ht="10.5" customHeight="1" x14ac:dyDescent="0.15"/>
    <row r="14" spans="2:57" ht="10.5" customHeight="1" x14ac:dyDescent="0.15">
      <c r="O14" s="496" t="s">
        <v>835</v>
      </c>
      <c r="R14" s="384" t="s">
        <v>184</v>
      </c>
      <c r="Y14" s="384" t="s">
        <v>822</v>
      </c>
      <c r="AA14" s="384" t="s">
        <v>827</v>
      </c>
    </row>
    <row r="15" spans="2:57" ht="10.5" customHeight="1" x14ac:dyDescent="0.15">
      <c r="O15" s="432">
        <v>40831</v>
      </c>
      <c r="P15" s="433">
        <v>40831</v>
      </c>
      <c r="Q15" s="434"/>
      <c r="R15" s="434"/>
      <c r="S15" s="434"/>
      <c r="T15" s="434"/>
      <c r="U15" s="434">
        <v>1630</v>
      </c>
      <c r="V15" s="435"/>
      <c r="W15" s="435"/>
      <c r="X15" s="435"/>
      <c r="Y15" s="434"/>
      <c r="Z15" s="435"/>
      <c r="AA15" s="435"/>
      <c r="AB15" s="436"/>
    </row>
    <row r="16" spans="2:57" ht="10.5" customHeight="1" x14ac:dyDescent="0.15">
      <c r="O16" s="437">
        <v>43209</v>
      </c>
      <c r="P16" s="399">
        <v>43209</v>
      </c>
      <c r="Q16" s="400"/>
      <c r="R16" s="400"/>
      <c r="S16" s="400"/>
      <c r="T16" s="400"/>
      <c r="U16" s="400">
        <v>110</v>
      </c>
      <c r="V16" s="421">
        <v>32</v>
      </c>
      <c r="W16" s="421"/>
      <c r="X16" s="421"/>
      <c r="Y16" s="400"/>
      <c r="Z16" s="421"/>
      <c r="AA16" s="421"/>
      <c r="AB16" s="438"/>
    </row>
    <row r="17" spans="15:28" ht="10.5" customHeight="1" x14ac:dyDescent="0.15">
      <c r="O17" s="437">
        <v>43241</v>
      </c>
      <c r="P17" s="399">
        <v>43241</v>
      </c>
      <c r="Q17" s="400"/>
      <c r="R17" s="400"/>
      <c r="S17" s="400"/>
      <c r="T17" s="400"/>
      <c r="U17" s="400">
        <v>373</v>
      </c>
      <c r="V17" s="421">
        <v>110</v>
      </c>
      <c r="W17" s="421"/>
      <c r="X17" s="421"/>
      <c r="Y17" s="400"/>
      <c r="Z17" s="421"/>
      <c r="AA17" s="421"/>
      <c r="AB17" s="438"/>
    </row>
    <row r="18" spans="15:28" ht="10.5" customHeight="1" x14ac:dyDescent="0.15">
      <c r="O18" s="437">
        <v>43246</v>
      </c>
      <c r="P18" s="399">
        <v>43246</v>
      </c>
      <c r="Q18" s="400"/>
      <c r="R18" s="400">
        <v>300</v>
      </c>
      <c r="S18" s="400"/>
      <c r="T18" s="400"/>
      <c r="U18" s="400"/>
      <c r="V18" s="421"/>
      <c r="W18" s="421" t="s">
        <v>821</v>
      </c>
      <c r="X18" s="421"/>
      <c r="Y18" s="400">
        <v>4690</v>
      </c>
      <c r="Z18" s="421" t="s">
        <v>822</v>
      </c>
      <c r="AA18" s="444">
        <f>R18*Y18/1000</f>
        <v>1407</v>
      </c>
      <c r="AB18" s="438" t="s">
        <v>825</v>
      </c>
    </row>
    <row r="19" spans="15:28" ht="10.5" customHeight="1" x14ac:dyDescent="0.15">
      <c r="O19" s="437">
        <v>43264</v>
      </c>
      <c r="P19" s="399">
        <v>43264</v>
      </c>
      <c r="Q19" s="400"/>
      <c r="R19" s="400"/>
      <c r="S19" s="400"/>
      <c r="T19" s="400"/>
      <c r="U19" s="400">
        <v>95</v>
      </c>
      <c r="V19" s="421">
        <v>34</v>
      </c>
      <c r="W19" s="421"/>
      <c r="X19" s="421"/>
      <c r="Y19" s="400"/>
      <c r="Z19" s="421"/>
      <c r="AA19" s="421"/>
      <c r="AB19" s="438"/>
    </row>
    <row r="20" spans="15:28" ht="10.5" customHeight="1" x14ac:dyDescent="0.15">
      <c r="O20" s="437">
        <v>43269</v>
      </c>
      <c r="P20" s="399">
        <v>43269</v>
      </c>
      <c r="Q20" s="400"/>
      <c r="R20" s="400"/>
      <c r="S20" s="400"/>
      <c r="T20" s="400"/>
      <c r="U20" s="400">
        <v>160</v>
      </c>
      <c r="V20" s="421">
        <v>54</v>
      </c>
      <c r="W20" s="421"/>
      <c r="X20" s="421"/>
      <c r="Y20" s="400"/>
      <c r="Z20" s="421"/>
      <c r="AA20" s="421"/>
      <c r="AB20" s="438"/>
    </row>
    <row r="21" spans="15:28" ht="10.5" customHeight="1" x14ac:dyDescent="0.15">
      <c r="O21" s="437">
        <v>43274</v>
      </c>
      <c r="P21" s="399">
        <v>43274</v>
      </c>
      <c r="Q21" s="400"/>
      <c r="R21" s="400">
        <v>700</v>
      </c>
      <c r="S21" s="400"/>
      <c r="T21" s="400"/>
      <c r="U21" s="400"/>
      <c r="V21" s="421"/>
      <c r="W21" s="421" t="s">
        <v>821</v>
      </c>
      <c r="X21" s="421"/>
      <c r="Y21" s="400">
        <v>4750</v>
      </c>
      <c r="Z21" s="421" t="s">
        <v>822</v>
      </c>
      <c r="AA21" s="444">
        <f>R21*Y21/1000</f>
        <v>3325</v>
      </c>
      <c r="AB21" s="438" t="s">
        <v>825</v>
      </c>
    </row>
    <row r="22" spans="15:28" ht="10.5" customHeight="1" x14ac:dyDescent="0.15">
      <c r="O22" s="437">
        <v>43298</v>
      </c>
      <c r="P22" s="399">
        <v>43298</v>
      </c>
      <c r="Q22" s="400"/>
      <c r="R22" s="400"/>
      <c r="S22" s="400"/>
      <c r="T22" s="400"/>
      <c r="U22" s="400">
        <v>110</v>
      </c>
      <c r="V22" s="421">
        <v>47</v>
      </c>
      <c r="W22" s="421"/>
      <c r="X22" s="421"/>
      <c r="Y22" s="400"/>
      <c r="Z22" s="421"/>
      <c r="AA22" s="421"/>
      <c r="AB22" s="438"/>
    </row>
    <row r="23" spans="15:28" ht="10.5" customHeight="1" x14ac:dyDescent="0.15">
      <c r="O23" s="437">
        <v>43309</v>
      </c>
      <c r="P23" s="399">
        <v>43309</v>
      </c>
      <c r="Q23" s="400"/>
      <c r="R23" s="400"/>
      <c r="S23" s="400"/>
      <c r="T23" s="400">
        <v>1500</v>
      </c>
      <c r="U23" s="400">
        <v>349</v>
      </c>
      <c r="V23" s="421">
        <v>74</v>
      </c>
      <c r="W23" s="421" t="s">
        <v>821</v>
      </c>
      <c r="X23" s="421"/>
      <c r="Y23" s="400">
        <v>4630</v>
      </c>
      <c r="Z23" s="421" t="s">
        <v>822</v>
      </c>
      <c r="AA23" s="444">
        <f>T23*Y23/1000</f>
        <v>6945</v>
      </c>
      <c r="AB23" s="438" t="s">
        <v>826</v>
      </c>
    </row>
    <row r="24" spans="15:28" ht="10.5" customHeight="1" x14ac:dyDescent="0.15">
      <c r="O24" s="437">
        <v>43328</v>
      </c>
      <c r="P24" s="399">
        <v>43328</v>
      </c>
      <c r="Q24" s="400"/>
      <c r="R24" s="400"/>
      <c r="S24" s="400"/>
      <c r="T24" s="400"/>
      <c r="U24" s="400">
        <v>160</v>
      </c>
      <c r="V24" s="421">
        <v>59</v>
      </c>
      <c r="W24" s="421"/>
      <c r="X24" s="421"/>
      <c r="Y24" s="400"/>
      <c r="Z24" s="421"/>
      <c r="AA24" s="421"/>
      <c r="AB24" s="438"/>
    </row>
    <row r="25" spans="15:28" ht="10.5" customHeight="1" x14ac:dyDescent="0.15">
      <c r="O25" s="437">
        <v>43335</v>
      </c>
      <c r="P25" s="399">
        <v>43335</v>
      </c>
      <c r="Q25" s="400"/>
      <c r="R25" s="400">
        <v>300</v>
      </c>
      <c r="S25" s="400"/>
      <c r="T25" s="400"/>
      <c r="U25" s="400"/>
      <c r="V25" s="421"/>
      <c r="W25" s="421" t="s">
        <v>824</v>
      </c>
      <c r="X25" s="421"/>
      <c r="Y25" s="400">
        <v>2430</v>
      </c>
      <c r="Z25" s="421" t="s">
        <v>822</v>
      </c>
      <c r="AA25" s="444">
        <f>R25*Y25/1000</f>
        <v>729</v>
      </c>
      <c r="AB25" s="438" t="s">
        <v>825</v>
      </c>
    </row>
    <row r="26" spans="15:28" ht="10.5" customHeight="1" x14ac:dyDescent="0.15">
      <c r="O26" s="437">
        <v>43336</v>
      </c>
      <c r="P26" s="399">
        <v>43336</v>
      </c>
      <c r="Q26" s="400"/>
      <c r="R26" s="400"/>
      <c r="S26" s="400"/>
      <c r="T26" s="400"/>
      <c r="U26" s="400">
        <v>210</v>
      </c>
      <c r="V26" s="421">
        <v>56</v>
      </c>
      <c r="W26" s="421"/>
      <c r="X26" s="421"/>
      <c r="Y26" s="400"/>
      <c r="Z26" s="421"/>
      <c r="AA26" s="421"/>
      <c r="AB26" s="438"/>
    </row>
    <row r="27" spans="15:28" ht="10.5" customHeight="1" x14ac:dyDescent="0.15">
      <c r="O27" s="437">
        <v>43356</v>
      </c>
      <c r="P27" s="399">
        <v>43356</v>
      </c>
      <c r="Q27" s="400"/>
      <c r="R27" s="400"/>
      <c r="S27" s="400"/>
      <c r="T27" s="400"/>
      <c r="U27" s="400">
        <v>176</v>
      </c>
      <c r="V27" s="421">
        <v>33</v>
      </c>
      <c r="W27" s="421"/>
      <c r="X27" s="421"/>
      <c r="Y27" s="400"/>
      <c r="Z27" s="421"/>
      <c r="AA27" s="421"/>
      <c r="AB27" s="438"/>
    </row>
    <row r="28" spans="15:28" ht="10.5" customHeight="1" x14ac:dyDescent="0.15">
      <c r="O28" s="437">
        <v>43365</v>
      </c>
      <c r="P28" s="399">
        <v>43365</v>
      </c>
      <c r="Q28" s="400"/>
      <c r="R28" s="400">
        <v>700</v>
      </c>
      <c r="S28" s="400"/>
      <c r="T28" s="400"/>
      <c r="U28" s="400">
        <v>253</v>
      </c>
      <c r="V28" s="421">
        <v>56</v>
      </c>
      <c r="W28" s="421" t="s">
        <v>821</v>
      </c>
      <c r="X28" s="421"/>
      <c r="Y28" s="400">
        <v>3870</v>
      </c>
      <c r="Z28" s="421" t="s">
        <v>822</v>
      </c>
      <c r="AA28" s="444">
        <f>R28*Y28/1000</f>
        <v>2709</v>
      </c>
      <c r="AB28" s="438" t="s">
        <v>825</v>
      </c>
    </row>
    <row r="29" spans="15:28" ht="10.5" customHeight="1" x14ac:dyDescent="0.15">
      <c r="O29" s="437">
        <v>43389</v>
      </c>
      <c r="P29" s="399">
        <v>43389</v>
      </c>
      <c r="Q29" s="400"/>
      <c r="R29" s="400"/>
      <c r="S29" s="400"/>
      <c r="T29" s="400"/>
      <c r="U29" s="400">
        <v>208</v>
      </c>
      <c r="V29" s="421"/>
      <c r="W29" s="421"/>
      <c r="X29" s="421"/>
      <c r="Y29" s="400"/>
      <c r="Z29" s="421"/>
      <c r="AA29" s="421"/>
      <c r="AB29" s="438"/>
    </row>
    <row r="30" spans="15:28" ht="10.5" customHeight="1" x14ac:dyDescent="0.15">
      <c r="O30" s="437">
        <v>43393</v>
      </c>
      <c r="P30" s="399">
        <v>43393</v>
      </c>
      <c r="Q30" s="400"/>
      <c r="R30" s="400"/>
      <c r="S30" s="400"/>
      <c r="T30" s="400"/>
      <c r="U30" s="400"/>
      <c r="V30" s="421">
        <v>49</v>
      </c>
      <c r="W30" s="421"/>
      <c r="X30" s="421"/>
      <c r="Y30" s="400"/>
      <c r="Z30" s="421"/>
      <c r="AA30" s="421"/>
      <c r="AB30" s="438"/>
    </row>
    <row r="31" spans="15:28" ht="10.5" customHeight="1" x14ac:dyDescent="0.15">
      <c r="O31" s="437">
        <v>43399</v>
      </c>
      <c r="P31" s="399">
        <v>43399</v>
      </c>
      <c r="Q31" s="400"/>
      <c r="R31" s="400"/>
      <c r="S31" s="400"/>
      <c r="T31" s="400">
        <v>1500</v>
      </c>
      <c r="U31" s="400">
        <v>419</v>
      </c>
      <c r="V31" s="421">
        <v>98</v>
      </c>
      <c r="W31" s="421"/>
      <c r="X31" s="421"/>
      <c r="Y31" s="400"/>
      <c r="Z31" s="421"/>
      <c r="AA31" s="421"/>
      <c r="AB31" s="438"/>
    </row>
    <row r="32" spans="15:28" ht="10.5" customHeight="1" x14ac:dyDescent="0.15">
      <c r="O32" s="437">
        <v>43400</v>
      </c>
      <c r="P32" s="399">
        <v>43400</v>
      </c>
      <c r="Q32" s="400"/>
      <c r="R32" s="400"/>
      <c r="S32" s="400"/>
      <c r="T32" s="400">
        <v>1500</v>
      </c>
      <c r="U32" s="400"/>
      <c r="V32" s="421"/>
      <c r="W32" s="421" t="s">
        <v>821</v>
      </c>
      <c r="X32" s="421"/>
      <c r="Y32" s="400">
        <v>4770</v>
      </c>
      <c r="Z32" s="421" t="s">
        <v>822</v>
      </c>
      <c r="AA32" s="444">
        <f>T32*Y32/1000</f>
        <v>7155</v>
      </c>
      <c r="AB32" s="438" t="s">
        <v>826</v>
      </c>
    </row>
    <row r="33" spans="15:28" ht="10.5" customHeight="1" x14ac:dyDescent="0.15">
      <c r="O33" s="494">
        <v>43543</v>
      </c>
      <c r="P33" s="440">
        <v>43543</v>
      </c>
      <c r="Q33" s="441"/>
      <c r="R33" s="441"/>
      <c r="S33" s="441"/>
      <c r="T33" s="441"/>
      <c r="U33" s="441">
        <v>51</v>
      </c>
      <c r="V33" s="442">
        <v>9.5</v>
      </c>
      <c r="W33" s="442" t="s">
        <v>819</v>
      </c>
      <c r="X33" s="442"/>
      <c r="Y33" s="442"/>
      <c r="Z33" s="442"/>
      <c r="AA33" s="442"/>
      <c r="AB33" s="443"/>
    </row>
    <row r="34" spans="15:28" ht="13.5" customHeight="1" x14ac:dyDescent="0.15">
      <c r="O34" s="495" t="s">
        <v>820</v>
      </c>
      <c r="P34" s="493"/>
      <c r="Q34" s="448"/>
      <c r="R34" s="448"/>
      <c r="S34" s="448"/>
      <c r="T34" s="448"/>
      <c r="U34" s="448"/>
      <c r="V34" s="448"/>
      <c r="W34" s="448"/>
      <c r="X34" s="449"/>
      <c r="Y34" s="449"/>
      <c r="Z34" s="449"/>
      <c r="AA34" s="449"/>
      <c r="AB34" s="450"/>
    </row>
    <row r="35" spans="15:28" ht="9.9499999999999993" customHeight="1" x14ac:dyDescent="0.15">
      <c r="O35" s="432">
        <v>40831</v>
      </c>
      <c r="P35" s="433">
        <v>40831</v>
      </c>
      <c r="Q35" s="434"/>
      <c r="R35" s="434"/>
      <c r="S35" s="434"/>
      <c r="T35" s="434"/>
      <c r="U35" s="434">
        <v>1630</v>
      </c>
      <c r="V35" s="434"/>
      <c r="W35" s="434"/>
      <c r="X35" s="451"/>
      <c r="Y35" s="451"/>
      <c r="Z35" s="451"/>
      <c r="AA35" s="451"/>
      <c r="AB35" s="452"/>
    </row>
    <row r="36" spans="15:28" ht="9.9499999999999993" customHeight="1" x14ac:dyDescent="0.15">
      <c r="O36" s="453">
        <v>43209</v>
      </c>
      <c r="P36" s="399">
        <v>43209</v>
      </c>
      <c r="Q36" s="400"/>
      <c r="R36" s="400"/>
      <c r="S36" s="400"/>
      <c r="T36" s="400"/>
      <c r="U36" s="400">
        <v>110</v>
      </c>
      <c r="V36" s="400">
        <v>32</v>
      </c>
      <c r="W36" s="400"/>
      <c r="X36" s="401"/>
      <c r="Y36" s="401"/>
      <c r="Z36" s="401"/>
      <c r="AA36" s="401"/>
      <c r="AB36" s="454"/>
    </row>
    <row r="37" spans="15:28" ht="9.9499999999999993" customHeight="1" x14ac:dyDescent="0.15">
      <c r="O37" s="453">
        <v>43241</v>
      </c>
      <c r="P37" s="399">
        <v>43241</v>
      </c>
      <c r="Q37" s="400"/>
      <c r="R37" s="400"/>
      <c r="S37" s="400"/>
      <c r="T37" s="400"/>
      <c r="U37" s="400">
        <v>373</v>
      </c>
      <c r="V37" s="400">
        <v>110</v>
      </c>
      <c r="W37" s="400"/>
      <c r="X37" s="401"/>
      <c r="Y37" s="401"/>
      <c r="Z37" s="401"/>
      <c r="AA37" s="401"/>
      <c r="AB37" s="454"/>
    </row>
    <row r="38" spans="15:28" ht="9.9499999999999993" customHeight="1" x14ac:dyDescent="0.15">
      <c r="O38" s="455">
        <v>43242</v>
      </c>
      <c r="P38" s="399">
        <f t="shared" ref="P38:P55" si="1">O38</f>
        <v>43242</v>
      </c>
      <c r="Q38" s="400">
        <v>890</v>
      </c>
      <c r="R38" s="400">
        <v>300</v>
      </c>
      <c r="S38" s="400"/>
      <c r="T38" s="400"/>
      <c r="U38" s="400"/>
      <c r="V38" s="400"/>
      <c r="W38" s="421"/>
      <c r="X38" s="400"/>
      <c r="Y38" s="400"/>
      <c r="Z38" s="400"/>
      <c r="AA38" s="400"/>
      <c r="AB38" s="454"/>
    </row>
    <row r="39" spans="15:28" ht="9.9499999999999993" customHeight="1" x14ac:dyDescent="0.15">
      <c r="O39" s="455">
        <v>43243</v>
      </c>
      <c r="P39" s="399">
        <f t="shared" si="1"/>
        <v>43243</v>
      </c>
      <c r="Q39" s="400">
        <v>990</v>
      </c>
      <c r="R39" s="400">
        <v>300</v>
      </c>
      <c r="S39" s="400"/>
      <c r="T39" s="400"/>
      <c r="U39" s="400"/>
      <c r="V39" s="400"/>
      <c r="W39" s="421"/>
      <c r="X39" s="400"/>
      <c r="Y39" s="400"/>
      <c r="Z39" s="400"/>
      <c r="AA39" s="400"/>
      <c r="AB39" s="454"/>
    </row>
    <row r="40" spans="15:28" ht="9.9499999999999993" customHeight="1" x14ac:dyDescent="0.15">
      <c r="O40" s="455">
        <v>43244</v>
      </c>
      <c r="P40" s="399">
        <f t="shared" si="1"/>
        <v>43244</v>
      </c>
      <c r="Q40" s="400">
        <v>930</v>
      </c>
      <c r="R40" s="400">
        <v>300</v>
      </c>
      <c r="S40" s="400"/>
      <c r="T40" s="400"/>
      <c r="U40" s="400"/>
      <c r="V40" s="400"/>
      <c r="W40" s="421"/>
      <c r="X40" s="400"/>
      <c r="Y40" s="400"/>
      <c r="Z40" s="400"/>
      <c r="AA40" s="400"/>
      <c r="AB40" s="454"/>
    </row>
    <row r="41" spans="15:28" ht="9.9499999999999993" customHeight="1" x14ac:dyDescent="0.15">
      <c r="O41" s="455">
        <v>43245</v>
      </c>
      <c r="P41" s="399">
        <f t="shared" si="1"/>
        <v>43245</v>
      </c>
      <c r="Q41" s="400">
        <v>980</v>
      </c>
      <c r="R41" s="400">
        <v>300</v>
      </c>
      <c r="S41" s="400"/>
      <c r="T41" s="400"/>
      <c r="U41" s="400"/>
      <c r="V41" s="400"/>
      <c r="W41" s="421"/>
      <c r="X41" s="400"/>
      <c r="Y41" s="400"/>
      <c r="Z41" s="400"/>
      <c r="AA41" s="400"/>
      <c r="AB41" s="454"/>
    </row>
    <row r="42" spans="15:28" ht="9.9499999999999993" customHeight="1" x14ac:dyDescent="0.15">
      <c r="O42" s="455">
        <v>43246</v>
      </c>
      <c r="P42" s="399">
        <f t="shared" si="1"/>
        <v>43246</v>
      </c>
      <c r="Q42" s="400">
        <v>900</v>
      </c>
      <c r="R42" s="400">
        <v>300</v>
      </c>
      <c r="S42" s="400"/>
      <c r="T42" s="400"/>
      <c r="U42" s="400"/>
      <c r="V42" s="400"/>
      <c r="W42" s="421" t="s">
        <v>821</v>
      </c>
      <c r="X42" s="400"/>
      <c r="Y42" s="431">
        <f>SUM(Q38:Q42)</f>
        <v>4690</v>
      </c>
      <c r="Z42" s="400" t="s">
        <v>823</v>
      </c>
      <c r="AA42" s="400"/>
      <c r="AB42" s="454"/>
    </row>
    <row r="43" spans="15:28" ht="9.9499999999999993" customHeight="1" x14ac:dyDescent="0.15">
      <c r="O43" s="455">
        <v>43264</v>
      </c>
      <c r="P43" s="399">
        <f t="shared" si="1"/>
        <v>43264</v>
      </c>
      <c r="Q43" s="400"/>
      <c r="R43" s="400"/>
      <c r="S43" s="400"/>
      <c r="T43" s="400"/>
      <c r="U43" s="400">
        <v>95</v>
      </c>
      <c r="V43" s="400">
        <v>34</v>
      </c>
      <c r="W43" s="421"/>
      <c r="X43" s="421"/>
      <c r="Y43" s="421"/>
      <c r="Z43" s="421"/>
      <c r="AA43" s="421"/>
      <c r="AB43" s="454"/>
    </row>
    <row r="44" spans="15:28" ht="9.9499999999999993" customHeight="1" x14ac:dyDescent="0.15">
      <c r="O44" s="453">
        <v>43269</v>
      </c>
      <c r="P44" s="399">
        <f t="shared" si="1"/>
        <v>43269</v>
      </c>
      <c r="Q44" s="400"/>
      <c r="R44" s="400"/>
      <c r="S44" s="400"/>
      <c r="T44" s="400"/>
      <c r="U44" s="400">
        <v>160</v>
      </c>
      <c r="V44" s="400">
        <v>54</v>
      </c>
      <c r="W44" s="421"/>
      <c r="X44" s="421"/>
      <c r="Y44" s="421"/>
      <c r="Z44" s="421"/>
      <c r="AA44" s="421"/>
      <c r="AB44" s="454"/>
    </row>
    <row r="45" spans="15:28" ht="9.9499999999999993" customHeight="1" x14ac:dyDescent="0.15">
      <c r="O45" s="453">
        <v>43270</v>
      </c>
      <c r="P45" s="399">
        <f t="shared" si="1"/>
        <v>43270</v>
      </c>
      <c r="Q45" s="400">
        <v>990</v>
      </c>
      <c r="R45" s="400">
        <v>700</v>
      </c>
      <c r="S45" s="400"/>
      <c r="T45" s="400"/>
      <c r="U45" s="400"/>
      <c r="V45" s="400"/>
      <c r="W45" s="421"/>
      <c r="X45" s="421"/>
      <c r="Y45" s="421"/>
      <c r="Z45" s="421"/>
      <c r="AA45" s="421"/>
      <c r="AB45" s="454"/>
    </row>
    <row r="46" spans="15:28" ht="9.9499999999999993" customHeight="1" x14ac:dyDescent="0.15">
      <c r="O46" s="453">
        <v>43271</v>
      </c>
      <c r="P46" s="399">
        <f t="shared" si="1"/>
        <v>43271</v>
      </c>
      <c r="Q46" s="400">
        <v>980</v>
      </c>
      <c r="R46" s="400">
        <v>700</v>
      </c>
      <c r="S46" s="400"/>
      <c r="T46" s="400"/>
      <c r="U46" s="400"/>
      <c r="V46" s="400"/>
      <c r="W46" s="421"/>
      <c r="X46" s="421"/>
      <c r="Y46" s="421"/>
      <c r="Z46" s="421"/>
      <c r="AA46" s="421"/>
      <c r="AB46" s="454"/>
    </row>
    <row r="47" spans="15:28" ht="9.9499999999999993" customHeight="1" x14ac:dyDescent="0.15">
      <c r="O47" s="453">
        <v>43272</v>
      </c>
      <c r="P47" s="399">
        <f t="shared" si="1"/>
        <v>43272</v>
      </c>
      <c r="Q47" s="400">
        <v>970</v>
      </c>
      <c r="R47" s="400">
        <v>700</v>
      </c>
      <c r="S47" s="400"/>
      <c r="T47" s="400"/>
      <c r="U47" s="400"/>
      <c r="V47" s="400"/>
      <c r="W47" s="421"/>
      <c r="X47" s="421"/>
      <c r="Y47" s="421"/>
      <c r="Z47" s="421"/>
      <c r="AA47" s="421"/>
      <c r="AB47" s="454"/>
    </row>
    <row r="48" spans="15:28" ht="9.9499999999999993" customHeight="1" x14ac:dyDescent="0.15">
      <c r="O48" s="453">
        <v>43273</v>
      </c>
      <c r="P48" s="399">
        <f t="shared" si="1"/>
        <v>43273</v>
      </c>
      <c r="Q48" s="400">
        <v>940</v>
      </c>
      <c r="R48" s="400">
        <v>700</v>
      </c>
      <c r="S48" s="400"/>
      <c r="T48" s="400"/>
      <c r="U48" s="400"/>
      <c r="V48" s="400"/>
      <c r="W48" s="421"/>
      <c r="X48" s="421"/>
      <c r="Y48" s="421"/>
      <c r="Z48" s="421"/>
      <c r="AA48" s="430"/>
      <c r="AB48" s="454"/>
    </row>
    <row r="49" spans="15:28" ht="9.9499999999999993" customHeight="1" x14ac:dyDescent="0.15">
      <c r="O49" s="453">
        <v>43274</v>
      </c>
      <c r="P49" s="399">
        <f t="shared" si="1"/>
        <v>43274</v>
      </c>
      <c r="Q49" s="400">
        <v>870</v>
      </c>
      <c r="R49" s="400">
        <v>700</v>
      </c>
      <c r="S49" s="400"/>
      <c r="T49" s="400"/>
      <c r="U49" s="400"/>
      <c r="V49" s="400"/>
      <c r="W49" s="421" t="s">
        <v>821</v>
      </c>
      <c r="X49" s="400"/>
      <c r="Y49" s="431">
        <f>SUM(Q45:Q49)</f>
        <v>4750</v>
      </c>
      <c r="Z49" s="400" t="s">
        <v>823</v>
      </c>
      <c r="AA49" s="430"/>
      <c r="AB49" s="454"/>
    </row>
    <row r="50" spans="15:28" ht="9.9499999999999993" customHeight="1" x14ac:dyDescent="0.15">
      <c r="O50" s="437">
        <v>43298</v>
      </c>
      <c r="P50" s="399">
        <f t="shared" si="1"/>
        <v>43298</v>
      </c>
      <c r="Q50" s="400"/>
      <c r="R50" s="400"/>
      <c r="S50" s="400"/>
      <c r="T50" s="400"/>
      <c r="U50" s="400">
        <v>110</v>
      </c>
      <c r="V50" s="400">
        <v>47</v>
      </c>
      <c r="W50" s="421"/>
      <c r="X50" s="421"/>
      <c r="Y50" s="421"/>
      <c r="Z50" s="421"/>
      <c r="AA50" s="421"/>
      <c r="AB50" s="438"/>
    </row>
    <row r="51" spans="15:28" ht="9.9499999999999993" customHeight="1" x14ac:dyDescent="0.15">
      <c r="O51" s="455">
        <v>43305</v>
      </c>
      <c r="P51" s="399">
        <f t="shared" si="1"/>
        <v>43305</v>
      </c>
      <c r="Q51" s="400"/>
      <c r="R51" s="400"/>
      <c r="S51" s="400">
        <v>950</v>
      </c>
      <c r="T51" s="400">
        <v>1500</v>
      </c>
      <c r="U51" s="400"/>
      <c r="V51" s="400"/>
      <c r="W51" s="421"/>
      <c r="X51" s="421"/>
      <c r="Y51" s="421"/>
      <c r="Z51" s="421"/>
      <c r="AA51" s="421"/>
      <c r="AB51" s="438"/>
    </row>
    <row r="52" spans="15:28" ht="9.9499999999999993" customHeight="1" x14ac:dyDescent="0.15">
      <c r="O52" s="455">
        <v>43306</v>
      </c>
      <c r="P52" s="399">
        <f t="shared" si="1"/>
        <v>43306</v>
      </c>
      <c r="Q52" s="400"/>
      <c r="R52" s="400"/>
      <c r="S52" s="400">
        <v>940</v>
      </c>
      <c r="T52" s="400">
        <v>1500</v>
      </c>
      <c r="U52" s="400"/>
      <c r="V52" s="400"/>
      <c r="W52" s="421"/>
      <c r="X52" s="421"/>
      <c r="Y52" s="421"/>
      <c r="Z52" s="421"/>
      <c r="AA52" s="421"/>
      <c r="AB52" s="438"/>
    </row>
    <row r="53" spans="15:28" ht="9.9499999999999993" customHeight="1" x14ac:dyDescent="0.15">
      <c r="O53" s="455">
        <v>43307</v>
      </c>
      <c r="P53" s="399">
        <f t="shared" si="1"/>
        <v>43307</v>
      </c>
      <c r="Q53" s="400"/>
      <c r="R53" s="400"/>
      <c r="S53" s="400">
        <v>920</v>
      </c>
      <c r="T53" s="400">
        <v>1500</v>
      </c>
      <c r="U53" s="400"/>
      <c r="V53" s="400"/>
      <c r="W53" s="421"/>
      <c r="X53" s="421"/>
      <c r="Y53" s="421"/>
      <c r="Z53" s="421"/>
      <c r="AA53" s="421"/>
      <c r="AB53" s="438"/>
    </row>
    <row r="54" spans="15:28" ht="9.9499999999999993" customHeight="1" x14ac:dyDescent="0.15">
      <c r="O54" s="455">
        <v>43308</v>
      </c>
      <c r="P54" s="399">
        <f t="shared" si="1"/>
        <v>43308</v>
      </c>
      <c r="Q54" s="400"/>
      <c r="R54" s="400"/>
      <c r="S54" s="400">
        <v>950</v>
      </c>
      <c r="T54" s="400">
        <v>1500</v>
      </c>
      <c r="U54" s="400"/>
      <c r="V54" s="400"/>
      <c r="W54" s="421"/>
      <c r="X54" s="421"/>
      <c r="Y54" s="421"/>
      <c r="Z54" s="421"/>
      <c r="AA54" s="421"/>
      <c r="AB54" s="438"/>
    </row>
    <row r="55" spans="15:28" ht="9.9499999999999993" customHeight="1" x14ac:dyDescent="0.15">
      <c r="O55" s="455">
        <v>43309</v>
      </c>
      <c r="P55" s="399">
        <f t="shared" si="1"/>
        <v>43309</v>
      </c>
      <c r="Q55" s="400"/>
      <c r="R55" s="400"/>
      <c r="S55" s="400">
        <v>870</v>
      </c>
      <c r="T55" s="400">
        <v>1500</v>
      </c>
      <c r="U55" s="400">
        <v>349</v>
      </c>
      <c r="V55" s="400">
        <v>74</v>
      </c>
      <c r="W55" s="421" t="s">
        <v>821</v>
      </c>
      <c r="X55" s="400"/>
      <c r="Y55" s="431">
        <f>SUM(S51:S55)</f>
        <v>4630</v>
      </c>
      <c r="Z55" s="400" t="s">
        <v>823</v>
      </c>
      <c r="AA55" s="421"/>
      <c r="AB55" s="438"/>
    </row>
    <row r="56" spans="15:28" ht="9.9499999999999993" customHeight="1" x14ac:dyDescent="0.15">
      <c r="O56" s="455">
        <v>43328</v>
      </c>
      <c r="P56" s="399">
        <f t="shared" ref="P56:P73" si="2">O56</f>
        <v>43328</v>
      </c>
      <c r="Q56" s="400"/>
      <c r="R56" s="400"/>
      <c r="S56" s="400"/>
      <c r="T56" s="400"/>
      <c r="U56" s="400">
        <v>160</v>
      </c>
      <c r="V56" s="400">
        <v>59</v>
      </c>
      <c r="W56" s="421"/>
      <c r="X56" s="421"/>
      <c r="Y56" s="421"/>
      <c r="Z56" s="421"/>
      <c r="AA56" s="421"/>
      <c r="AB56" s="438"/>
    </row>
    <row r="57" spans="15:28" ht="9.9499999999999993" customHeight="1" x14ac:dyDescent="0.15">
      <c r="O57" s="437">
        <v>43333</v>
      </c>
      <c r="P57" s="399">
        <f t="shared" si="2"/>
        <v>43333</v>
      </c>
      <c r="Q57" s="400">
        <v>740</v>
      </c>
      <c r="R57" s="400">
        <v>300</v>
      </c>
      <c r="S57" s="400"/>
      <c r="T57" s="400"/>
      <c r="U57" s="400"/>
      <c r="V57" s="400"/>
      <c r="W57" s="421"/>
      <c r="X57" s="421"/>
      <c r="Y57" s="421"/>
      <c r="Z57" s="421"/>
      <c r="AA57" s="421"/>
      <c r="AB57" s="438"/>
    </row>
    <row r="58" spans="15:28" ht="9.9499999999999993" customHeight="1" x14ac:dyDescent="0.15">
      <c r="O58" s="437">
        <v>43334</v>
      </c>
      <c r="P58" s="399">
        <f t="shared" si="2"/>
        <v>43334</v>
      </c>
      <c r="Q58" s="400">
        <v>870</v>
      </c>
      <c r="R58" s="400">
        <v>300</v>
      </c>
      <c r="S58" s="400"/>
      <c r="T58" s="400"/>
      <c r="U58" s="400"/>
      <c r="V58" s="400"/>
      <c r="W58" s="421"/>
      <c r="X58" s="421"/>
      <c r="Y58" s="421"/>
      <c r="Z58" s="421"/>
      <c r="AA58" s="421"/>
      <c r="AB58" s="438"/>
    </row>
    <row r="59" spans="15:28" ht="9.9499999999999993" customHeight="1" x14ac:dyDescent="0.15">
      <c r="O59" s="437">
        <v>43335</v>
      </c>
      <c r="P59" s="399">
        <f t="shared" si="2"/>
        <v>43335</v>
      </c>
      <c r="Q59" s="400">
        <v>820</v>
      </c>
      <c r="R59" s="400">
        <v>300</v>
      </c>
      <c r="S59" s="400"/>
      <c r="T59" s="400"/>
      <c r="U59" s="400"/>
      <c r="V59" s="400"/>
      <c r="W59" s="421" t="s">
        <v>824</v>
      </c>
      <c r="X59" s="400"/>
      <c r="Y59" s="431">
        <f>SUM(Q57:Q59)</f>
        <v>2430</v>
      </c>
      <c r="Z59" s="400" t="s">
        <v>823</v>
      </c>
      <c r="AA59" s="421"/>
      <c r="AB59" s="438"/>
    </row>
    <row r="60" spans="15:28" ht="9.9499999999999993" customHeight="1" x14ac:dyDescent="0.15">
      <c r="O60" s="437">
        <v>43336</v>
      </c>
      <c r="P60" s="399">
        <f t="shared" si="2"/>
        <v>43336</v>
      </c>
      <c r="Q60" s="400"/>
      <c r="R60" s="400"/>
      <c r="S60" s="400"/>
      <c r="T60" s="400"/>
      <c r="U60" s="400">
        <v>210</v>
      </c>
      <c r="V60" s="400">
        <v>56</v>
      </c>
      <c r="W60" s="421"/>
      <c r="X60" s="421"/>
      <c r="Y60" s="421"/>
      <c r="Z60" s="421"/>
      <c r="AA60" s="421"/>
      <c r="AB60" s="438"/>
    </row>
    <row r="61" spans="15:28" ht="9.9499999999999993" customHeight="1" x14ac:dyDescent="0.15">
      <c r="O61" s="437">
        <v>43356</v>
      </c>
      <c r="P61" s="399">
        <f t="shared" si="2"/>
        <v>43356</v>
      </c>
      <c r="Q61" s="400"/>
      <c r="R61" s="400"/>
      <c r="S61" s="400"/>
      <c r="T61" s="400"/>
      <c r="U61" s="400">
        <v>176</v>
      </c>
      <c r="V61" s="400">
        <v>33</v>
      </c>
      <c r="W61" s="421"/>
      <c r="X61" s="421"/>
      <c r="Y61" s="421"/>
      <c r="Z61" s="421"/>
      <c r="AA61" s="421"/>
      <c r="AB61" s="438"/>
    </row>
    <row r="62" spans="15:28" ht="9.9499999999999993" customHeight="1" x14ac:dyDescent="0.15">
      <c r="O62" s="437">
        <v>43361</v>
      </c>
      <c r="P62" s="399">
        <f t="shared" si="2"/>
        <v>43361</v>
      </c>
      <c r="Q62" s="400">
        <v>550</v>
      </c>
      <c r="R62" s="400">
        <v>700</v>
      </c>
      <c r="S62" s="400"/>
      <c r="T62" s="400"/>
      <c r="U62" s="400"/>
      <c r="V62" s="400"/>
      <c r="W62" s="421"/>
      <c r="X62" s="421"/>
      <c r="Y62" s="421"/>
      <c r="Z62" s="421"/>
      <c r="AA62" s="421"/>
      <c r="AB62" s="438"/>
    </row>
    <row r="63" spans="15:28" ht="9.9499999999999993" customHeight="1" x14ac:dyDescent="0.15">
      <c r="O63" s="437">
        <v>43362</v>
      </c>
      <c r="P63" s="399">
        <f t="shared" si="2"/>
        <v>43362</v>
      </c>
      <c r="Q63" s="400">
        <v>840</v>
      </c>
      <c r="R63" s="400">
        <v>700</v>
      </c>
      <c r="S63" s="400"/>
      <c r="T63" s="400"/>
      <c r="U63" s="400"/>
      <c r="V63" s="400"/>
      <c r="W63" s="421"/>
      <c r="X63" s="421"/>
      <c r="Y63" s="421"/>
      <c r="Z63" s="421"/>
      <c r="AA63" s="421"/>
      <c r="AB63" s="438"/>
    </row>
    <row r="64" spans="15:28" ht="9.9499999999999993" customHeight="1" x14ac:dyDescent="0.15">
      <c r="O64" s="437">
        <v>43363</v>
      </c>
      <c r="P64" s="399">
        <f t="shared" si="2"/>
        <v>43363</v>
      </c>
      <c r="Q64" s="400">
        <v>760</v>
      </c>
      <c r="R64" s="400">
        <v>700</v>
      </c>
      <c r="S64" s="400"/>
      <c r="T64" s="400"/>
      <c r="U64" s="400"/>
      <c r="V64" s="400"/>
      <c r="W64" s="421"/>
      <c r="X64" s="421"/>
      <c r="Y64" s="421"/>
      <c r="Z64" s="421"/>
      <c r="AA64" s="421"/>
      <c r="AB64" s="438"/>
    </row>
    <row r="65" spans="7:53" ht="9.9499999999999993" customHeight="1" x14ac:dyDescent="0.15">
      <c r="O65" s="437">
        <v>43364</v>
      </c>
      <c r="P65" s="399">
        <f t="shared" si="2"/>
        <v>43364</v>
      </c>
      <c r="Q65" s="400">
        <v>860</v>
      </c>
      <c r="R65" s="400">
        <v>700</v>
      </c>
      <c r="S65" s="400"/>
      <c r="T65" s="400"/>
      <c r="U65" s="400"/>
      <c r="V65" s="400"/>
      <c r="W65" s="421"/>
      <c r="X65" s="421"/>
      <c r="Y65" s="421"/>
      <c r="Z65" s="421"/>
      <c r="AA65" s="421"/>
      <c r="AB65" s="438"/>
    </row>
    <row r="66" spans="7:53" ht="9.9499999999999993" customHeight="1" x14ac:dyDescent="0.15">
      <c r="O66" s="437">
        <v>43365</v>
      </c>
      <c r="P66" s="399">
        <f t="shared" si="2"/>
        <v>43365</v>
      </c>
      <c r="Q66" s="400">
        <v>860</v>
      </c>
      <c r="R66" s="400">
        <v>700</v>
      </c>
      <c r="S66" s="400"/>
      <c r="T66" s="400"/>
      <c r="U66" s="400">
        <v>253</v>
      </c>
      <c r="V66" s="400">
        <v>56</v>
      </c>
      <c r="W66" s="421" t="s">
        <v>821</v>
      </c>
      <c r="X66" s="400"/>
      <c r="Y66" s="431">
        <f>SUM(Q62:Q66)</f>
        <v>3870</v>
      </c>
      <c r="Z66" s="400" t="s">
        <v>823</v>
      </c>
      <c r="AA66" s="421"/>
      <c r="AB66" s="438"/>
    </row>
    <row r="67" spans="7:53" ht="9.9499999999999993" customHeight="1" x14ac:dyDescent="0.15">
      <c r="O67" s="437">
        <v>43389</v>
      </c>
      <c r="P67" s="399">
        <f t="shared" si="2"/>
        <v>43389</v>
      </c>
      <c r="Q67" s="400"/>
      <c r="R67" s="400"/>
      <c r="S67" s="400"/>
      <c r="T67" s="400"/>
      <c r="U67" s="400">
        <v>208</v>
      </c>
      <c r="V67" s="400"/>
      <c r="W67" s="421"/>
      <c r="X67" s="421"/>
      <c r="Y67" s="421"/>
      <c r="Z67" s="421"/>
      <c r="AA67" s="421"/>
      <c r="AB67" s="438"/>
    </row>
    <row r="68" spans="7:53" ht="9.9499999999999993" customHeight="1" x14ac:dyDescent="0.15">
      <c r="O68" s="437">
        <v>43393</v>
      </c>
      <c r="P68" s="399">
        <f t="shared" si="2"/>
        <v>43393</v>
      </c>
      <c r="Q68" s="400"/>
      <c r="R68" s="400"/>
      <c r="S68" s="400"/>
      <c r="T68" s="400"/>
      <c r="U68" s="400"/>
      <c r="V68" s="400">
        <v>49</v>
      </c>
      <c r="W68" s="421"/>
      <c r="X68" s="421"/>
      <c r="Y68" s="421"/>
      <c r="Z68" s="421"/>
      <c r="AA68" s="421"/>
      <c r="AB68" s="438"/>
    </row>
    <row r="69" spans="7:53" ht="9.9499999999999993" customHeight="1" x14ac:dyDescent="0.15">
      <c r="O69" s="437">
        <v>43396</v>
      </c>
      <c r="P69" s="399">
        <f t="shared" si="2"/>
        <v>43396</v>
      </c>
      <c r="Q69" s="400"/>
      <c r="R69" s="400"/>
      <c r="S69" s="400">
        <v>940</v>
      </c>
      <c r="T69" s="400">
        <v>1500</v>
      </c>
      <c r="U69" s="400"/>
      <c r="V69" s="400"/>
      <c r="W69" s="421"/>
      <c r="X69" s="421"/>
      <c r="Y69" s="421"/>
      <c r="Z69" s="421"/>
      <c r="AA69" s="421"/>
      <c r="AB69" s="438"/>
    </row>
    <row r="70" spans="7:53" ht="9.9499999999999993" customHeight="1" x14ac:dyDescent="0.15">
      <c r="O70" s="437">
        <v>43397</v>
      </c>
      <c r="P70" s="399">
        <f t="shared" si="2"/>
        <v>43397</v>
      </c>
      <c r="Q70" s="400"/>
      <c r="R70" s="400"/>
      <c r="S70" s="400">
        <v>970</v>
      </c>
      <c r="T70" s="400">
        <v>1500</v>
      </c>
      <c r="U70" s="400"/>
      <c r="V70" s="400"/>
      <c r="W70" s="421"/>
      <c r="X70" s="421"/>
      <c r="Y70" s="421"/>
      <c r="Z70" s="421"/>
      <c r="AA70" s="421"/>
      <c r="AB70" s="438"/>
    </row>
    <row r="71" spans="7:53" ht="9.9499999999999993" customHeight="1" x14ac:dyDescent="0.15">
      <c r="O71" s="437">
        <v>43398</v>
      </c>
      <c r="P71" s="399">
        <f t="shared" si="2"/>
        <v>43398</v>
      </c>
      <c r="Q71" s="400"/>
      <c r="R71" s="400"/>
      <c r="S71" s="400">
        <v>980</v>
      </c>
      <c r="T71" s="400">
        <v>1500</v>
      </c>
      <c r="U71" s="400"/>
      <c r="V71" s="400"/>
      <c r="W71" s="421"/>
      <c r="X71" s="421"/>
      <c r="Y71" s="421"/>
      <c r="Z71" s="421"/>
      <c r="AA71" s="421"/>
      <c r="AB71" s="438"/>
    </row>
    <row r="72" spans="7:53" ht="9.9499999999999993" customHeight="1" x14ac:dyDescent="0.15">
      <c r="O72" s="437">
        <v>43399</v>
      </c>
      <c r="P72" s="399">
        <f t="shared" si="2"/>
        <v>43399</v>
      </c>
      <c r="Q72" s="400"/>
      <c r="R72" s="400"/>
      <c r="S72" s="400">
        <v>950</v>
      </c>
      <c r="T72" s="400">
        <v>1500</v>
      </c>
      <c r="U72" s="400">
        <v>419</v>
      </c>
      <c r="V72" s="400">
        <v>98</v>
      </c>
      <c r="W72" s="421"/>
      <c r="X72" s="421"/>
      <c r="Y72" s="421"/>
      <c r="Z72" s="421"/>
      <c r="AA72" s="421"/>
      <c r="AB72" s="438"/>
    </row>
    <row r="73" spans="7:53" ht="9.9499999999999993" customHeight="1" x14ac:dyDescent="0.15">
      <c r="O73" s="437">
        <v>43400</v>
      </c>
      <c r="P73" s="399">
        <f t="shared" si="2"/>
        <v>43400</v>
      </c>
      <c r="Q73" s="400"/>
      <c r="R73" s="400"/>
      <c r="S73" s="400">
        <v>930</v>
      </c>
      <c r="T73" s="400">
        <v>1500</v>
      </c>
      <c r="U73" s="400"/>
      <c r="V73" s="400"/>
      <c r="W73" s="421" t="s">
        <v>821</v>
      </c>
      <c r="X73" s="400"/>
      <c r="Y73" s="431">
        <f>SUM(S69:S73)</f>
        <v>4770</v>
      </c>
      <c r="Z73" s="400" t="s">
        <v>823</v>
      </c>
      <c r="AA73" s="421"/>
      <c r="AB73" s="438"/>
    </row>
    <row r="74" spans="7:53" ht="10.5" customHeight="1" x14ac:dyDescent="0.15">
      <c r="O74" s="437">
        <v>43424</v>
      </c>
      <c r="P74" s="399">
        <f t="shared" ref="P74:P78" si="3">O74</f>
        <v>43424</v>
      </c>
      <c r="Q74" s="400"/>
      <c r="R74" s="400"/>
      <c r="S74" s="400"/>
      <c r="T74" s="400"/>
      <c r="U74" s="400">
        <v>165</v>
      </c>
      <c r="V74" s="400">
        <v>58</v>
      </c>
      <c r="W74" s="421"/>
      <c r="X74" s="421"/>
      <c r="Y74" s="421"/>
      <c r="Z74" s="421"/>
      <c r="AA74" s="421"/>
      <c r="AB74" s="438"/>
    </row>
    <row r="75" spans="7:53" ht="10.5" customHeight="1" x14ac:dyDescent="0.15">
      <c r="O75" s="437">
        <v>43454</v>
      </c>
      <c r="P75" s="399">
        <f t="shared" si="3"/>
        <v>43454</v>
      </c>
      <c r="Q75" s="400"/>
      <c r="R75" s="400"/>
      <c r="S75" s="400"/>
      <c r="T75" s="400"/>
      <c r="U75" s="400">
        <v>170</v>
      </c>
      <c r="V75" s="400">
        <v>45</v>
      </c>
      <c r="W75" s="421"/>
      <c r="X75" s="421"/>
      <c r="Y75" s="421"/>
      <c r="Z75" s="421"/>
      <c r="AA75" s="421"/>
      <c r="AB75" s="438"/>
    </row>
    <row r="76" spans="7:53" ht="10.5" customHeight="1" x14ac:dyDescent="0.15">
      <c r="O76" s="437">
        <v>43482</v>
      </c>
      <c r="P76" s="399">
        <f t="shared" si="3"/>
        <v>43482</v>
      </c>
      <c r="Q76" s="400"/>
      <c r="R76" s="400"/>
      <c r="S76" s="400"/>
      <c r="T76" s="400"/>
      <c r="U76" s="400">
        <v>130</v>
      </c>
      <c r="V76" s="400">
        <v>81</v>
      </c>
      <c r="W76" s="421"/>
      <c r="X76" s="421"/>
      <c r="Y76" s="421"/>
      <c r="Z76" s="421"/>
      <c r="AA76" s="421"/>
      <c r="AB76" s="438"/>
    </row>
    <row r="77" spans="7:53" ht="10.5" customHeight="1" x14ac:dyDescent="0.15">
      <c r="O77" s="437">
        <v>43515</v>
      </c>
      <c r="P77" s="399">
        <f t="shared" si="3"/>
        <v>43515</v>
      </c>
      <c r="Q77" s="400"/>
      <c r="R77" s="400"/>
      <c r="S77" s="400"/>
      <c r="T77" s="400"/>
      <c r="U77" s="400">
        <v>66</v>
      </c>
      <c r="V77" s="400">
        <v>19</v>
      </c>
      <c r="W77" s="421"/>
      <c r="X77" s="421"/>
      <c r="Y77" s="421"/>
      <c r="Z77" s="421"/>
      <c r="AA77" s="421"/>
      <c r="AB77" s="438"/>
    </row>
    <row r="78" spans="7:53" ht="10.5" customHeight="1" x14ac:dyDescent="0.15">
      <c r="O78" s="439">
        <v>43543</v>
      </c>
      <c r="P78" s="440">
        <f t="shared" si="3"/>
        <v>43543</v>
      </c>
      <c r="Q78" s="441"/>
      <c r="R78" s="441"/>
      <c r="S78" s="441"/>
      <c r="T78" s="441"/>
      <c r="U78" s="441">
        <v>51</v>
      </c>
      <c r="V78" s="441">
        <v>9.5</v>
      </c>
      <c r="W78" s="442" t="s">
        <v>819</v>
      </c>
      <c r="X78" s="442"/>
      <c r="Y78" s="442"/>
      <c r="Z78" s="442"/>
      <c r="AA78" s="442"/>
      <c r="AB78" s="443"/>
    </row>
    <row r="79" spans="7:53" ht="10.5" customHeight="1" x14ac:dyDescent="0.15"/>
    <row r="80" spans="7:53" ht="17.25" customHeight="1" x14ac:dyDescent="0.15">
      <c r="G80" s="384" t="s">
        <v>737</v>
      </c>
      <c r="O80" s="385" t="s">
        <v>738</v>
      </c>
      <c r="P80" s="386"/>
      <c r="AC80" s="387" t="s">
        <v>739</v>
      </c>
      <c r="AM80" s="388" t="s">
        <v>740</v>
      </c>
      <c r="AN80" s="386"/>
      <c r="BA80" s="387" t="s">
        <v>741</v>
      </c>
    </row>
    <row r="81" spans="3:57" ht="60.75" customHeight="1" x14ac:dyDescent="0.15">
      <c r="O81" s="389" t="s">
        <v>742</v>
      </c>
      <c r="P81" s="390"/>
      <c r="Q81" s="391" t="s">
        <v>743</v>
      </c>
      <c r="R81" s="391" t="s">
        <v>744</v>
      </c>
      <c r="S81" s="391" t="s">
        <v>745</v>
      </c>
      <c r="T81" s="392" t="s">
        <v>746</v>
      </c>
      <c r="U81" s="391" t="s">
        <v>747</v>
      </c>
      <c r="V81" s="391" t="s">
        <v>748</v>
      </c>
      <c r="W81" s="391" t="s">
        <v>749</v>
      </c>
      <c r="X81" s="393" t="s">
        <v>750</v>
      </c>
      <c r="Y81" s="393" t="s">
        <v>751</v>
      </c>
      <c r="Z81" s="393" t="s">
        <v>752</v>
      </c>
      <c r="AA81" s="393" t="s">
        <v>753</v>
      </c>
      <c r="AB81" s="391" t="s">
        <v>754</v>
      </c>
      <c r="AL81" s="394" t="s">
        <v>123</v>
      </c>
      <c r="AM81" s="395" t="s">
        <v>755</v>
      </c>
      <c r="AN81" s="395" t="s">
        <v>756</v>
      </c>
      <c r="AO81" s="395" t="s">
        <v>757</v>
      </c>
      <c r="AP81" s="395" t="s">
        <v>758</v>
      </c>
      <c r="AQ81" s="395" t="s">
        <v>759</v>
      </c>
      <c r="AR81" s="395" t="s">
        <v>760</v>
      </c>
      <c r="AS81" s="395" t="s">
        <v>761</v>
      </c>
      <c r="AT81" s="395" t="s">
        <v>762</v>
      </c>
      <c r="AU81" s="396" t="s">
        <v>763</v>
      </c>
      <c r="AV81" s="395" t="s">
        <v>764</v>
      </c>
      <c r="AW81" s="395" t="s">
        <v>765</v>
      </c>
      <c r="AX81" s="395" t="s">
        <v>766</v>
      </c>
      <c r="AY81" s="395" t="s">
        <v>767</v>
      </c>
      <c r="AZ81" s="395" t="s">
        <v>768</v>
      </c>
      <c r="BA81" s="395" t="s">
        <v>769</v>
      </c>
      <c r="BB81" s="395" t="s">
        <v>770</v>
      </c>
      <c r="BC81" s="395" t="s">
        <v>771</v>
      </c>
      <c r="BD81" s="395" t="s">
        <v>772</v>
      </c>
      <c r="BE81" s="395" t="s">
        <v>773</v>
      </c>
    </row>
    <row r="82" spans="3:57" ht="9.9499999999999993" customHeight="1" x14ac:dyDescent="0.15">
      <c r="C82" s="397"/>
      <c r="O82" s="398">
        <v>40831</v>
      </c>
      <c r="P82" s="399">
        <f>O82</f>
        <v>40831</v>
      </c>
      <c r="Q82" s="400"/>
      <c r="R82" s="400"/>
      <c r="S82" s="400"/>
      <c r="T82" s="400"/>
      <c r="U82" s="400">
        <v>1630</v>
      </c>
      <c r="V82" s="400"/>
      <c r="W82" s="400"/>
      <c r="X82" s="401"/>
      <c r="Y82" s="401"/>
      <c r="Z82" s="401"/>
      <c r="AA82" s="401"/>
      <c r="AB82" s="402"/>
      <c r="AD82" s="403" t="s">
        <v>774</v>
      </c>
      <c r="AE82" s="404"/>
      <c r="AF82" s="404"/>
      <c r="AG82" s="397"/>
      <c r="AL82" s="394" t="s">
        <v>775</v>
      </c>
      <c r="AM82" s="395"/>
      <c r="AN82" s="387" t="s">
        <v>776</v>
      </c>
      <c r="AO82" s="405">
        <f>SUM(AO130:AO132)</f>
        <v>40449</v>
      </c>
      <c r="AP82" s="405">
        <f t="shared" ref="AP82:BE82" si="4">SUM(AP130:AP132)</f>
        <v>40449</v>
      </c>
      <c r="AQ82" s="405">
        <f t="shared" si="4"/>
        <v>14762</v>
      </c>
      <c r="AR82" s="405">
        <f t="shared" si="4"/>
        <v>13117</v>
      </c>
      <c r="AS82" s="405">
        <f t="shared" si="4"/>
        <v>1522</v>
      </c>
      <c r="AT82" s="405">
        <f t="shared" si="4"/>
        <v>123</v>
      </c>
      <c r="AU82" s="405">
        <f t="shared" si="4"/>
        <v>12463</v>
      </c>
      <c r="AV82" s="405">
        <f t="shared" si="4"/>
        <v>0</v>
      </c>
      <c r="AW82" s="405">
        <f t="shared" si="4"/>
        <v>1542</v>
      </c>
      <c r="AX82" s="405">
        <f t="shared" si="4"/>
        <v>516</v>
      </c>
      <c r="AY82" s="405">
        <f t="shared" si="4"/>
        <v>14521</v>
      </c>
      <c r="AZ82" s="406">
        <f t="shared" ref="AZ82:AZ87" si="5">(AU82+AW82+AX82)/AY82*100</f>
        <v>100</v>
      </c>
      <c r="BA82" s="405">
        <f t="shared" si="4"/>
        <v>868</v>
      </c>
      <c r="BB82" s="407">
        <f t="shared" ref="BB82:BB87" si="6">(AX82+AT82)/(AY82+AT82)*100</f>
        <v>4.363561868341983</v>
      </c>
      <c r="BC82" s="405">
        <f t="shared" si="4"/>
        <v>2112</v>
      </c>
      <c r="BD82" s="405">
        <f t="shared" si="4"/>
        <v>345</v>
      </c>
      <c r="BE82" s="405">
        <f t="shared" si="4"/>
        <v>2457</v>
      </c>
    </row>
    <row r="83" spans="3:57" ht="9.9499999999999993" customHeight="1" x14ac:dyDescent="0.15">
      <c r="C83" s="397"/>
      <c r="O83" s="398">
        <v>41805</v>
      </c>
      <c r="P83" s="399">
        <f t="shared" ref="P83:P146" si="7">O83</f>
        <v>41805</v>
      </c>
      <c r="Q83" s="400"/>
      <c r="R83" s="400"/>
      <c r="S83" s="400"/>
      <c r="T83" s="400"/>
      <c r="U83" s="400"/>
      <c r="V83" s="400"/>
      <c r="W83" s="400">
        <v>3.1</v>
      </c>
      <c r="X83" s="401"/>
      <c r="Y83" s="401"/>
      <c r="Z83" s="401"/>
      <c r="AA83" s="401"/>
      <c r="AB83" s="402"/>
      <c r="AD83" s="404"/>
      <c r="AE83" s="404"/>
      <c r="AF83" s="404"/>
      <c r="AG83" s="397"/>
      <c r="AL83" s="394" t="s">
        <v>777</v>
      </c>
      <c r="AM83" s="395"/>
      <c r="AN83" s="387" t="s">
        <v>776</v>
      </c>
      <c r="AO83" s="405">
        <f>SUM(AO133:AO135)</f>
        <v>40871</v>
      </c>
      <c r="AP83" s="405">
        <f t="shared" ref="AP83:BE83" si="8">SUM(AP133:AP135)</f>
        <v>40871</v>
      </c>
      <c r="AQ83" s="405">
        <f t="shared" si="8"/>
        <v>15157</v>
      </c>
      <c r="AR83" s="405">
        <f t="shared" si="8"/>
        <v>13731</v>
      </c>
      <c r="AS83" s="405">
        <f t="shared" si="8"/>
        <v>0</v>
      </c>
      <c r="AT83" s="405">
        <f t="shared" si="8"/>
        <v>127</v>
      </c>
      <c r="AU83" s="405">
        <f t="shared" si="8"/>
        <v>12956</v>
      </c>
      <c r="AV83" s="405">
        <f t="shared" si="8"/>
        <v>0</v>
      </c>
      <c r="AW83" s="405">
        <f t="shared" si="8"/>
        <v>1569</v>
      </c>
      <c r="AX83" s="405">
        <f t="shared" si="8"/>
        <v>505</v>
      </c>
      <c r="AY83" s="405">
        <f t="shared" si="8"/>
        <v>15030</v>
      </c>
      <c r="AZ83" s="406">
        <f t="shared" si="5"/>
        <v>100</v>
      </c>
      <c r="BA83" s="405">
        <f t="shared" si="8"/>
        <v>808</v>
      </c>
      <c r="BB83" s="407">
        <f t="shared" si="6"/>
        <v>4.1696905720129314</v>
      </c>
      <c r="BC83" s="405">
        <f t="shared" si="8"/>
        <v>2535</v>
      </c>
      <c r="BD83" s="405">
        <f t="shared" si="8"/>
        <v>330</v>
      </c>
      <c r="BE83" s="405">
        <f t="shared" si="8"/>
        <v>2865</v>
      </c>
    </row>
    <row r="84" spans="3:57" ht="9.9499999999999993" customHeight="1" x14ac:dyDescent="0.15">
      <c r="O84" s="408">
        <v>43209</v>
      </c>
      <c r="P84" s="399">
        <f t="shared" si="7"/>
        <v>43209</v>
      </c>
      <c r="Q84" s="400"/>
      <c r="R84" s="400"/>
      <c r="S84" s="400"/>
      <c r="T84" s="400"/>
      <c r="U84" s="400">
        <v>110</v>
      </c>
      <c r="V84" s="400">
        <v>32</v>
      </c>
      <c r="W84" s="400"/>
      <c r="X84" s="401"/>
      <c r="Y84" s="401"/>
      <c r="Z84" s="401"/>
      <c r="AA84" s="401"/>
      <c r="AB84" s="402"/>
      <c r="AL84" s="409" t="s">
        <v>778</v>
      </c>
      <c r="AM84" s="395"/>
      <c r="AN84" s="387" t="s">
        <v>776</v>
      </c>
      <c r="AO84" s="405">
        <f t="shared" ref="AO84:AY84" si="9">SUM(AO136:AO138)</f>
        <v>41413</v>
      </c>
      <c r="AP84" s="405">
        <f t="shared" si="9"/>
        <v>41413</v>
      </c>
      <c r="AQ84" s="405">
        <f t="shared" si="9"/>
        <v>15037</v>
      </c>
      <c r="AR84" s="405">
        <f t="shared" si="9"/>
        <v>13888</v>
      </c>
      <c r="AS84" s="405">
        <f t="shared" si="9"/>
        <v>0</v>
      </c>
      <c r="AT84" s="405">
        <f t="shared" si="9"/>
        <v>126</v>
      </c>
      <c r="AU84" s="405">
        <f t="shared" si="9"/>
        <v>12868</v>
      </c>
      <c r="AV84" s="405">
        <f t="shared" si="9"/>
        <v>0</v>
      </c>
      <c r="AW84" s="405">
        <f t="shared" si="9"/>
        <v>1552</v>
      </c>
      <c r="AX84" s="405">
        <f t="shared" si="9"/>
        <v>491</v>
      </c>
      <c r="AY84" s="405">
        <f t="shared" si="9"/>
        <v>14911</v>
      </c>
      <c r="AZ84" s="406">
        <f t="shared" si="5"/>
        <v>100</v>
      </c>
      <c r="BA84" s="405">
        <f>SUM(BA136:BA138)</f>
        <v>0</v>
      </c>
      <c r="BB84" s="407">
        <f t="shared" si="6"/>
        <v>4.1032120768770364</v>
      </c>
      <c r="BC84" s="405">
        <f>SUM(BC136:BC138)</f>
        <v>2263</v>
      </c>
      <c r="BD84" s="405">
        <f>SUM(BD136:BD138)</f>
        <v>262</v>
      </c>
      <c r="BE84" s="405">
        <f>SUM(BE136:BE138)</f>
        <v>2525</v>
      </c>
    </row>
    <row r="85" spans="3:57" ht="9.9499999999999993" customHeight="1" x14ac:dyDescent="0.15">
      <c r="O85" s="408">
        <v>43222</v>
      </c>
      <c r="P85" s="399">
        <f t="shared" si="7"/>
        <v>43222</v>
      </c>
      <c r="Q85" s="400"/>
      <c r="R85" s="400"/>
      <c r="S85" s="400"/>
      <c r="T85" s="400"/>
      <c r="U85" s="400"/>
      <c r="V85" s="400"/>
      <c r="W85" s="41" t="s">
        <v>110</v>
      </c>
      <c r="X85" s="410"/>
      <c r="Y85" s="401"/>
      <c r="Z85" s="401"/>
      <c r="AA85" s="401"/>
      <c r="AB85" s="402"/>
      <c r="AI85" s="397"/>
      <c r="AJ85" s="397"/>
      <c r="AL85" s="409" t="s">
        <v>779</v>
      </c>
      <c r="AN85" s="387" t="s">
        <v>776</v>
      </c>
      <c r="AO85" s="405">
        <f t="shared" ref="AO85:AY85" si="10">SUM(AO139:AO141)</f>
        <v>42040</v>
      </c>
      <c r="AP85" s="405">
        <f t="shared" si="10"/>
        <v>42040</v>
      </c>
      <c r="AQ85" s="405">
        <f t="shared" si="10"/>
        <v>15298</v>
      </c>
      <c r="AR85" s="405">
        <f t="shared" si="10"/>
        <v>13941</v>
      </c>
      <c r="AS85" s="405">
        <f t="shared" si="10"/>
        <v>0</v>
      </c>
      <c r="AT85" s="405">
        <f t="shared" si="10"/>
        <v>127</v>
      </c>
      <c r="AU85" s="405">
        <f t="shared" si="10"/>
        <v>13174</v>
      </c>
      <c r="AV85" s="405">
        <f t="shared" si="10"/>
        <v>0</v>
      </c>
      <c r="AW85" s="405">
        <f t="shared" si="10"/>
        <v>1495</v>
      </c>
      <c r="AX85" s="405">
        <f t="shared" si="10"/>
        <v>502</v>
      </c>
      <c r="AY85" s="405">
        <f t="shared" si="10"/>
        <v>15171</v>
      </c>
      <c r="AZ85" s="406">
        <f t="shared" si="5"/>
        <v>100</v>
      </c>
      <c r="BA85" s="405">
        <f>SUM(BA139:BA141)</f>
        <v>0</v>
      </c>
      <c r="BB85" s="407">
        <f t="shared" si="6"/>
        <v>4.1116485815139239</v>
      </c>
      <c r="BC85" s="405">
        <f>SUM(BC139:BC141)</f>
        <v>2374</v>
      </c>
      <c r="BD85" s="405">
        <f>SUM(BD139:BD141)</f>
        <v>284</v>
      </c>
      <c r="BE85" s="405">
        <f>SUM(BE139:BE141)</f>
        <v>2658</v>
      </c>
    </row>
    <row r="86" spans="3:57" ht="9.9499999999999993" customHeight="1" x14ac:dyDescent="0.15">
      <c r="O86" s="408">
        <v>43234</v>
      </c>
      <c r="P86" s="399">
        <f t="shared" si="7"/>
        <v>43234</v>
      </c>
      <c r="Q86" s="400"/>
      <c r="R86" s="400"/>
      <c r="S86" s="400"/>
      <c r="T86" s="400"/>
      <c r="U86" s="400"/>
      <c r="V86" s="400"/>
      <c r="W86" s="41"/>
      <c r="X86" s="410">
        <v>4.8000000000000001E-2</v>
      </c>
      <c r="Y86" s="401">
        <v>3.2000000000000001E-2</v>
      </c>
      <c r="Z86" s="401"/>
      <c r="AA86" s="401"/>
      <c r="AB86" s="402"/>
      <c r="AI86" s="397"/>
      <c r="AJ86" s="397"/>
      <c r="AL86" s="409" t="s">
        <v>780</v>
      </c>
      <c r="AN86" s="387" t="s">
        <v>776</v>
      </c>
      <c r="AO86" s="405">
        <f t="shared" ref="AO86:AY86" si="11">SUM(AO142:AO144)</f>
        <v>42500</v>
      </c>
      <c r="AP86" s="405">
        <f>SUM(AP142:AP144)</f>
        <v>42500</v>
      </c>
      <c r="AQ86" s="405">
        <f t="shared" si="11"/>
        <v>15774</v>
      </c>
      <c r="AR86" s="405">
        <f t="shared" si="11"/>
        <v>14084</v>
      </c>
      <c r="AS86" s="405">
        <f t="shared" si="11"/>
        <v>0</v>
      </c>
      <c r="AT86" s="405">
        <f t="shared" si="11"/>
        <v>132</v>
      </c>
      <c r="AU86" s="405">
        <f t="shared" si="11"/>
        <v>13695</v>
      </c>
      <c r="AV86" s="405">
        <f t="shared" si="11"/>
        <v>0</v>
      </c>
      <c r="AW86" s="405">
        <f t="shared" si="11"/>
        <v>1453</v>
      </c>
      <c r="AX86" s="405">
        <f t="shared" si="11"/>
        <v>494</v>
      </c>
      <c r="AY86" s="405">
        <f t="shared" si="11"/>
        <v>15642</v>
      </c>
      <c r="AZ86" s="406">
        <f t="shared" si="5"/>
        <v>100</v>
      </c>
      <c r="BA86" s="405">
        <f>SUM(BA142:BA144)</f>
        <v>0</v>
      </c>
      <c r="BB86" s="407">
        <f t="shared" si="6"/>
        <v>3.9685558514010397</v>
      </c>
      <c r="BC86" s="405">
        <f>SUM(BC142:BC144)</f>
        <v>2371</v>
      </c>
      <c r="BD86" s="405">
        <f>SUM(BD142:BD144)</f>
        <v>491</v>
      </c>
      <c r="BE86" s="405">
        <f>SUM(BE142:BE144)</f>
        <v>2862</v>
      </c>
    </row>
    <row r="87" spans="3:57" ht="9.9499999999999993" customHeight="1" x14ac:dyDescent="0.15">
      <c r="O87" s="408">
        <v>43238</v>
      </c>
      <c r="P87" s="399">
        <f t="shared" si="7"/>
        <v>43238</v>
      </c>
      <c r="Q87" s="400"/>
      <c r="R87" s="400"/>
      <c r="S87" s="400"/>
      <c r="T87" s="400"/>
      <c r="U87" s="400"/>
      <c r="V87" s="400"/>
      <c r="W87" s="41"/>
      <c r="X87" s="410"/>
      <c r="Y87" s="401"/>
      <c r="Z87" s="401">
        <v>4.2000000000000003E-2</v>
      </c>
      <c r="AA87" s="401">
        <v>4.2000000000000003E-2</v>
      </c>
      <c r="AB87" s="402"/>
      <c r="AI87" s="397"/>
      <c r="AJ87" s="397"/>
      <c r="AL87" s="409" t="s">
        <v>781</v>
      </c>
      <c r="AN87" s="387" t="s">
        <v>776</v>
      </c>
      <c r="AO87" s="405">
        <f t="shared" ref="AO87:AY87" si="12">SUM(AO145:AO147)</f>
        <v>42758</v>
      </c>
      <c r="AP87" s="405">
        <f t="shared" si="12"/>
        <v>42758</v>
      </c>
      <c r="AQ87" s="405">
        <f t="shared" si="12"/>
        <v>15648</v>
      </c>
      <c r="AR87" s="405">
        <f t="shared" si="12"/>
        <v>14279</v>
      </c>
      <c r="AS87" s="405">
        <f t="shared" si="12"/>
        <v>0</v>
      </c>
      <c r="AT87" s="405">
        <f t="shared" si="12"/>
        <v>381</v>
      </c>
      <c r="AU87" s="405">
        <f t="shared" si="12"/>
        <v>13314</v>
      </c>
      <c r="AV87" s="405">
        <f t="shared" si="12"/>
        <v>0</v>
      </c>
      <c r="AW87" s="405">
        <f t="shared" si="12"/>
        <v>1444</v>
      </c>
      <c r="AX87" s="405">
        <f t="shared" si="12"/>
        <v>496</v>
      </c>
      <c r="AY87" s="405">
        <f t="shared" si="12"/>
        <v>15254</v>
      </c>
      <c r="AZ87" s="406">
        <f t="shared" si="5"/>
        <v>100</v>
      </c>
      <c r="BA87" s="405">
        <f>SUM(BA145:BA147)</f>
        <v>0</v>
      </c>
      <c r="BB87" s="407">
        <f t="shared" si="6"/>
        <v>5.6092101055324592</v>
      </c>
      <c r="BC87" s="405">
        <f>SUM(BC145:BC147)</f>
        <v>2375</v>
      </c>
      <c r="BD87" s="405">
        <f>SUM(BD145:BD147)</f>
        <v>284</v>
      </c>
      <c r="BE87" s="405">
        <f>SUM(BE145:BE147)</f>
        <v>2659</v>
      </c>
    </row>
    <row r="88" spans="3:57" ht="9.9499999999999993" customHeight="1" x14ac:dyDescent="0.15">
      <c r="O88" s="408">
        <v>43241</v>
      </c>
      <c r="P88" s="399">
        <f t="shared" si="7"/>
        <v>43241</v>
      </c>
      <c r="Q88" s="400"/>
      <c r="R88" s="400"/>
      <c r="S88" s="400"/>
      <c r="T88" s="400"/>
      <c r="U88" s="400">
        <v>373</v>
      </c>
      <c r="V88" s="400">
        <v>110</v>
      </c>
      <c r="W88" s="400"/>
      <c r="X88" s="401">
        <v>4.2000000000000003E-2</v>
      </c>
      <c r="Y88" s="401">
        <v>0.04</v>
      </c>
      <c r="Z88" s="401">
        <v>0.04</v>
      </c>
      <c r="AA88" s="401">
        <v>5.3999999999999999E-2</v>
      </c>
      <c r="AB88" s="402"/>
      <c r="AI88" s="397"/>
      <c r="AJ88" s="397"/>
      <c r="AL88" s="409" t="s">
        <v>782</v>
      </c>
      <c r="AN88" s="387" t="s">
        <v>776</v>
      </c>
      <c r="AO88" s="405"/>
      <c r="AP88" s="405"/>
      <c r="AQ88" s="405"/>
      <c r="AR88" s="405"/>
      <c r="AS88" s="405"/>
      <c r="AT88" s="405"/>
      <c r="AU88" s="411">
        <f>193.73*7+12400</f>
        <v>13756.11</v>
      </c>
      <c r="AV88" s="405"/>
      <c r="AW88" s="405"/>
      <c r="AX88" s="405"/>
      <c r="AY88" s="405"/>
      <c r="AZ88" s="405"/>
      <c r="BA88" s="405"/>
      <c r="BB88" s="405"/>
      <c r="BC88" s="411">
        <f>26.686*7+2244.9</f>
        <v>2431.7020000000002</v>
      </c>
      <c r="BD88" s="405"/>
      <c r="BE88" s="405"/>
    </row>
    <row r="89" spans="3:57" ht="9.9499999999999993" customHeight="1" x14ac:dyDescent="0.15">
      <c r="O89" s="369">
        <v>43242</v>
      </c>
      <c r="P89" s="399">
        <f t="shared" si="7"/>
        <v>43242</v>
      </c>
      <c r="Q89" s="400">
        <v>890</v>
      </c>
      <c r="R89" s="400">
        <v>300</v>
      </c>
      <c r="S89" s="400"/>
      <c r="T89" s="400"/>
      <c r="U89" s="400"/>
      <c r="V89" s="400"/>
      <c r="W89" s="400"/>
      <c r="X89" s="401">
        <v>4.2000000000000003E-2</v>
      </c>
      <c r="Y89" s="401">
        <v>4.5999999999999999E-2</v>
      </c>
      <c r="Z89" s="401">
        <v>4.3999999999999997E-2</v>
      </c>
      <c r="AA89" s="401">
        <v>4.8000000000000001E-2</v>
      </c>
      <c r="AB89" s="402" t="s">
        <v>783</v>
      </c>
      <c r="AI89" s="397"/>
      <c r="AJ89" s="397"/>
      <c r="AL89" s="409" t="s">
        <v>784</v>
      </c>
      <c r="AN89" s="387" t="s">
        <v>776</v>
      </c>
      <c r="AO89" s="405"/>
      <c r="AP89" s="405"/>
      <c r="AQ89" s="405"/>
      <c r="AR89" s="405"/>
      <c r="AS89" s="405"/>
      <c r="AT89" s="405"/>
      <c r="AU89" s="411">
        <f>193.7*8+12400</f>
        <v>13949.6</v>
      </c>
      <c r="AV89" s="405"/>
      <c r="AW89" s="405"/>
      <c r="AX89" s="405"/>
      <c r="AY89" s="405"/>
      <c r="AZ89" s="405"/>
      <c r="BA89" s="405"/>
      <c r="BB89" s="405"/>
      <c r="BC89" s="411">
        <f>26.686*8+2244.9</f>
        <v>2458.3879999999999</v>
      </c>
      <c r="BD89" s="405"/>
      <c r="BE89" s="405"/>
    </row>
    <row r="90" spans="3:57" ht="9.9499999999999993" customHeight="1" x14ac:dyDescent="0.15">
      <c r="O90" s="369">
        <v>43243</v>
      </c>
      <c r="P90" s="399">
        <f t="shared" si="7"/>
        <v>43243</v>
      </c>
      <c r="Q90" s="400">
        <v>990</v>
      </c>
      <c r="R90" s="400">
        <v>300</v>
      </c>
      <c r="S90" s="400"/>
      <c r="T90" s="400"/>
      <c r="U90" s="400"/>
      <c r="V90" s="400"/>
      <c r="W90" s="400"/>
      <c r="X90" s="401">
        <v>5.3999999999999999E-2</v>
      </c>
      <c r="Y90" s="401">
        <v>4.1000000000000002E-2</v>
      </c>
      <c r="Z90" s="401">
        <v>4.4999999999999998E-2</v>
      </c>
      <c r="AA90" s="401">
        <v>4.2000000000000003E-2</v>
      </c>
      <c r="AB90" s="402" t="s">
        <v>783</v>
      </c>
      <c r="AI90" s="397"/>
      <c r="AJ90" s="397"/>
      <c r="AO90" s="405"/>
      <c r="AP90" s="405"/>
      <c r="AQ90" s="405"/>
      <c r="AR90" s="405"/>
      <c r="AS90" s="405"/>
      <c r="AT90" s="405"/>
      <c r="AU90" s="405"/>
      <c r="AV90" s="405"/>
      <c r="AW90" s="405"/>
      <c r="AX90" s="405"/>
      <c r="AY90" s="405"/>
      <c r="AZ90" s="405"/>
      <c r="BA90" s="405"/>
      <c r="BB90" s="405"/>
      <c r="BC90" s="405"/>
      <c r="BD90" s="405"/>
      <c r="BE90" s="405"/>
    </row>
    <row r="91" spans="3:57" ht="9.9499999999999993" customHeight="1" x14ac:dyDescent="0.15">
      <c r="O91" s="369">
        <v>43244</v>
      </c>
      <c r="P91" s="399">
        <f t="shared" si="7"/>
        <v>43244</v>
      </c>
      <c r="Q91" s="400">
        <v>930</v>
      </c>
      <c r="R91" s="400">
        <v>300</v>
      </c>
      <c r="S91" s="400"/>
      <c r="T91" s="400"/>
      <c r="U91" s="400"/>
      <c r="V91" s="400"/>
      <c r="W91" s="400"/>
      <c r="X91" s="401">
        <v>4.8000000000000001E-2</v>
      </c>
      <c r="Y91" s="401">
        <v>4.2999999999999997E-2</v>
      </c>
      <c r="Z91" s="401">
        <v>3.5999999999999997E-2</v>
      </c>
      <c r="AA91" s="401">
        <v>5.3999999999999999E-2</v>
      </c>
      <c r="AB91" s="402" t="s">
        <v>783</v>
      </c>
      <c r="AI91" s="397"/>
      <c r="AJ91" s="397"/>
      <c r="AL91" s="412" t="s">
        <v>20</v>
      </c>
      <c r="AM91" s="384" t="s">
        <v>224</v>
      </c>
      <c r="AN91" s="384" t="s">
        <v>225</v>
      </c>
      <c r="AO91" s="405">
        <v>23988</v>
      </c>
      <c r="AP91" s="405">
        <v>23988</v>
      </c>
      <c r="AQ91" s="405">
        <v>7406</v>
      </c>
      <c r="AR91" s="405">
        <v>8252</v>
      </c>
      <c r="AS91" s="405">
        <v>0</v>
      </c>
      <c r="AT91" s="405">
        <v>406</v>
      </c>
      <c r="AU91" s="405">
        <v>7094</v>
      </c>
      <c r="AV91" s="405">
        <v>70</v>
      </c>
      <c r="AW91" s="405">
        <v>1079</v>
      </c>
      <c r="AX91" s="405">
        <v>9</v>
      </c>
      <c r="AY91" s="405">
        <v>8252</v>
      </c>
      <c r="AZ91" s="413">
        <v>99.151720794958791</v>
      </c>
      <c r="BA91" s="405">
        <v>727</v>
      </c>
      <c r="BB91" s="414">
        <v>13.190113190113189</v>
      </c>
      <c r="BC91" s="405">
        <v>1262</v>
      </c>
      <c r="BD91" s="405">
        <v>247</v>
      </c>
      <c r="BE91" s="405">
        <v>1579</v>
      </c>
    </row>
    <row r="92" spans="3:57" ht="9.9499999999999993" customHeight="1" x14ac:dyDescent="0.15">
      <c r="O92" s="369">
        <v>43245</v>
      </c>
      <c r="P92" s="399">
        <f t="shared" si="7"/>
        <v>43245</v>
      </c>
      <c r="Q92" s="400">
        <v>980</v>
      </c>
      <c r="R92" s="400">
        <v>300</v>
      </c>
      <c r="S92" s="400"/>
      <c r="T92" s="400"/>
      <c r="U92" s="400"/>
      <c r="V92" s="400"/>
      <c r="W92" s="400">
        <v>0.7</v>
      </c>
      <c r="X92" s="401">
        <v>4.8000000000000001E-2</v>
      </c>
      <c r="Y92" s="401">
        <v>4.1000000000000002E-2</v>
      </c>
      <c r="Z92" s="401">
        <v>4.7E-2</v>
      </c>
      <c r="AA92" s="401">
        <v>3.5999999999999997E-2</v>
      </c>
      <c r="AB92" s="402" t="s">
        <v>783</v>
      </c>
      <c r="AI92" s="397"/>
      <c r="AJ92" s="397"/>
      <c r="AL92" s="412" t="s">
        <v>20</v>
      </c>
      <c r="AM92" s="384" t="s">
        <v>219</v>
      </c>
      <c r="AN92" s="384" t="s">
        <v>220</v>
      </c>
      <c r="AO92" s="405">
        <v>10125</v>
      </c>
      <c r="AP92" s="405">
        <v>10125</v>
      </c>
      <c r="AQ92" s="405">
        <v>1501</v>
      </c>
      <c r="AR92" s="405">
        <v>1590</v>
      </c>
      <c r="AS92" s="405">
        <v>0</v>
      </c>
      <c r="AT92" s="405">
        <v>0</v>
      </c>
      <c r="AU92" s="405">
        <v>1116</v>
      </c>
      <c r="AV92" s="405">
        <v>0</v>
      </c>
      <c r="AW92" s="405">
        <v>373</v>
      </c>
      <c r="AX92" s="405">
        <v>101</v>
      </c>
      <c r="AY92" s="405">
        <v>1590</v>
      </c>
      <c r="AZ92" s="405">
        <v>100</v>
      </c>
      <c r="BA92" s="405">
        <v>241</v>
      </c>
      <c r="BB92" s="414">
        <v>21.509433962264151</v>
      </c>
      <c r="BC92" s="405">
        <v>203</v>
      </c>
      <c r="BD92" s="405">
        <v>90</v>
      </c>
      <c r="BE92" s="405">
        <v>293</v>
      </c>
    </row>
    <row r="93" spans="3:57" ht="9.9499999999999993" customHeight="1" x14ac:dyDescent="0.15">
      <c r="O93" s="369">
        <v>43246</v>
      </c>
      <c r="P93" s="399">
        <f t="shared" si="7"/>
        <v>43246</v>
      </c>
      <c r="Q93" s="400">
        <v>900</v>
      </c>
      <c r="R93" s="400">
        <v>300</v>
      </c>
      <c r="S93" s="400"/>
      <c r="T93" s="400"/>
      <c r="U93" s="400"/>
      <c r="V93" s="400"/>
      <c r="W93" s="400"/>
      <c r="X93" s="401">
        <v>4.8000000000000001E-2</v>
      </c>
      <c r="Y93" s="401">
        <v>4.2000000000000003E-2</v>
      </c>
      <c r="Z93" s="401"/>
      <c r="AA93" s="401">
        <v>0.06</v>
      </c>
      <c r="AB93" s="402" t="s">
        <v>783</v>
      </c>
      <c r="AI93" s="397"/>
      <c r="AJ93" s="397"/>
      <c r="AL93" s="412" t="s">
        <v>20</v>
      </c>
      <c r="AM93" s="384" t="s">
        <v>222</v>
      </c>
      <c r="AN93" s="384" t="s">
        <v>223</v>
      </c>
      <c r="AO93" s="405">
        <v>6136</v>
      </c>
      <c r="AP93" s="405">
        <v>6136</v>
      </c>
      <c r="AQ93" s="405">
        <v>1458</v>
      </c>
      <c r="AR93" s="405">
        <v>1576</v>
      </c>
      <c r="AS93" s="405">
        <v>0</v>
      </c>
      <c r="AT93" s="405">
        <v>119</v>
      </c>
      <c r="AU93" s="405">
        <v>1282</v>
      </c>
      <c r="AV93" s="405">
        <v>0</v>
      </c>
      <c r="AW93" s="405">
        <v>278</v>
      </c>
      <c r="AX93" s="405">
        <v>16</v>
      </c>
      <c r="AY93" s="405">
        <v>1576</v>
      </c>
      <c r="AZ93" s="405">
        <v>100</v>
      </c>
      <c r="BA93" s="405">
        <v>190</v>
      </c>
      <c r="BB93" s="414">
        <v>19.174041297935105</v>
      </c>
      <c r="BC93" s="405">
        <v>229</v>
      </c>
      <c r="BD93" s="405">
        <v>64</v>
      </c>
      <c r="BE93" s="405">
        <v>293</v>
      </c>
    </row>
    <row r="94" spans="3:57" ht="9.9499999999999993" customHeight="1" x14ac:dyDescent="0.15">
      <c r="O94" s="369">
        <v>43248</v>
      </c>
      <c r="P94" s="399">
        <f t="shared" si="7"/>
        <v>43248</v>
      </c>
      <c r="Q94" s="400"/>
      <c r="R94" s="400"/>
      <c r="S94" s="400"/>
      <c r="T94" s="400"/>
      <c r="U94" s="400"/>
      <c r="V94" s="400"/>
      <c r="W94" s="400"/>
      <c r="X94" s="401">
        <v>4.8000000000000001E-2</v>
      </c>
      <c r="Y94" s="401">
        <v>0.04</v>
      </c>
      <c r="Z94" s="401">
        <v>4.2999999999999997E-2</v>
      </c>
      <c r="AA94" s="401">
        <v>4.2000000000000003E-2</v>
      </c>
      <c r="AB94" s="402"/>
      <c r="AI94" s="397"/>
      <c r="AJ94" s="397"/>
      <c r="AL94" s="412" t="s">
        <v>21</v>
      </c>
      <c r="AM94" s="384" t="s">
        <v>224</v>
      </c>
      <c r="AN94" s="384" t="s">
        <v>225</v>
      </c>
      <c r="AO94" s="405">
        <v>24137</v>
      </c>
      <c r="AP94" s="405">
        <v>24137</v>
      </c>
      <c r="AQ94" s="405">
        <v>7709</v>
      </c>
      <c r="AR94" s="405">
        <v>8389</v>
      </c>
      <c r="AS94" s="405">
        <v>0</v>
      </c>
      <c r="AT94" s="405">
        <v>373</v>
      </c>
      <c r="AU94" s="405">
        <v>7348</v>
      </c>
      <c r="AV94" s="405">
        <v>0</v>
      </c>
      <c r="AW94" s="405">
        <v>1041</v>
      </c>
      <c r="AX94" s="405">
        <v>8</v>
      </c>
      <c r="AY94" s="405">
        <v>8397</v>
      </c>
      <c r="AZ94" s="405">
        <v>100</v>
      </c>
      <c r="BA94" s="405">
        <v>701</v>
      </c>
      <c r="BB94" s="414">
        <v>12.337514253135689</v>
      </c>
      <c r="BC94" s="405">
        <v>1317</v>
      </c>
      <c r="BD94" s="405">
        <v>237</v>
      </c>
      <c r="BE94" s="405">
        <v>1554</v>
      </c>
    </row>
    <row r="95" spans="3:57" ht="9.9499999999999993" customHeight="1" x14ac:dyDescent="0.15">
      <c r="O95" s="369">
        <v>43249</v>
      </c>
      <c r="P95" s="399">
        <f t="shared" si="7"/>
        <v>43249</v>
      </c>
      <c r="Q95" s="400"/>
      <c r="R95" s="400"/>
      <c r="S95" s="400"/>
      <c r="T95" s="400"/>
      <c r="U95" s="400"/>
      <c r="V95" s="400"/>
      <c r="W95" s="400"/>
      <c r="X95" s="401">
        <v>4.8000000000000001E-2</v>
      </c>
      <c r="Y95" s="401">
        <v>4.1000000000000002E-2</v>
      </c>
      <c r="Z95" s="401">
        <v>4.2999999999999997E-2</v>
      </c>
      <c r="AA95" s="401">
        <v>5.3999999999999999E-2</v>
      </c>
      <c r="AB95" s="402"/>
      <c r="AD95" s="397"/>
      <c r="AG95" s="397"/>
      <c r="AH95" s="397"/>
      <c r="AI95" s="397"/>
      <c r="AJ95" s="397"/>
      <c r="AL95" s="412" t="s">
        <v>21</v>
      </c>
      <c r="AM95" s="384" t="s">
        <v>219</v>
      </c>
      <c r="AN95" s="384" t="s">
        <v>220</v>
      </c>
      <c r="AO95" s="405">
        <v>10037</v>
      </c>
      <c r="AP95" s="405">
        <v>10037</v>
      </c>
      <c r="AQ95" s="405">
        <v>1521</v>
      </c>
      <c r="AR95" s="405">
        <v>1607</v>
      </c>
      <c r="AS95" s="405">
        <v>0</v>
      </c>
      <c r="AT95" s="405">
        <v>0</v>
      </c>
      <c r="AU95" s="405">
        <v>1186</v>
      </c>
      <c r="AV95" s="405">
        <v>0</v>
      </c>
      <c r="AW95" s="405">
        <v>421</v>
      </c>
      <c r="AX95" s="405">
        <v>56</v>
      </c>
      <c r="AY95" s="405">
        <v>1663</v>
      </c>
      <c r="AZ95" s="405">
        <v>100</v>
      </c>
      <c r="BA95" s="405">
        <v>243</v>
      </c>
      <c r="BB95" s="414">
        <v>17.979555021046302</v>
      </c>
      <c r="BC95" s="405">
        <v>217</v>
      </c>
      <c r="BD95" s="405">
        <v>86</v>
      </c>
      <c r="BE95" s="405">
        <v>303</v>
      </c>
    </row>
    <row r="96" spans="3:57" ht="9.9499999999999993" customHeight="1" x14ac:dyDescent="0.15">
      <c r="C96" s="397"/>
      <c r="O96" s="369">
        <v>43250</v>
      </c>
      <c r="P96" s="399">
        <f t="shared" si="7"/>
        <v>43250</v>
      </c>
      <c r="Q96" s="400"/>
      <c r="R96" s="400"/>
      <c r="S96" s="400"/>
      <c r="T96" s="400"/>
      <c r="U96" s="400"/>
      <c r="V96" s="400"/>
      <c r="W96" s="400"/>
      <c r="X96" s="401">
        <v>5.3999999999999999E-2</v>
      </c>
      <c r="Y96" s="401">
        <v>4.4999999999999998E-2</v>
      </c>
      <c r="Z96" s="401">
        <v>4.5999999999999999E-2</v>
      </c>
      <c r="AA96" s="401">
        <v>4.2000000000000003E-2</v>
      </c>
      <c r="AB96" s="402"/>
      <c r="AD96" s="397"/>
      <c r="AG96" s="397"/>
      <c r="AH96" s="397"/>
      <c r="AI96" s="397"/>
      <c r="AJ96" s="397"/>
      <c r="AL96" s="412" t="s">
        <v>21</v>
      </c>
      <c r="AM96" s="384" t="s">
        <v>222</v>
      </c>
      <c r="AN96" s="384" t="s">
        <v>223</v>
      </c>
      <c r="AO96" s="405">
        <v>6080</v>
      </c>
      <c r="AP96" s="405">
        <v>6080</v>
      </c>
      <c r="AQ96" s="405">
        <v>1547</v>
      </c>
      <c r="AR96" s="405">
        <v>1656</v>
      </c>
      <c r="AS96" s="405">
        <v>0</v>
      </c>
      <c r="AT96" s="405">
        <v>125</v>
      </c>
      <c r="AU96" s="405">
        <v>1371</v>
      </c>
      <c r="AV96" s="405">
        <v>0</v>
      </c>
      <c r="AW96" s="405">
        <v>285</v>
      </c>
      <c r="AX96" s="405">
        <v>13</v>
      </c>
      <c r="AY96" s="405">
        <v>1669</v>
      </c>
      <c r="AZ96" s="405">
        <v>100</v>
      </c>
      <c r="BA96" s="405">
        <v>191</v>
      </c>
      <c r="BB96" s="414">
        <v>18.338907469342253</v>
      </c>
      <c r="BC96" s="405">
        <v>246</v>
      </c>
      <c r="BD96" s="405">
        <v>59</v>
      </c>
      <c r="BE96" s="405">
        <v>305</v>
      </c>
    </row>
    <row r="97" spans="2:69" ht="9.9499999999999993" customHeight="1" x14ac:dyDescent="0.15">
      <c r="O97" s="369">
        <v>43251</v>
      </c>
      <c r="P97" s="399">
        <f t="shared" si="7"/>
        <v>43251</v>
      </c>
      <c r="Q97" s="400"/>
      <c r="R97" s="400"/>
      <c r="S97" s="400"/>
      <c r="T97" s="400"/>
      <c r="U97" s="400"/>
      <c r="V97" s="400"/>
      <c r="W97" s="400"/>
      <c r="X97" s="401">
        <v>4.2000000000000003E-2</v>
      </c>
      <c r="Y97" s="401">
        <v>4.3999999999999997E-2</v>
      </c>
      <c r="Z97" s="401">
        <v>4.7E-2</v>
      </c>
      <c r="AA97" s="401">
        <v>4.2000000000000003E-2</v>
      </c>
      <c r="AB97" s="402"/>
      <c r="AH97" s="397"/>
      <c r="AI97" s="397"/>
      <c r="AJ97" s="397"/>
      <c r="AL97" s="412" t="s">
        <v>22</v>
      </c>
      <c r="AM97" s="384" t="s">
        <v>224</v>
      </c>
      <c r="AN97" s="384" t="s">
        <v>225</v>
      </c>
      <c r="AO97" s="405">
        <v>24256</v>
      </c>
      <c r="AP97" s="405">
        <v>24256</v>
      </c>
      <c r="AQ97" s="405">
        <v>8308</v>
      </c>
      <c r="AR97" s="405">
        <v>8981</v>
      </c>
      <c r="AS97" s="405">
        <v>0</v>
      </c>
      <c r="AT97" s="405">
        <v>374</v>
      </c>
      <c r="AU97" s="405">
        <v>7979</v>
      </c>
      <c r="AV97" s="405">
        <v>0</v>
      </c>
      <c r="AW97" s="405">
        <v>991</v>
      </c>
      <c r="AX97" s="405">
        <v>11</v>
      </c>
      <c r="AY97" s="405">
        <v>8981</v>
      </c>
      <c r="AZ97" s="405">
        <v>100</v>
      </c>
      <c r="BA97" s="405">
        <v>647</v>
      </c>
      <c r="BB97" s="414">
        <v>11.031533939070016</v>
      </c>
      <c r="BC97" s="405">
        <v>0</v>
      </c>
      <c r="BD97" s="405">
        <v>1110</v>
      </c>
      <c r="BE97" s="405">
        <v>1110</v>
      </c>
    </row>
    <row r="98" spans="2:69" ht="9.9499999999999993" customHeight="1" x14ac:dyDescent="0.15">
      <c r="O98" s="369">
        <v>43252</v>
      </c>
      <c r="P98" s="399">
        <f t="shared" si="7"/>
        <v>43252</v>
      </c>
      <c r="Q98" s="400"/>
      <c r="R98" s="400"/>
      <c r="S98" s="400"/>
      <c r="T98" s="400"/>
      <c r="U98" s="400"/>
      <c r="V98" s="400"/>
      <c r="W98" s="400"/>
      <c r="X98" s="401">
        <v>3.5999999999999997E-2</v>
      </c>
      <c r="Y98" s="401">
        <v>4.4999999999999998E-2</v>
      </c>
      <c r="Z98" s="401">
        <v>4.1000000000000002E-2</v>
      </c>
      <c r="AA98" s="401">
        <v>5.3999999999999999E-2</v>
      </c>
      <c r="AB98" s="402"/>
      <c r="AH98" s="397"/>
      <c r="AI98" s="397"/>
      <c r="AJ98" s="397"/>
      <c r="AL98" s="412" t="s">
        <v>22</v>
      </c>
      <c r="AM98" s="384" t="s">
        <v>219</v>
      </c>
      <c r="AN98" s="384" t="s">
        <v>220</v>
      </c>
      <c r="AO98" s="405">
        <v>9969</v>
      </c>
      <c r="AP98" s="405">
        <v>9969</v>
      </c>
      <c r="AQ98" s="405">
        <v>1685</v>
      </c>
      <c r="AR98" s="405">
        <v>1785</v>
      </c>
      <c r="AS98" s="405">
        <v>0</v>
      </c>
      <c r="AT98" s="405">
        <v>0</v>
      </c>
      <c r="AU98" s="405">
        <v>1304</v>
      </c>
      <c r="AV98" s="405">
        <v>0</v>
      </c>
      <c r="AW98" s="405">
        <v>416</v>
      </c>
      <c r="AX98" s="405">
        <v>65</v>
      </c>
      <c r="AY98" s="405">
        <v>1785</v>
      </c>
      <c r="AZ98" s="405">
        <v>100</v>
      </c>
      <c r="BA98" s="405">
        <v>269</v>
      </c>
      <c r="BB98" s="414">
        <v>18.711484593837536</v>
      </c>
      <c r="BC98" s="405">
        <v>0</v>
      </c>
      <c r="BD98" s="405">
        <v>186</v>
      </c>
      <c r="BE98" s="405">
        <v>186</v>
      </c>
    </row>
    <row r="99" spans="2:69" ht="9.9499999999999993" customHeight="1" x14ac:dyDescent="0.15">
      <c r="O99" s="369">
        <v>43253</v>
      </c>
      <c r="P99" s="399">
        <f t="shared" si="7"/>
        <v>43253</v>
      </c>
      <c r="Q99" s="400"/>
      <c r="R99" s="400"/>
      <c r="S99" s="400"/>
      <c r="T99" s="400"/>
      <c r="U99" s="400"/>
      <c r="V99" s="400"/>
      <c r="W99" s="400"/>
      <c r="X99" s="401">
        <v>4.8000000000000001E-2</v>
      </c>
      <c r="Y99" s="401">
        <v>4.2000000000000003E-2</v>
      </c>
      <c r="Z99" s="401">
        <v>3.7999999999999999E-2</v>
      </c>
      <c r="AA99" s="401">
        <v>3.5999999999999997E-2</v>
      </c>
      <c r="AB99" s="402"/>
      <c r="AH99" s="397"/>
      <c r="AI99" s="397"/>
      <c r="AJ99" s="397"/>
      <c r="AL99" s="412" t="s">
        <v>22</v>
      </c>
      <c r="AM99" s="384" t="s">
        <v>222</v>
      </c>
      <c r="AN99" s="384" t="s">
        <v>223</v>
      </c>
      <c r="AO99" s="405">
        <v>6064</v>
      </c>
      <c r="AP99" s="405">
        <v>6064</v>
      </c>
      <c r="AQ99" s="405">
        <v>1490</v>
      </c>
      <c r="AR99" s="405">
        <v>1625</v>
      </c>
      <c r="AS99" s="405">
        <v>0</v>
      </c>
      <c r="AT99" s="405">
        <v>137</v>
      </c>
      <c r="AU99" s="405">
        <v>1341</v>
      </c>
      <c r="AV99" s="405">
        <v>0</v>
      </c>
      <c r="AW99" s="405">
        <v>263</v>
      </c>
      <c r="AX99" s="405">
        <v>21</v>
      </c>
      <c r="AY99" s="405">
        <v>1625</v>
      </c>
      <c r="AZ99" s="405">
        <v>100</v>
      </c>
      <c r="BA99" s="405">
        <v>176</v>
      </c>
      <c r="BB99" s="414">
        <v>18.955732122587968</v>
      </c>
      <c r="BC99" s="405">
        <v>0</v>
      </c>
      <c r="BD99" s="405">
        <v>188</v>
      </c>
      <c r="BE99" s="405">
        <v>188</v>
      </c>
    </row>
    <row r="100" spans="2:69" ht="9.9499999999999993" customHeight="1" x14ac:dyDescent="0.15">
      <c r="O100" s="369">
        <v>43254</v>
      </c>
      <c r="P100" s="399">
        <f t="shared" si="7"/>
        <v>43254</v>
      </c>
      <c r="Q100" s="400"/>
      <c r="R100" s="400"/>
      <c r="S100" s="400"/>
      <c r="T100" s="400"/>
      <c r="U100" s="400"/>
      <c r="V100" s="400"/>
      <c r="W100" s="400"/>
      <c r="X100" s="401">
        <v>4.2000000000000003E-2</v>
      </c>
      <c r="Y100" s="401">
        <v>4.2999999999999997E-2</v>
      </c>
      <c r="Z100" s="401">
        <v>4.2000000000000003E-2</v>
      </c>
      <c r="AA100" s="401">
        <v>4.8000000000000001E-2</v>
      </c>
      <c r="AB100" s="402"/>
      <c r="AH100" s="397"/>
      <c r="AI100" s="397"/>
      <c r="AJ100" s="397"/>
      <c r="AL100" s="412" t="s">
        <v>23</v>
      </c>
      <c r="AM100" s="384" t="s">
        <v>224</v>
      </c>
      <c r="AN100" s="384" t="s">
        <v>225</v>
      </c>
      <c r="AO100" s="405">
        <v>24267</v>
      </c>
      <c r="AP100" s="405">
        <v>24267</v>
      </c>
      <c r="AQ100" s="405">
        <v>8503</v>
      </c>
      <c r="AR100" s="405">
        <v>9289</v>
      </c>
      <c r="AS100" s="405">
        <v>0</v>
      </c>
      <c r="AT100" s="405">
        <v>387</v>
      </c>
      <c r="AU100" s="405">
        <v>8370</v>
      </c>
      <c r="AV100" s="405">
        <v>0</v>
      </c>
      <c r="AW100" s="405">
        <v>912</v>
      </c>
      <c r="AX100" s="405">
        <v>7</v>
      </c>
      <c r="AY100" s="405">
        <v>9289</v>
      </c>
      <c r="AZ100" s="405">
        <v>100</v>
      </c>
      <c r="BA100" s="405">
        <v>618</v>
      </c>
      <c r="BB100" s="414">
        <v>10.458867300537413</v>
      </c>
      <c r="BC100" s="405">
        <v>1325</v>
      </c>
      <c r="BD100" s="405">
        <v>245</v>
      </c>
      <c r="BE100" s="405">
        <v>1570</v>
      </c>
    </row>
    <row r="101" spans="2:69" ht="9.9499999999999993" customHeight="1" x14ac:dyDescent="0.15">
      <c r="O101" s="369">
        <v>43255</v>
      </c>
      <c r="P101" s="399">
        <f t="shared" si="7"/>
        <v>43255</v>
      </c>
      <c r="Q101" s="400"/>
      <c r="R101" s="400"/>
      <c r="S101" s="400"/>
      <c r="T101" s="400"/>
      <c r="U101" s="400"/>
      <c r="V101" s="400"/>
      <c r="W101" s="400"/>
      <c r="X101" s="401">
        <v>3.5999999999999997E-2</v>
      </c>
      <c r="Y101" s="401">
        <v>4.2000000000000003E-2</v>
      </c>
      <c r="Z101" s="401">
        <v>4.5999999999999999E-2</v>
      </c>
      <c r="AA101" s="401">
        <v>4.8000000000000001E-2</v>
      </c>
      <c r="AB101" s="402"/>
      <c r="AH101" s="397"/>
      <c r="AI101" s="397"/>
      <c r="AJ101" s="397"/>
      <c r="AL101" s="412" t="s">
        <v>23</v>
      </c>
      <c r="AM101" s="384" t="s">
        <v>219</v>
      </c>
      <c r="AN101" s="384" t="s">
        <v>220</v>
      </c>
      <c r="AO101" s="405">
        <v>9860</v>
      </c>
      <c r="AP101" s="405">
        <v>9860</v>
      </c>
      <c r="AQ101" s="405">
        <v>1884</v>
      </c>
      <c r="AR101" s="405">
        <v>1996</v>
      </c>
      <c r="AS101" s="405">
        <v>0</v>
      </c>
      <c r="AT101" s="405">
        <v>0</v>
      </c>
      <c r="AU101" s="405">
        <v>1530</v>
      </c>
      <c r="AV101" s="405">
        <v>0</v>
      </c>
      <c r="AW101" s="405">
        <v>374</v>
      </c>
      <c r="AX101" s="405">
        <v>92</v>
      </c>
      <c r="AY101" s="405">
        <v>1996</v>
      </c>
      <c r="AZ101" s="405">
        <v>100</v>
      </c>
      <c r="BA101" s="405">
        <v>256</v>
      </c>
      <c r="BB101" s="414">
        <v>17.434869739478959</v>
      </c>
      <c r="BC101" s="405">
        <v>244</v>
      </c>
      <c r="BD101" s="405">
        <v>101</v>
      </c>
      <c r="BE101" s="405">
        <v>345</v>
      </c>
      <c r="BG101" s="384" t="s">
        <v>123</v>
      </c>
      <c r="BJ101" s="384" t="s">
        <v>785</v>
      </c>
      <c r="BK101" s="384" t="s">
        <v>777</v>
      </c>
      <c r="BL101" s="384" t="s">
        <v>786</v>
      </c>
      <c r="BM101" s="384" t="s">
        <v>787</v>
      </c>
      <c r="BN101" s="384" t="s">
        <v>788</v>
      </c>
      <c r="BO101" s="384" t="s">
        <v>789</v>
      </c>
      <c r="BP101" s="384" t="s">
        <v>790</v>
      </c>
      <c r="BQ101" s="384" t="s">
        <v>791</v>
      </c>
    </row>
    <row r="102" spans="2:69" ht="9.9499999999999993" customHeight="1" x14ac:dyDescent="0.15">
      <c r="O102" s="369">
        <v>43256</v>
      </c>
      <c r="P102" s="399">
        <f t="shared" si="7"/>
        <v>43256</v>
      </c>
      <c r="Q102" s="400"/>
      <c r="R102" s="400"/>
      <c r="S102" s="400"/>
      <c r="T102" s="400"/>
      <c r="U102" s="400"/>
      <c r="V102" s="400"/>
      <c r="W102" s="400">
        <v>0.9</v>
      </c>
      <c r="X102" s="401">
        <v>4.8000000000000001E-2</v>
      </c>
      <c r="Y102" s="401">
        <v>0.04</v>
      </c>
      <c r="Z102" s="401">
        <v>4.5999999999999999E-2</v>
      </c>
      <c r="AA102" s="401">
        <v>4.8000000000000001E-2</v>
      </c>
      <c r="AB102" s="402"/>
      <c r="AH102" s="397"/>
      <c r="AI102" s="397"/>
      <c r="AJ102" s="397"/>
      <c r="AL102" s="412" t="s">
        <v>23</v>
      </c>
      <c r="AM102" s="384" t="s">
        <v>222</v>
      </c>
      <c r="AN102" s="384" t="s">
        <v>223</v>
      </c>
      <c r="AO102" s="405">
        <v>5979</v>
      </c>
      <c r="AP102" s="405">
        <v>5979</v>
      </c>
      <c r="AQ102" s="405">
        <v>1532</v>
      </c>
      <c r="AR102" s="405">
        <v>1649</v>
      </c>
      <c r="AS102" s="405">
        <v>0</v>
      </c>
      <c r="AT102" s="405">
        <v>128</v>
      </c>
      <c r="AU102" s="405">
        <v>1422</v>
      </c>
      <c r="AV102" s="405">
        <v>0</v>
      </c>
      <c r="AW102" s="405">
        <v>203</v>
      </c>
      <c r="AX102" s="405">
        <v>24</v>
      </c>
      <c r="AY102" s="405">
        <v>1649</v>
      </c>
      <c r="AZ102" s="405">
        <v>100</v>
      </c>
      <c r="BA102" s="405">
        <v>145</v>
      </c>
      <c r="BB102" s="414">
        <v>16.713562183455259</v>
      </c>
      <c r="BC102" s="405">
        <v>225</v>
      </c>
      <c r="BD102" s="405">
        <v>52</v>
      </c>
      <c r="BE102" s="405">
        <v>277</v>
      </c>
      <c r="BG102" s="384" t="s">
        <v>755</v>
      </c>
    </row>
    <row r="103" spans="2:69" ht="9.9499999999999993" customHeight="1" x14ac:dyDescent="0.15">
      <c r="O103" s="369">
        <v>43257</v>
      </c>
      <c r="P103" s="399">
        <f t="shared" si="7"/>
        <v>43257</v>
      </c>
      <c r="Q103" s="400"/>
      <c r="R103" s="400"/>
      <c r="S103" s="400"/>
      <c r="T103" s="400"/>
      <c r="U103" s="400"/>
      <c r="V103" s="400"/>
      <c r="W103" s="400"/>
      <c r="X103" s="401">
        <v>4.9000000000000002E-2</v>
      </c>
      <c r="Y103" s="401">
        <v>4.1000000000000002E-2</v>
      </c>
      <c r="Z103" s="401">
        <v>4.5999999999999999E-2</v>
      </c>
      <c r="AA103" s="401">
        <v>4.9000000000000002E-2</v>
      </c>
      <c r="AB103" s="402"/>
      <c r="AH103" s="397"/>
      <c r="AI103" s="397"/>
      <c r="AJ103" s="397"/>
      <c r="AL103" s="412" t="s">
        <v>24</v>
      </c>
      <c r="AM103" s="384" t="s">
        <v>224</v>
      </c>
      <c r="AN103" s="384" t="s">
        <v>225</v>
      </c>
      <c r="AO103" s="405">
        <v>24294</v>
      </c>
      <c r="AP103" s="405">
        <v>24294</v>
      </c>
      <c r="AQ103" s="405">
        <v>8368</v>
      </c>
      <c r="AR103" s="405">
        <v>9233</v>
      </c>
      <c r="AS103" s="405">
        <v>0</v>
      </c>
      <c r="AT103" s="405">
        <v>393</v>
      </c>
      <c r="AU103" s="405">
        <v>8342</v>
      </c>
      <c r="AV103" s="405">
        <v>0</v>
      </c>
      <c r="AW103" s="405">
        <v>823</v>
      </c>
      <c r="AX103" s="405">
        <v>7</v>
      </c>
      <c r="AY103" s="405">
        <v>9172</v>
      </c>
      <c r="AZ103" s="405">
        <v>100</v>
      </c>
      <c r="BA103" s="405">
        <v>566</v>
      </c>
      <c r="BB103" s="414">
        <v>10.099320439100888</v>
      </c>
      <c r="BC103" s="405">
        <v>1390</v>
      </c>
      <c r="BD103" s="405">
        <v>196</v>
      </c>
      <c r="BE103" s="405">
        <v>1586</v>
      </c>
      <c r="BG103" s="384" t="s">
        <v>756</v>
      </c>
      <c r="BJ103" s="384" t="s">
        <v>776</v>
      </c>
      <c r="BK103" s="384" t="s">
        <v>776</v>
      </c>
      <c r="BL103" s="384" t="s">
        <v>776</v>
      </c>
      <c r="BM103" s="384" t="s">
        <v>776</v>
      </c>
      <c r="BN103" s="384" t="s">
        <v>776</v>
      </c>
      <c r="BO103" s="384" t="s">
        <v>776</v>
      </c>
      <c r="BP103" s="384" t="s">
        <v>776</v>
      </c>
      <c r="BQ103" s="384" t="s">
        <v>776</v>
      </c>
    </row>
    <row r="104" spans="2:69" ht="9.9499999999999993" customHeight="1" x14ac:dyDescent="0.15">
      <c r="B104" s="384" t="s">
        <v>792</v>
      </c>
      <c r="E104" s="384" t="s">
        <v>793</v>
      </c>
      <c r="O104" s="369">
        <v>43258</v>
      </c>
      <c r="P104" s="399">
        <f t="shared" si="7"/>
        <v>43258</v>
      </c>
      <c r="Q104" s="400"/>
      <c r="R104" s="400"/>
      <c r="S104" s="400"/>
      <c r="T104" s="400"/>
      <c r="U104" s="400"/>
      <c r="V104" s="400"/>
      <c r="W104" s="400"/>
      <c r="X104" s="401">
        <v>3.5999999999999997E-2</v>
      </c>
      <c r="Y104" s="401">
        <v>4.2999999999999997E-2</v>
      </c>
      <c r="Z104" s="401">
        <v>4.8000000000000001E-2</v>
      </c>
      <c r="AA104" s="401">
        <v>0.06</v>
      </c>
      <c r="AB104" s="402"/>
      <c r="AH104" s="397"/>
      <c r="AI104" s="397"/>
      <c r="AJ104" s="397"/>
      <c r="AL104" s="412" t="s">
        <v>24</v>
      </c>
      <c r="AM104" s="384" t="s">
        <v>219</v>
      </c>
      <c r="AN104" s="384" t="s">
        <v>220</v>
      </c>
      <c r="AO104" s="405">
        <v>9794</v>
      </c>
      <c r="AP104" s="405">
        <v>9794</v>
      </c>
      <c r="AQ104" s="405">
        <v>1951</v>
      </c>
      <c r="AR104" s="405">
        <v>2053</v>
      </c>
      <c r="AS104" s="405">
        <v>0</v>
      </c>
      <c r="AT104" s="405">
        <v>0</v>
      </c>
      <c r="AU104" s="405">
        <v>1638</v>
      </c>
      <c r="AV104" s="405">
        <v>0</v>
      </c>
      <c r="AW104" s="405">
        <v>353</v>
      </c>
      <c r="AX104" s="405">
        <v>62</v>
      </c>
      <c r="AY104" s="405">
        <v>2053</v>
      </c>
      <c r="AZ104" s="405">
        <v>100</v>
      </c>
      <c r="BA104" s="405">
        <v>218</v>
      </c>
      <c r="BB104" s="414">
        <v>13.638577691183634</v>
      </c>
      <c r="BC104" s="405">
        <v>275</v>
      </c>
      <c r="BD104" s="405">
        <v>78</v>
      </c>
      <c r="BE104" s="405">
        <v>353</v>
      </c>
      <c r="BG104" s="384" t="s">
        <v>757</v>
      </c>
      <c r="BJ104" s="413">
        <v>40449</v>
      </c>
      <c r="BK104" s="413">
        <v>40871</v>
      </c>
      <c r="BL104" s="413">
        <v>41413</v>
      </c>
      <c r="BM104" s="413">
        <v>42040</v>
      </c>
      <c r="BN104" s="413">
        <v>42500</v>
      </c>
      <c r="BO104" s="413">
        <v>42758</v>
      </c>
      <c r="BP104" s="413"/>
      <c r="BQ104" s="413"/>
    </row>
    <row r="105" spans="2:69" ht="9.9499999999999993" customHeight="1" x14ac:dyDescent="0.15">
      <c r="B105" s="384" t="s">
        <v>794</v>
      </c>
      <c r="E105" s="384" t="s">
        <v>795</v>
      </c>
      <c r="F105" s="397"/>
      <c r="O105" s="369">
        <v>43259</v>
      </c>
      <c r="P105" s="399">
        <f t="shared" si="7"/>
        <v>43259</v>
      </c>
      <c r="Q105" s="400"/>
      <c r="R105" s="400"/>
      <c r="S105" s="400"/>
      <c r="T105" s="400"/>
      <c r="U105" s="400"/>
      <c r="V105" s="400"/>
      <c r="W105" s="400"/>
      <c r="X105" s="401">
        <v>4.2000000000000003E-2</v>
      </c>
      <c r="Y105" s="401">
        <v>4.2999999999999997E-2</v>
      </c>
      <c r="Z105" s="401">
        <v>4.8000000000000001E-2</v>
      </c>
      <c r="AA105" s="401">
        <v>4.8000000000000001E-2</v>
      </c>
      <c r="AB105" s="402"/>
      <c r="AH105" s="397"/>
      <c r="AI105" s="397"/>
      <c r="AJ105" s="397"/>
      <c r="AL105" s="412" t="s">
        <v>24</v>
      </c>
      <c r="AM105" s="384" t="s">
        <v>222</v>
      </c>
      <c r="AN105" s="384" t="s">
        <v>223</v>
      </c>
      <c r="AO105" s="405">
        <v>5914</v>
      </c>
      <c r="AP105" s="405">
        <v>5914</v>
      </c>
      <c r="AQ105" s="405">
        <v>1555</v>
      </c>
      <c r="AR105" s="405">
        <v>1814</v>
      </c>
      <c r="AS105" s="405">
        <v>0</v>
      </c>
      <c r="AT105" s="405">
        <v>138</v>
      </c>
      <c r="AU105" s="405">
        <v>1583</v>
      </c>
      <c r="AV105" s="405">
        <v>0</v>
      </c>
      <c r="AW105" s="405">
        <v>207</v>
      </c>
      <c r="AX105" s="405">
        <v>24</v>
      </c>
      <c r="AY105" s="405">
        <v>1814</v>
      </c>
      <c r="AZ105" s="405">
        <v>100</v>
      </c>
      <c r="BA105" s="405">
        <v>139</v>
      </c>
      <c r="BB105" s="414">
        <v>15.420081967213115</v>
      </c>
      <c r="BC105" s="405">
        <v>264</v>
      </c>
      <c r="BD105" s="405">
        <v>54</v>
      </c>
      <c r="BE105" s="405">
        <v>318</v>
      </c>
      <c r="BG105" s="384" t="s">
        <v>758</v>
      </c>
      <c r="BJ105" s="413">
        <v>40449</v>
      </c>
      <c r="BK105" s="413">
        <v>40871</v>
      </c>
      <c r="BL105" s="413">
        <v>41413</v>
      </c>
      <c r="BM105" s="413">
        <v>42040</v>
      </c>
      <c r="BN105" s="413">
        <v>42500</v>
      </c>
      <c r="BO105" s="413">
        <v>42758</v>
      </c>
      <c r="BP105" s="413"/>
      <c r="BQ105" s="413"/>
    </row>
    <row r="106" spans="2:69" ht="9.9499999999999993" customHeight="1" x14ac:dyDescent="0.15">
      <c r="B106" s="384" t="s">
        <v>796</v>
      </c>
      <c r="E106" s="384" t="s">
        <v>797</v>
      </c>
      <c r="F106" s="397"/>
      <c r="O106" s="369">
        <v>43260</v>
      </c>
      <c r="P106" s="399">
        <f t="shared" si="7"/>
        <v>43260</v>
      </c>
      <c r="Q106" s="400"/>
      <c r="R106" s="400"/>
      <c r="S106" s="400"/>
      <c r="T106" s="400"/>
      <c r="U106" s="400"/>
      <c r="V106" s="400"/>
      <c r="W106" s="400"/>
      <c r="X106" s="401">
        <v>4.2000000000000003E-2</v>
      </c>
      <c r="Y106" s="401">
        <v>3.9E-2</v>
      </c>
      <c r="Z106" s="401">
        <v>0.04</v>
      </c>
      <c r="AA106" s="401">
        <v>0.03</v>
      </c>
      <c r="AB106" s="402"/>
      <c r="AD106" s="397"/>
      <c r="AE106" s="397"/>
      <c r="AF106" s="397"/>
      <c r="AG106" s="397"/>
      <c r="AH106" s="397"/>
      <c r="AI106" s="397"/>
      <c r="AJ106" s="397"/>
      <c r="AL106" s="412" t="s">
        <v>25</v>
      </c>
      <c r="AM106" s="384" t="s">
        <v>224</v>
      </c>
      <c r="AN106" s="384" t="s">
        <v>225</v>
      </c>
      <c r="AO106" s="405">
        <v>24222</v>
      </c>
      <c r="AP106" s="405">
        <v>24222</v>
      </c>
      <c r="AQ106" s="405">
        <v>9489</v>
      </c>
      <c r="AR106" s="405">
        <v>8670</v>
      </c>
      <c r="AS106" s="405">
        <v>0</v>
      </c>
      <c r="AT106" s="405">
        <v>406</v>
      </c>
      <c r="AU106" s="405">
        <v>8560</v>
      </c>
      <c r="AV106" s="405">
        <v>0</v>
      </c>
      <c r="AW106" s="405">
        <v>922</v>
      </c>
      <c r="AX106" s="405">
        <v>7</v>
      </c>
      <c r="AY106" s="405">
        <v>9489</v>
      </c>
      <c r="AZ106" s="405">
        <v>100</v>
      </c>
      <c r="BA106" s="405">
        <v>579</v>
      </c>
      <c r="BB106" s="414">
        <v>10.025265285497726</v>
      </c>
      <c r="BC106" s="405">
        <v>1556</v>
      </c>
      <c r="BD106" s="405">
        <v>245</v>
      </c>
      <c r="BE106" s="405">
        <v>1801</v>
      </c>
      <c r="BG106" s="384" t="s">
        <v>759</v>
      </c>
      <c r="BJ106" s="413">
        <v>14762</v>
      </c>
      <c r="BK106" s="413">
        <v>15157</v>
      </c>
      <c r="BL106" s="413">
        <v>15037</v>
      </c>
      <c r="BM106" s="413">
        <v>15298</v>
      </c>
      <c r="BN106" s="413">
        <v>15774</v>
      </c>
      <c r="BO106" s="413">
        <v>15648</v>
      </c>
      <c r="BP106" s="413"/>
      <c r="BQ106" s="413"/>
    </row>
    <row r="107" spans="2:69" ht="9.9499999999999993" customHeight="1" x14ac:dyDescent="0.15">
      <c r="B107" s="384" t="s">
        <v>798</v>
      </c>
      <c r="E107" s="384" t="s">
        <v>799</v>
      </c>
      <c r="F107" s="397"/>
      <c r="O107" s="369">
        <v>43261</v>
      </c>
      <c r="P107" s="399">
        <f t="shared" si="7"/>
        <v>43261</v>
      </c>
      <c r="Q107" s="400"/>
      <c r="R107" s="400"/>
      <c r="S107" s="400"/>
      <c r="T107" s="400"/>
      <c r="U107" s="400"/>
      <c r="V107" s="400"/>
      <c r="W107" s="400"/>
      <c r="X107" s="401">
        <v>5.3999999999999999E-2</v>
      </c>
      <c r="Y107" s="401">
        <v>0.04</v>
      </c>
      <c r="Z107" s="401">
        <v>4.2999999999999997E-2</v>
      </c>
      <c r="AA107" s="401">
        <v>3.5999999999999997E-2</v>
      </c>
      <c r="AB107" s="402"/>
      <c r="AD107" s="397"/>
      <c r="AE107" s="397"/>
      <c r="AF107" s="397"/>
      <c r="AG107" s="397"/>
      <c r="AH107" s="397"/>
      <c r="AI107" s="397"/>
      <c r="AJ107" s="397"/>
      <c r="AL107" s="412" t="s">
        <v>25</v>
      </c>
      <c r="AM107" s="384" t="s">
        <v>219</v>
      </c>
      <c r="AN107" s="384" t="s">
        <v>220</v>
      </c>
      <c r="AO107" s="405">
        <v>9775</v>
      </c>
      <c r="AP107" s="405">
        <v>9775</v>
      </c>
      <c r="AQ107" s="405">
        <v>2224</v>
      </c>
      <c r="AR107" s="405">
        <v>2083</v>
      </c>
      <c r="AS107" s="405">
        <v>0</v>
      </c>
      <c r="AT107" s="405">
        <v>0</v>
      </c>
      <c r="AU107" s="405">
        <v>1828</v>
      </c>
      <c r="AV107" s="405">
        <v>0</v>
      </c>
      <c r="AW107" s="405">
        <v>393</v>
      </c>
      <c r="AX107" s="405">
        <v>3</v>
      </c>
      <c r="AY107" s="405">
        <v>2224</v>
      </c>
      <c r="AZ107" s="405">
        <v>100</v>
      </c>
      <c r="BA107" s="405">
        <v>261</v>
      </c>
      <c r="BB107" s="414">
        <v>11.870503597122301</v>
      </c>
      <c r="BC107" s="405">
        <v>336</v>
      </c>
      <c r="BD107" s="405">
        <v>93</v>
      </c>
      <c r="BE107" s="405">
        <v>429</v>
      </c>
      <c r="BG107" s="384" t="s">
        <v>760</v>
      </c>
      <c r="BJ107" s="413">
        <v>13117</v>
      </c>
      <c r="BK107" s="413">
        <v>13731</v>
      </c>
      <c r="BL107" s="413">
        <v>13888</v>
      </c>
      <c r="BM107" s="413">
        <v>13941</v>
      </c>
      <c r="BN107" s="413">
        <v>14084</v>
      </c>
      <c r="BO107" s="413">
        <v>14279</v>
      </c>
      <c r="BP107" s="413"/>
      <c r="BQ107" s="413"/>
    </row>
    <row r="108" spans="2:69" ht="9.9499999999999993" customHeight="1" x14ac:dyDescent="0.15">
      <c r="O108" s="369">
        <v>43262</v>
      </c>
      <c r="P108" s="399">
        <f t="shared" si="7"/>
        <v>43262</v>
      </c>
      <c r="Q108" s="400"/>
      <c r="R108" s="400"/>
      <c r="S108" s="400"/>
      <c r="T108" s="400"/>
      <c r="U108" s="400"/>
      <c r="V108" s="400"/>
      <c r="W108" s="400"/>
      <c r="X108" s="401">
        <v>4.2000000000000003E-2</v>
      </c>
      <c r="Y108" s="401">
        <v>0.04</v>
      </c>
      <c r="Z108" s="401">
        <v>3.9E-2</v>
      </c>
      <c r="AA108" s="401">
        <v>5.3999999999999999E-2</v>
      </c>
      <c r="AB108" s="402"/>
      <c r="AD108" s="397"/>
      <c r="AE108" s="397"/>
      <c r="AF108" s="397"/>
      <c r="AG108" s="397"/>
      <c r="AH108" s="397"/>
      <c r="AI108" s="397"/>
      <c r="AJ108" s="397"/>
      <c r="AL108" s="412" t="s">
        <v>25</v>
      </c>
      <c r="AM108" s="384" t="s">
        <v>222</v>
      </c>
      <c r="AN108" s="384" t="s">
        <v>223</v>
      </c>
      <c r="AO108" s="405">
        <v>5874</v>
      </c>
      <c r="AP108" s="405">
        <v>5874</v>
      </c>
      <c r="AQ108" s="405">
        <v>1898</v>
      </c>
      <c r="AR108" s="405">
        <v>1700</v>
      </c>
      <c r="AS108" s="405">
        <v>0</v>
      </c>
      <c r="AT108" s="405">
        <v>144</v>
      </c>
      <c r="AU108" s="405">
        <v>1679</v>
      </c>
      <c r="AV108" s="405">
        <v>0</v>
      </c>
      <c r="AW108" s="405">
        <v>218</v>
      </c>
      <c r="AX108" s="405">
        <v>1</v>
      </c>
      <c r="AY108" s="405">
        <v>1898</v>
      </c>
      <c r="AZ108" s="405">
        <v>100</v>
      </c>
      <c r="BA108" s="405">
        <v>146</v>
      </c>
      <c r="BB108" s="414">
        <v>14.25073457394711</v>
      </c>
      <c r="BC108" s="405">
        <v>305</v>
      </c>
      <c r="BD108" s="405">
        <v>51</v>
      </c>
      <c r="BE108" s="405">
        <v>356</v>
      </c>
      <c r="BG108" s="384" t="s">
        <v>761</v>
      </c>
      <c r="BJ108" s="413">
        <v>1522</v>
      </c>
      <c r="BK108" s="413">
        <v>0</v>
      </c>
      <c r="BL108" s="413">
        <v>0</v>
      </c>
      <c r="BM108" s="413">
        <v>0</v>
      </c>
      <c r="BN108" s="413">
        <v>0</v>
      </c>
      <c r="BO108" s="413">
        <v>0</v>
      </c>
      <c r="BP108" s="413"/>
      <c r="BQ108" s="413"/>
    </row>
    <row r="109" spans="2:69" ht="9.9499999999999993" customHeight="1" x14ac:dyDescent="0.15">
      <c r="B109" s="415" t="s">
        <v>800</v>
      </c>
      <c r="D109" s="404"/>
      <c r="E109" s="415" t="s">
        <v>671</v>
      </c>
      <c r="O109" s="369">
        <v>43264</v>
      </c>
      <c r="P109" s="399">
        <f t="shared" si="7"/>
        <v>43264</v>
      </c>
      <c r="Q109" s="400"/>
      <c r="R109" s="400"/>
      <c r="S109" s="400"/>
      <c r="T109" s="400"/>
      <c r="U109" s="400">
        <v>95</v>
      </c>
      <c r="V109" s="400">
        <v>34</v>
      </c>
      <c r="W109" s="400"/>
      <c r="X109" s="401"/>
      <c r="Y109" s="401"/>
      <c r="Z109" s="401"/>
      <c r="AA109" s="401"/>
      <c r="AB109" s="402"/>
      <c r="AD109" s="397"/>
      <c r="AE109" s="397"/>
      <c r="AF109" s="397"/>
      <c r="AG109" s="397"/>
      <c r="AH109" s="397"/>
      <c r="AI109" s="397"/>
      <c r="AJ109" s="397"/>
      <c r="AL109" s="412" t="s">
        <v>26</v>
      </c>
      <c r="AM109" s="384" t="s">
        <v>224</v>
      </c>
      <c r="AN109" s="384" t="s">
        <v>225</v>
      </c>
      <c r="AO109" s="405">
        <v>24209</v>
      </c>
      <c r="AP109" s="405">
        <v>24209</v>
      </c>
      <c r="AQ109" s="405">
        <v>9445</v>
      </c>
      <c r="AR109" s="405">
        <v>8401</v>
      </c>
      <c r="AS109" s="405">
        <v>0</v>
      </c>
      <c r="AT109" s="405">
        <v>441</v>
      </c>
      <c r="AU109" s="405">
        <v>8038</v>
      </c>
      <c r="AV109" s="405">
        <v>0</v>
      </c>
      <c r="AW109" s="405">
        <v>1217</v>
      </c>
      <c r="AX109" s="405">
        <v>254</v>
      </c>
      <c r="AY109" s="405">
        <v>9509</v>
      </c>
      <c r="AZ109" s="405">
        <v>100</v>
      </c>
      <c r="BA109" s="405">
        <v>806</v>
      </c>
      <c r="BB109" s="414">
        <v>15.085427135678392</v>
      </c>
      <c r="BC109" s="405">
        <v>1410</v>
      </c>
      <c r="BD109" s="405">
        <v>163</v>
      </c>
      <c r="BE109" s="405">
        <v>1573</v>
      </c>
      <c r="BG109" s="384" t="s">
        <v>762</v>
      </c>
      <c r="BJ109" s="413">
        <v>123</v>
      </c>
      <c r="BK109" s="413">
        <v>127</v>
      </c>
      <c r="BL109" s="413">
        <v>126</v>
      </c>
      <c r="BM109" s="413">
        <v>127</v>
      </c>
      <c r="BN109" s="413">
        <v>132</v>
      </c>
      <c r="BO109" s="413">
        <v>381</v>
      </c>
      <c r="BP109" s="413"/>
      <c r="BQ109" s="413"/>
    </row>
    <row r="110" spans="2:69" ht="9.9499999999999993" customHeight="1" x14ac:dyDescent="0.15">
      <c r="B110" s="416" t="s">
        <v>801</v>
      </c>
      <c r="D110" s="404"/>
      <c r="E110" s="416" t="s">
        <v>683</v>
      </c>
      <c r="G110" s="397"/>
      <c r="O110" s="408">
        <v>43269</v>
      </c>
      <c r="P110" s="399">
        <f t="shared" si="7"/>
        <v>43269</v>
      </c>
      <c r="Q110" s="400"/>
      <c r="R110" s="400"/>
      <c r="S110" s="400"/>
      <c r="T110" s="400"/>
      <c r="U110" s="400">
        <v>160</v>
      </c>
      <c r="V110" s="400">
        <v>54</v>
      </c>
      <c r="W110" s="400"/>
      <c r="X110" s="417">
        <v>5.3999999999999999E-2</v>
      </c>
      <c r="Y110" s="417">
        <v>3.7999999999999999E-2</v>
      </c>
      <c r="Z110" s="417">
        <v>4.2000000000000003E-2</v>
      </c>
      <c r="AA110" s="417">
        <v>0.03</v>
      </c>
      <c r="AB110" s="402"/>
      <c r="AD110" s="397"/>
      <c r="AE110" s="397"/>
      <c r="AF110" s="397"/>
      <c r="AG110" s="397"/>
      <c r="AH110" s="397"/>
      <c r="AI110" s="397"/>
      <c r="AJ110" s="397"/>
      <c r="AL110" s="412" t="s">
        <v>26</v>
      </c>
      <c r="AM110" s="384" t="s">
        <v>219</v>
      </c>
      <c r="AN110" s="384" t="s">
        <v>220</v>
      </c>
      <c r="AO110" s="405">
        <v>9706</v>
      </c>
      <c r="AP110" s="405">
        <v>9706</v>
      </c>
      <c r="AQ110" s="405">
        <v>2138</v>
      </c>
      <c r="AR110" s="405">
        <v>1975</v>
      </c>
      <c r="AS110" s="405">
        <v>0</v>
      </c>
      <c r="AT110" s="405">
        <v>0</v>
      </c>
      <c r="AU110" s="405">
        <v>1729</v>
      </c>
      <c r="AV110" s="405">
        <v>0</v>
      </c>
      <c r="AW110" s="405">
        <v>354</v>
      </c>
      <c r="AX110" s="405">
        <v>55</v>
      </c>
      <c r="AY110" s="405">
        <v>2138</v>
      </c>
      <c r="AZ110" s="405">
        <v>100</v>
      </c>
      <c r="BA110" s="405">
        <v>263</v>
      </c>
      <c r="BB110" s="414">
        <v>14.873713751169317</v>
      </c>
      <c r="BC110" s="405">
        <v>304</v>
      </c>
      <c r="BD110" s="405">
        <v>46</v>
      </c>
      <c r="BE110" s="405">
        <v>350</v>
      </c>
      <c r="BG110" s="384" t="s">
        <v>802</v>
      </c>
      <c r="BJ110" s="413">
        <v>12463</v>
      </c>
      <c r="BK110" s="413">
        <v>12956</v>
      </c>
      <c r="BL110" s="413">
        <v>12868</v>
      </c>
      <c r="BM110" s="413">
        <v>13174</v>
      </c>
      <c r="BN110" s="413">
        <v>13695</v>
      </c>
      <c r="BO110" s="413">
        <v>13314</v>
      </c>
      <c r="BP110" s="411">
        <f>193.73*7+12400</f>
        <v>13756.11</v>
      </c>
      <c r="BQ110" s="411">
        <f>193.7*8+12400</f>
        <v>13949.6</v>
      </c>
    </row>
    <row r="111" spans="2:69" ht="9.9499999999999993" customHeight="1" x14ac:dyDescent="0.15">
      <c r="B111" s="416" t="s">
        <v>803</v>
      </c>
      <c r="D111" s="404"/>
      <c r="E111" s="416" t="s">
        <v>804</v>
      </c>
      <c r="F111" s="397"/>
      <c r="G111" s="397"/>
      <c r="O111" s="408">
        <v>43270</v>
      </c>
      <c r="P111" s="399">
        <f t="shared" si="7"/>
        <v>43270</v>
      </c>
      <c r="Q111" s="400">
        <v>990</v>
      </c>
      <c r="R111" s="400">
        <v>700</v>
      </c>
      <c r="S111" s="400"/>
      <c r="T111" s="400"/>
      <c r="U111" s="400"/>
      <c r="V111" s="400"/>
      <c r="W111" s="400"/>
      <c r="X111" s="417">
        <v>4.2000000000000003E-2</v>
      </c>
      <c r="Y111" s="417">
        <v>4.1000000000000002E-2</v>
      </c>
      <c r="Z111" s="417">
        <v>4.7E-2</v>
      </c>
      <c r="AA111" s="417">
        <v>4.2000000000000003E-2</v>
      </c>
      <c r="AB111" s="402" t="s">
        <v>805</v>
      </c>
      <c r="AD111" s="397"/>
      <c r="AE111" s="397"/>
      <c r="AF111" s="397"/>
      <c r="AG111" s="397"/>
      <c r="AH111" s="397"/>
      <c r="AI111" s="397"/>
      <c r="AJ111" s="397"/>
      <c r="AL111" s="412" t="s">
        <v>26</v>
      </c>
      <c r="AM111" s="384" t="s">
        <v>222</v>
      </c>
      <c r="AN111" s="384" t="s">
        <v>223</v>
      </c>
      <c r="AO111" s="405">
        <v>5774</v>
      </c>
      <c r="AP111" s="405">
        <v>5774</v>
      </c>
      <c r="AQ111" s="405">
        <v>1935</v>
      </c>
      <c r="AR111" s="405">
        <v>1745</v>
      </c>
      <c r="AS111" s="405">
        <v>0</v>
      </c>
      <c r="AT111" s="405">
        <v>152</v>
      </c>
      <c r="AU111" s="405">
        <v>1700</v>
      </c>
      <c r="AV111" s="405">
        <v>0</v>
      </c>
      <c r="AW111" s="405">
        <v>209</v>
      </c>
      <c r="AX111" s="405">
        <v>26</v>
      </c>
      <c r="AY111" s="405">
        <v>1935</v>
      </c>
      <c r="AZ111" s="405">
        <v>100</v>
      </c>
      <c r="BA111" s="405">
        <v>157</v>
      </c>
      <c r="BB111" s="414">
        <v>16.05174892189746</v>
      </c>
      <c r="BC111" s="405">
        <v>297</v>
      </c>
      <c r="BD111" s="405">
        <v>23</v>
      </c>
      <c r="BE111" s="405">
        <v>320</v>
      </c>
      <c r="BG111" s="384" t="s">
        <v>764</v>
      </c>
      <c r="BJ111" s="413">
        <v>0</v>
      </c>
      <c r="BK111" s="413">
        <v>0</v>
      </c>
      <c r="BL111" s="413">
        <v>0</v>
      </c>
      <c r="BM111" s="413">
        <v>0</v>
      </c>
      <c r="BN111" s="413">
        <v>0</v>
      </c>
      <c r="BO111" s="413">
        <v>0</v>
      </c>
      <c r="BP111" s="413"/>
      <c r="BQ111" s="413"/>
    </row>
    <row r="112" spans="2:69" ht="9.9499999999999993" customHeight="1" x14ac:dyDescent="0.15">
      <c r="B112" s="415" t="s">
        <v>806</v>
      </c>
      <c r="D112" s="404"/>
      <c r="E112" s="415" t="s">
        <v>671</v>
      </c>
      <c r="F112" s="397"/>
      <c r="G112" s="397"/>
      <c r="O112" s="408">
        <v>43271</v>
      </c>
      <c r="P112" s="399">
        <f t="shared" si="7"/>
        <v>43271</v>
      </c>
      <c r="Q112" s="400">
        <v>980</v>
      </c>
      <c r="R112" s="400">
        <v>700</v>
      </c>
      <c r="S112" s="400"/>
      <c r="T112" s="400"/>
      <c r="U112" s="400"/>
      <c r="V112" s="400"/>
      <c r="W112" s="400"/>
      <c r="X112" s="417">
        <v>0.06</v>
      </c>
      <c r="Y112" s="417">
        <v>0.04</v>
      </c>
      <c r="Z112" s="417">
        <v>3.4000000000000002E-2</v>
      </c>
      <c r="AA112" s="417">
        <v>4.8000000000000001E-2</v>
      </c>
      <c r="AB112" s="402" t="s">
        <v>805</v>
      </c>
      <c r="AD112" s="397"/>
      <c r="AE112" s="397"/>
      <c r="AF112" s="397"/>
      <c r="AG112" s="397"/>
      <c r="AH112" s="397"/>
      <c r="AI112" s="397"/>
      <c r="AJ112" s="397"/>
      <c r="AL112" s="412" t="s">
        <v>27</v>
      </c>
      <c r="AM112" s="384" t="s">
        <v>224</v>
      </c>
      <c r="AN112" s="384" t="s">
        <v>225</v>
      </c>
      <c r="AO112" s="405">
        <v>24033</v>
      </c>
      <c r="AP112" s="405">
        <v>24033</v>
      </c>
      <c r="AQ112" s="405">
        <v>10223</v>
      </c>
      <c r="AR112" s="405">
        <v>8675</v>
      </c>
      <c r="AS112" s="405">
        <v>0</v>
      </c>
      <c r="AT112" s="405">
        <v>423</v>
      </c>
      <c r="AU112" s="405">
        <v>8405</v>
      </c>
      <c r="AV112" s="405">
        <v>0</v>
      </c>
      <c r="AW112" s="405">
        <v>1092</v>
      </c>
      <c r="AX112" s="405">
        <v>303</v>
      </c>
      <c r="AY112" s="405">
        <v>9800</v>
      </c>
      <c r="AZ112" s="405">
        <v>100</v>
      </c>
      <c r="BA112" s="405">
        <v>718</v>
      </c>
      <c r="BB112" s="414">
        <v>14.125012227330529</v>
      </c>
      <c r="BC112" s="405">
        <v>1532</v>
      </c>
      <c r="BD112" s="405">
        <v>165</v>
      </c>
      <c r="BE112" s="405">
        <v>1697</v>
      </c>
      <c r="BG112" s="384" t="s">
        <v>765</v>
      </c>
      <c r="BJ112" s="413">
        <v>1542</v>
      </c>
      <c r="BK112" s="413">
        <v>1569</v>
      </c>
      <c r="BL112" s="413">
        <v>1552</v>
      </c>
      <c r="BM112" s="413">
        <v>1495</v>
      </c>
      <c r="BN112" s="413">
        <v>1453</v>
      </c>
      <c r="BO112" s="413">
        <v>1444</v>
      </c>
      <c r="BP112" s="413"/>
      <c r="BQ112" s="413"/>
    </row>
    <row r="113" spans="2:69" ht="9.9499999999999993" customHeight="1" x14ac:dyDescent="0.15">
      <c r="B113" s="416" t="s">
        <v>807</v>
      </c>
      <c r="D113" s="404"/>
      <c r="E113" s="416" t="s">
        <v>683</v>
      </c>
      <c r="F113" s="397"/>
      <c r="G113" s="397"/>
      <c r="O113" s="408">
        <v>43272</v>
      </c>
      <c r="P113" s="399">
        <f t="shared" si="7"/>
        <v>43272</v>
      </c>
      <c r="Q113" s="400">
        <v>970</v>
      </c>
      <c r="R113" s="400">
        <v>700</v>
      </c>
      <c r="S113" s="400"/>
      <c r="T113" s="400"/>
      <c r="U113" s="400"/>
      <c r="V113" s="400"/>
      <c r="W113" s="400"/>
      <c r="X113" s="417">
        <v>3.5999999999999997E-2</v>
      </c>
      <c r="Y113" s="417">
        <v>4.1000000000000002E-2</v>
      </c>
      <c r="Z113" s="417">
        <v>4.2999999999999997E-2</v>
      </c>
      <c r="AA113" s="417">
        <v>5.3999999999999999E-2</v>
      </c>
      <c r="AB113" s="402" t="s">
        <v>805</v>
      </c>
      <c r="AD113" s="397"/>
      <c r="AE113" s="397"/>
      <c r="AF113" s="397"/>
      <c r="AG113" s="397"/>
      <c r="AH113" s="397"/>
      <c r="AI113" s="397"/>
      <c r="AJ113" s="397"/>
      <c r="AL113" s="412" t="s">
        <v>27</v>
      </c>
      <c r="AM113" s="384" t="s">
        <v>219</v>
      </c>
      <c r="AN113" s="384" t="s">
        <v>220</v>
      </c>
      <c r="AO113" s="405">
        <v>9590</v>
      </c>
      <c r="AP113" s="405">
        <v>9590</v>
      </c>
      <c r="AQ113" s="405">
        <v>2342</v>
      </c>
      <c r="AR113" s="405">
        <v>2109</v>
      </c>
      <c r="AS113" s="405">
        <v>0</v>
      </c>
      <c r="AT113" s="405">
        <v>0</v>
      </c>
      <c r="AU113" s="405">
        <v>1930</v>
      </c>
      <c r="AV113" s="405">
        <v>0</v>
      </c>
      <c r="AW113" s="405">
        <v>347</v>
      </c>
      <c r="AX113" s="405">
        <v>65</v>
      </c>
      <c r="AY113" s="405">
        <v>2342</v>
      </c>
      <c r="AZ113" s="405">
        <v>100</v>
      </c>
      <c r="BA113" s="405">
        <v>243</v>
      </c>
      <c r="BB113" s="414">
        <v>13.151152860802734</v>
      </c>
      <c r="BC113" s="405">
        <v>353</v>
      </c>
      <c r="BD113" s="405">
        <v>49</v>
      </c>
      <c r="BE113" s="405">
        <v>402</v>
      </c>
      <c r="BG113" s="384" t="s">
        <v>766</v>
      </c>
      <c r="BJ113" s="413">
        <v>516</v>
      </c>
      <c r="BK113" s="413">
        <v>505</v>
      </c>
      <c r="BL113" s="413">
        <v>491</v>
      </c>
      <c r="BM113" s="413">
        <v>502</v>
      </c>
      <c r="BN113" s="413">
        <v>494</v>
      </c>
      <c r="BO113" s="413">
        <v>496</v>
      </c>
      <c r="BP113" s="413"/>
      <c r="BQ113" s="413"/>
    </row>
    <row r="114" spans="2:69" ht="9.9499999999999993" customHeight="1" x14ac:dyDescent="0.15">
      <c r="B114" s="416" t="s">
        <v>808</v>
      </c>
      <c r="D114" s="404"/>
      <c r="E114" s="416" t="s">
        <v>716</v>
      </c>
      <c r="F114" s="397"/>
      <c r="G114" s="397"/>
      <c r="O114" s="408">
        <v>43273</v>
      </c>
      <c r="P114" s="399">
        <f t="shared" si="7"/>
        <v>43273</v>
      </c>
      <c r="Q114" s="400">
        <v>940</v>
      </c>
      <c r="R114" s="400">
        <v>700</v>
      </c>
      <c r="S114" s="400"/>
      <c r="T114" s="400"/>
      <c r="U114" s="400"/>
      <c r="V114" s="400"/>
      <c r="W114" s="41" t="s">
        <v>110</v>
      </c>
      <c r="X114" s="418">
        <v>4.2000000000000003E-2</v>
      </c>
      <c r="Y114" s="419">
        <v>0.04</v>
      </c>
      <c r="Z114" s="417">
        <v>4.3999999999999997E-2</v>
      </c>
      <c r="AA114" s="417">
        <v>4.8000000000000001E-2</v>
      </c>
      <c r="AB114" s="402" t="s">
        <v>805</v>
      </c>
      <c r="AD114" s="397"/>
      <c r="AE114" s="397"/>
      <c r="AF114" s="397"/>
      <c r="AG114" s="397"/>
      <c r="AH114" s="397"/>
      <c r="AI114" s="397"/>
      <c r="AJ114" s="397"/>
      <c r="AL114" s="412" t="s">
        <v>27</v>
      </c>
      <c r="AM114" s="384" t="s">
        <v>222</v>
      </c>
      <c r="AN114" s="384" t="s">
        <v>223</v>
      </c>
      <c r="AO114" s="405">
        <v>5734</v>
      </c>
      <c r="AP114" s="405">
        <v>5734</v>
      </c>
      <c r="AQ114" s="405">
        <v>2209</v>
      </c>
      <c r="AR114" s="405">
        <v>1915</v>
      </c>
      <c r="AS114" s="405">
        <v>0</v>
      </c>
      <c r="AT114" s="405">
        <v>137</v>
      </c>
      <c r="AU114" s="405">
        <v>1832</v>
      </c>
      <c r="AV114" s="405">
        <v>0</v>
      </c>
      <c r="AW114" s="405">
        <v>216</v>
      </c>
      <c r="AX114" s="405">
        <v>24</v>
      </c>
      <c r="AY114" s="405">
        <v>2072</v>
      </c>
      <c r="AZ114" s="405">
        <v>100</v>
      </c>
      <c r="BA114" s="405">
        <v>154</v>
      </c>
      <c r="BB114" s="414">
        <v>14.259846084200998</v>
      </c>
      <c r="BC114" s="405">
        <v>332</v>
      </c>
      <c r="BD114" s="405">
        <v>28</v>
      </c>
      <c r="BE114" s="405">
        <v>360</v>
      </c>
      <c r="BG114" s="384" t="s">
        <v>767</v>
      </c>
      <c r="BJ114" s="413">
        <v>14521</v>
      </c>
      <c r="BK114" s="413">
        <v>15030</v>
      </c>
      <c r="BL114" s="413">
        <v>14911</v>
      </c>
      <c r="BM114" s="413">
        <v>15171</v>
      </c>
      <c r="BN114" s="413">
        <v>15642</v>
      </c>
      <c r="BO114" s="413">
        <v>15254</v>
      </c>
      <c r="BP114" s="413"/>
      <c r="BQ114" s="413"/>
    </row>
    <row r="115" spans="2:69" ht="9.9499999999999993" customHeight="1" x14ac:dyDescent="0.15">
      <c r="O115" s="408">
        <v>43274</v>
      </c>
      <c r="P115" s="399">
        <f t="shared" si="7"/>
        <v>43274</v>
      </c>
      <c r="Q115" s="400">
        <v>870</v>
      </c>
      <c r="R115" s="400">
        <v>700</v>
      </c>
      <c r="S115" s="400"/>
      <c r="T115" s="400"/>
      <c r="U115" s="400"/>
      <c r="V115" s="400"/>
      <c r="W115" s="400"/>
      <c r="X115" s="417">
        <v>4.3999999999999997E-2</v>
      </c>
      <c r="Y115" s="417">
        <v>3.7999999999999999E-2</v>
      </c>
      <c r="Z115" s="417"/>
      <c r="AA115" s="419">
        <v>4.5999999999999999E-2</v>
      </c>
      <c r="AB115" s="402" t="s">
        <v>805</v>
      </c>
      <c r="AD115" s="397"/>
      <c r="AE115" s="397"/>
      <c r="AF115" s="397"/>
      <c r="AG115" s="397"/>
      <c r="AH115" s="397"/>
      <c r="AI115" s="397"/>
      <c r="AJ115" s="397"/>
      <c r="AL115" s="412" t="s">
        <v>28</v>
      </c>
      <c r="AM115" s="384" t="s">
        <v>224</v>
      </c>
      <c r="AN115" s="384" t="s">
        <v>225</v>
      </c>
      <c r="AO115" s="405">
        <v>23980</v>
      </c>
      <c r="AP115" s="405">
        <v>23980</v>
      </c>
      <c r="AQ115" s="405">
        <v>9967</v>
      </c>
      <c r="AR115" s="405">
        <v>8617</v>
      </c>
      <c r="AS115" s="405">
        <v>0</v>
      </c>
      <c r="AT115" s="405">
        <v>388</v>
      </c>
      <c r="AU115" s="405">
        <v>8100</v>
      </c>
      <c r="AV115" s="405">
        <v>0</v>
      </c>
      <c r="AW115" s="405">
        <v>1149</v>
      </c>
      <c r="AX115" s="405">
        <v>330</v>
      </c>
      <c r="AY115" s="405">
        <v>9579</v>
      </c>
      <c r="AZ115" s="405">
        <v>100</v>
      </c>
      <c r="BA115" s="405">
        <v>690</v>
      </c>
      <c r="BB115" s="414">
        <v>14.126617838868267</v>
      </c>
      <c r="BC115" s="405">
        <v>1600</v>
      </c>
      <c r="BD115" s="405">
        <v>183</v>
      </c>
      <c r="BE115" s="405">
        <v>1783</v>
      </c>
      <c r="BG115" s="384" t="s">
        <v>768</v>
      </c>
      <c r="BJ115" s="411">
        <f t="shared" ref="BJ115:BO115" si="13">(BJ110+BJ112+BJ113)/BJ114*100</f>
        <v>100</v>
      </c>
      <c r="BK115" s="411">
        <f t="shared" si="13"/>
        <v>100</v>
      </c>
      <c r="BL115" s="411">
        <f t="shared" si="13"/>
        <v>100</v>
      </c>
      <c r="BM115" s="411">
        <f t="shared" si="13"/>
        <v>100</v>
      </c>
      <c r="BN115" s="411">
        <f t="shared" si="13"/>
        <v>100</v>
      </c>
      <c r="BO115" s="411">
        <f t="shared" si="13"/>
        <v>100</v>
      </c>
      <c r="BP115" s="413"/>
      <c r="BQ115" s="413"/>
    </row>
    <row r="116" spans="2:69" ht="9.9499999999999993" customHeight="1" x14ac:dyDescent="0.15">
      <c r="O116" s="408">
        <v>43276</v>
      </c>
      <c r="P116" s="399">
        <f t="shared" si="7"/>
        <v>43276</v>
      </c>
      <c r="Q116" s="400"/>
      <c r="R116" s="400"/>
      <c r="S116" s="400"/>
      <c r="T116" s="400"/>
      <c r="U116" s="400"/>
      <c r="V116" s="400"/>
      <c r="W116" s="400"/>
      <c r="X116" s="417">
        <v>4.8000000000000001E-2</v>
      </c>
      <c r="Y116" s="417">
        <v>4.2999999999999997E-2</v>
      </c>
      <c r="Z116" s="417">
        <v>4.4999999999999998E-2</v>
      </c>
      <c r="AA116" s="419">
        <v>4.8000000000000001E-2</v>
      </c>
      <c r="AB116" s="402"/>
      <c r="AD116" s="397"/>
      <c r="AE116" s="397"/>
      <c r="AF116" s="397"/>
      <c r="AG116" s="397"/>
      <c r="AH116" s="397"/>
      <c r="AI116" s="397"/>
      <c r="AJ116" s="397"/>
      <c r="AL116" s="412" t="s">
        <v>28</v>
      </c>
      <c r="AM116" s="384" t="s">
        <v>219</v>
      </c>
      <c r="AN116" s="384" t="s">
        <v>220</v>
      </c>
      <c r="AO116" s="405">
        <v>9511</v>
      </c>
      <c r="AP116" s="405">
        <v>9511</v>
      </c>
      <c r="AQ116" s="405">
        <v>2369</v>
      </c>
      <c r="AR116" s="405">
        <v>2170</v>
      </c>
      <c r="AS116" s="405">
        <v>0</v>
      </c>
      <c r="AT116" s="405">
        <v>0</v>
      </c>
      <c r="AU116" s="405">
        <v>1914</v>
      </c>
      <c r="AV116" s="405">
        <v>0</v>
      </c>
      <c r="AW116" s="405">
        <v>356</v>
      </c>
      <c r="AX116" s="405">
        <v>99</v>
      </c>
      <c r="AY116" s="405">
        <v>2369</v>
      </c>
      <c r="AZ116" s="405">
        <v>100</v>
      </c>
      <c r="BA116" s="405">
        <v>241</v>
      </c>
      <c r="BB116" s="414">
        <v>14.352047277332208</v>
      </c>
      <c r="BC116" s="405">
        <v>379</v>
      </c>
      <c r="BD116" s="405">
        <v>48</v>
      </c>
      <c r="BE116" s="405">
        <v>427</v>
      </c>
      <c r="BG116" s="384" t="s">
        <v>769</v>
      </c>
      <c r="BJ116" s="413">
        <v>868</v>
      </c>
      <c r="BK116" s="413">
        <v>808</v>
      </c>
      <c r="BL116" s="413">
        <v>0</v>
      </c>
      <c r="BM116" s="413">
        <v>0</v>
      </c>
      <c r="BN116" s="413">
        <v>0</v>
      </c>
      <c r="BO116" s="413">
        <v>0</v>
      </c>
      <c r="BP116" s="413"/>
      <c r="BQ116" s="413"/>
    </row>
    <row r="117" spans="2:69" ht="9.9499999999999993" customHeight="1" x14ac:dyDescent="0.15">
      <c r="O117" s="408">
        <v>43277</v>
      </c>
      <c r="P117" s="399">
        <f t="shared" si="7"/>
        <v>43277</v>
      </c>
      <c r="Q117" s="400"/>
      <c r="R117" s="400"/>
      <c r="S117" s="400"/>
      <c r="T117" s="400"/>
      <c r="U117" s="400"/>
      <c r="V117" s="400"/>
      <c r="W117" s="400"/>
      <c r="X117" s="417">
        <v>3.5999999999999997E-2</v>
      </c>
      <c r="Y117" s="417">
        <v>4.1000000000000002E-2</v>
      </c>
      <c r="Z117" s="417">
        <v>4.4999999999999998E-2</v>
      </c>
      <c r="AA117" s="419">
        <v>4.2000000000000003E-2</v>
      </c>
      <c r="AB117" s="402"/>
      <c r="AD117" s="397"/>
      <c r="AE117" s="397"/>
      <c r="AF117" s="397"/>
      <c r="AG117" s="397"/>
      <c r="AH117" s="397"/>
      <c r="AI117" s="397"/>
      <c r="AJ117" s="397"/>
      <c r="AL117" s="412" t="s">
        <v>28</v>
      </c>
      <c r="AM117" s="384" t="s">
        <v>222</v>
      </c>
      <c r="AN117" s="384" t="s">
        <v>223</v>
      </c>
      <c r="AO117" s="405">
        <v>5706</v>
      </c>
      <c r="AP117" s="405">
        <v>5706</v>
      </c>
      <c r="AQ117" s="405">
        <v>2271</v>
      </c>
      <c r="AR117" s="405">
        <v>1919</v>
      </c>
      <c r="AS117" s="405">
        <v>0</v>
      </c>
      <c r="AT117" s="405">
        <v>155</v>
      </c>
      <c r="AU117" s="405">
        <v>1858</v>
      </c>
      <c r="AV117" s="405">
        <v>0</v>
      </c>
      <c r="AW117" s="405">
        <v>213</v>
      </c>
      <c r="AX117" s="405">
        <v>45</v>
      </c>
      <c r="AY117" s="405">
        <v>2116</v>
      </c>
      <c r="AZ117" s="405">
        <v>100</v>
      </c>
      <c r="BA117" s="405">
        <v>146</v>
      </c>
      <c r="BB117" s="414">
        <v>15.235579040070455</v>
      </c>
      <c r="BC117" s="405">
        <v>362</v>
      </c>
      <c r="BD117" s="405">
        <v>28</v>
      </c>
      <c r="BE117" s="405">
        <v>390</v>
      </c>
      <c r="BG117" s="384" t="s">
        <v>770</v>
      </c>
      <c r="BJ117" s="407">
        <f t="shared" ref="BJ117:BO117" si="14">(BJ113+BJ109)/(BJ114+BJ109)*100</f>
        <v>4.363561868341983</v>
      </c>
      <c r="BK117" s="407">
        <f t="shared" si="14"/>
        <v>4.1696905720129314</v>
      </c>
      <c r="BL117" s="407">
        <f t="shared" si="14"/>
        <v>4.1032120768770364</v>
      </c>
      <c r="BM117" s="407">
        <f t="shared" si="14"/>
        <v>4.1116485815139239</v>
      </c>
      <c r="BN117" s="407">
        <f t="shared" si="14"/>
        <v>3.9685558514010397</v>
      </c>
      <c r="BO117" s="407">
        <f t="shared" si="14"/>
        <v>5.6092101055324592</v>
      </c>
      <c r="BP117" s="413"/>
      <c r="BQ117" s="413"/>
    </row>
    <row r="118" spans="2:69" ht="9.9499999999999993" customHeight="1" x14ac:dyDescent="0.15">
      <c r="O118" s="408">
        <v>43278</v>
      </c>
      <c r="P118" s="399">
        <f t="shared" si="7"/>
        <v>43278</v>
      </c>
      <c r="Q118" s="400"/>
      <c r="R118" s="400"/>
      <c r="S118" s="400"/>
      <c r="T118" s="400"/>
      <c r="U118" s="400"/>
      <c r="V118" s="400"/>
      <c r="W118" s="400"/>
      <c r="X118" s="417">
        <v>4.8000000000000001E-2</v>
      </c>
      <c r="Y118" s="417">
        <v>4.1000000000000002E-2</v>
      </c>
      <c r="Z118" s="417">
        <v>3.9E-2</v>
      </c>
      <c r="AA118" s="419">
        <v>0.06</v>
      </c>
      <c r="AB118" s="402"/>
      <c r="AD118" s="397"/>
      <c r="AE118" s="397"/>
      <c r="AF118" s="397"/>
      <c r="AG118" s="397"/>
      <c r="AH118" s="397"/>
      <c r="AI118" s="397"/>
      <c r="AJ118" s="397"/>
      <c r="AL118" s="412" t="s">
        <v>29</v>
      </c>
      <c r="AM118" s="384" t="s">
        <v>224</v>
      </c>
      <c r="AN118" s="384" t="s">
        <v>225</v>
      </c>
      <c r="AO118" s="405">
        <v>24115</v>
      </c>
      <c r="AP118" s="405">
        <v>24115</v>
      </c>
      <c r="AQ118" s="405">
        <v>9698</v>
      </c>
      <c r="AR118" s="405">
        <v>8498</v>
      </c>
      <c r="AS118" s="405">
        <v>0</v>
      </c>
      <c r="AT118" s="405">
        <v>372</v>
      </c>
      <c r="AU118" s="405">
        <v>7962</v>
      </c>
      <c r="AV118" s="405">
        <v>0</v>
      </c>
      <c r="AW118" s="405">
        <v>1039</v>
      </c>
      <c r="AX118" s="405">
        <v>325</v>
      </c>
      <c r="AY118" s="405">
        <v>9326</v>
      </c>
      <c r="AZ118" s="405">
        <v>100</v>
      </c>
      <c r="BA118" s="405">
        <v>681</v>
      </c>
      <c r="BB118" s="414">
        <v>14.209115281501342</v>
      </c>
      <c r="BC118" s="405">
        <v>1465</v>
      </c>
      <c r="BD118" s="405">
        <v>216</v>
      </c>
      <c r="BE118" s="405">
        <v>1681</v>
      </c>
      <c r="BG118" s="384" t="s">
        <v>771</v>
      </c>
      <c r="BJ118" s="413">
        <v>2112</v>
      </c>
      <c r="BK118" s="413">
        <v>2535</v>
      </c>
      <c r="BL118" s="413">
        <v>2263</v>
      </c>
      <c r="BM118" s="413">
        <v>2374</v>
      </c>
      <c r="BN118" s="413">
        <v>2371</v>
      </c>
      <c r="BO118" s="413">
        <v>2375</v>
      </c>
      <c r="BP118" s="411">
        <f>26.686*7+2244.9</f>
        <v>2431.7020000000002</v>
      </c>
      <c r="BQ118" s="411">
        <f>26.686*8+2244.9</f>
        <v>2458.3879999999999</v>
      </c>
    </row>
    <row r="119" spans="2:69" ht="9.9499999999999993" customHeight="1" x14ac:dyDescent="0.15">
      <c r="O119" s="408">
        <v>43279</v>
      </c>
      <c r="P119" s="399">
        <f t="shared" si="7"/>
        <v>43279</v>
      </c>
      <c r="Q119" s="400"/>
      <c r="R119" s="400"/>
      <c r="S119" s="400"/>
      <c r="T119" s="400"/>
      <c r="U119" s="400"/>
      <c r="V119" s="400"/>
      <c r="W119" s="400"/>
      <c r="X119" s="417">
        <v>4.2000000000000003E-2</v>
      </c>
      <c r="Y119" s="417">
        <v>0.04</v>
      </c>
      <c r="Z119" s="417">
        <v>3.9E-2</v>
      </c>
      <c r="AA119" s="419">
        <v>5.3999999999999999E-2</v>
      </c>
      <c r="AB119" s="402"/>
      <c r="AD119" s="397"/>
      <c r="AE119" s="397"/>
      <c r="AF119" s="397"/>
      <c r="AG119" s="397"/>
      <c r="AH119" s="397"/>
      <c r="AI119" s="397"/>
      <c r="AJ119" s="397"/>
      <c r="AL119" s="412" t="s">
        <v>29</v>
      </c>
      <c r="AM119" s="384" t="s">
        <v>219</v>
      </c>
      <c r="AN119" s="384" t="s">
        <v>220</v>
      </c>
      <c r="AO119" s="405">
        <v>9377</v>
      </c>
      <c r="AP119" s="405">
        <v>9377</v>
      </c>
      <c r="AQ119" s="405">
        <v>2539</v>
      </c>
      <c r="AR119" s="405">
        <v>2301</v>
      </c>
      <c r="AS119" s="405">
        <v>0</v>
      </c>
      <c r="AT119" s="405">
        <v>0</v>
      </c>
      <c r="AU119" s="405">
        <v>1962</v>
      </c>
      <c r="AV119" s="405">
        <v>0</v>
      </c>
      <c r="AW119" s="405">
        <v>408</v>
      </c>
      <c r="AX119" s="405">
        <v>169</v>
      </c>
      <c r="AY119" s="405">
        <v>2539</v>
      </c>
      <c r="AZ119" s="405">
        <v>100</v>
      </c>
      <c r="BA119" s="405">
        <v>270</v>
      </c>
      <c r="BB119" s="414">
        <v>17.290271760535646</v>
      </c>
      <c r="BC119" s="405">
        <v>366</v>
      </c>
      <c r="BD119" s="405">
        <v>75</v>
      </c>
      <c r="BE119" s="405">
        <v>441</v>
      </c>
      <c r="BG119" s="384" t="s">
        <v>772</v>
      </c>
      <c r="BJ119" s="413">
        <v>345</v>
      </c>
      <c r="BK119" s="413">
        <v>330</v>
      </c>
      <c r="BL119" s="413">
        <v>262</v>
      </c>
      <c r="BM119" s="413">
        <v>284</v>
      </c>
      <c r="BN119" s="413">
        <v>491</v>
      </c>
      <c r="BO119" s="413">
        <v>284</v>
      </c>
      <c r="BP119" s="413"/>
      <c r="BQ119" s="413"/>
    </row>
    <row r="120" spans="2:69" ht="9.9499999999999993" customHeight="1" x14ac:dyDescent="0.15">
      <c r="O120" s="408">
        <v>43280</v>
      </c>
      <c r="P120" s="399">
        <f t="shared" si="7"/>
        <v>43280</v>
      </c>
      <c r="Q120" s="400"/>
      <c r="R120" s="400"/>
      <c r="S120" s="400"/>
      <c r="T120" s="400"/>
      <c r="U120" s="400"/>
      <c r="V120" s="400"/>
      <c r="W120" s="400"/>
      <c r="X120" s="417">
        <v>4.8000000000000001E-2</v>
      </c>
      <c r="Y120" s="417">
        <v>4.1000000000000002E-2</v>
      </c>
      <c r="Z120" s="417">
        <v>4.8000000000000001E-2</v>
      </c>
      <c r="AA120" s="419">
        <v>5.3999999999999999E-2</v>
      </c>
      <c r="AB120" s="402"/>
      <c r="AD120" s="397"/>
      <c r="AE120" s="397"/>
      <c r="AF120" s="397"/>
      <c r="AG120" s="397"/>
      <c r="AH120" s="397"/>
      <c r="AI120" s="397"/>
      <c r="AJ120" s="397"/>
      <c r="AL120" s="412" t="s">
        <v>29</v>
      </c>
      <c r="AM120" s="384" t="s">
        <v>222</v>
      </c>
      <c r="AN120" s="384" t="s">
        <v>223</v>
      </c>
      <c r="AO120" s="405">
        <v>5650</v>
      </c>
      <c r="AP120" s="405">
        <v>5650</v>
      </c>
      <c r="AQ120" s="405">
        <v>2258</v>
      </c>
      <c r="AR120" s="405">
        <v>1900</v>
      </c>
      <c r="AS120" s="405">
        <v>0</v>
      </c>
      <c r="AT120" s="405">
        <v>146</v>
      </c>
      <c r="AU120" s="405">
        <v>1868</v>
      </c>
      <c r="AV120" s="405">
        <v>0</v>
      </c>
      <c r="AW120" s="405">
        <v>200</v>
      </c>
      <c r="AX120" s="405">
        <v>44</v>
      </c>
      <c r="AY120" s="405">
        <v>2112</v>
      </c>
      <c r="AZ120" s="405">
        <v>100</v>
      </c>
      <c r="BA120" s="405">
        <v>147</v>
      </c>
      <c r="BB120" s="414">
        <v>14.924712134632417</v>
      </c>
      <c r="BC120" s="405">
        <v>341</v>
      </c>
      <c r="BD120" s="405">
        <v>34</v>
      </c>
      <c r="BE120" s="405">
        <v>375</v>
      </c>
      <c r="BG120" s="384" t="s">
        <v>773</v>
      </c>
      <c r="BJ120" s="413">
        <v>2457</v>
      </c>
      <c r="BK120" s="413">
        <v>2865</v>
      </c>
      <c r="BL120" s="413">
        <v>2525</v>
      </c>
      <c r="BM120" s="413">
        <v>2658</v>
      </c>
      <c r="BN120" s="413">
        <v>2862</v>
      </c>
      <c r="BO120" s="413">
        <v>2659</v>
      </c>
      <c r="BP120" s="413"/>
      <c r="BQ120" s="413"/>
    </row>
    <row r="121" spans="2:69" ht="9.9499999999999993" customHeight="1" x14ac:dyDescent="0.15">
      <c r="O121" s="408">
        <v>43283</v>
      </c>
      <c r="P121" s="399">
        <f t="shared" si="7"/>
        <v>43283</v>
      </c>
      <c r="Q121" s="400"/>
      <c r="R121" s="400"/>
      <c r="S121" s="400"/>
      <c r="T121" s="400"/>
      <c r="U121" s="400"/>
      <c r="V121" s="400"/>
      <c r="W121" s="400"/>
      <c r="X121" s="417">
        <v>3.5999999999999997E-2</v>
      </c>
      <c r="Y121" s="417">
        <v>3.9E-2</v>
      </c>
      <c r="Z121" s="417">
        <v>4.2000000000000003E-2</v>
      </c>
      <c r="AA121" s="419">
        <v>4.2000000000000003E-2</v>
      </c>
      <c r="AB121" s="402"/>
      <c r="AD121" s="397"/>
      <c r="AE121" s="397"/>
      <c r="AF121" s="397"/>
      <c r="AG121" s="397"/>
      <c r="AH121" s="397"/>
      <c r="AI121" s="397"/>
      <c r="AJ121" s="397"/>
      <c r="AL121" s="412" t="s">
        <v>30</v>
      </c>
      <c r="AM121" s="384" t="s">
        <v>224</v>
      </c>
      <c r="AN121" s="384" t="s">
        <v>225</v>
      </c>
      <c r="AO121" s="405">
        <v>24546</v>
      </c>
      <c r="AP121" s="405">
        <v>24546</v>
      </c>
      <c r="AQ121" s="405">
        <v>9729</v>
      </c>
      <c r="AR121" s="405">
        <v>8455</v>
      </c>
      <c r="AS121" s="405">
        <v>0</v>
      </c>
      <c r="AT121" s="405">
        <v>366</v>
      </c>
      <c r="AU121" s="405">
        <v>8069</v>
      </c>
      <c r="AV121" s="405">
        <v>0</v>
      </c>
      <c r="AW121" s="405">
        <v>1012</v>
      </c>
      <c r="AX121" s="405">
        <v>282</v>
      </c>
      <c r="AY121" s="405">
        <v>9363</v>
      </c>
      <c r="AZ121" s="405">
        <v>100</v>
      </c>
      <c r="BA121" s="405">
        <v>585</v>
      </c>
      <c r="BB121" s="414">
        <v>12.673450508788159</v>
      </c>
      <c r="BC121" s="405">
        <v>1558</v>
      </c>
      <c r="BD121" s="405">
        <v>171</v>
      </c>
      <c r="BE121" s="405">
        <v>1729</v>
      </c>
    </row>
    <row r="122" spans="2:69" ht="9.9499999999999993" customHeight="1" x14ac:dyDescent="0.15">
      <c r="O122" s="408">
        <v>43284</v>
      </c>
      <c r="P122" s="399">
        <f t="shared" si="7"/>
        <v>43284</v>
      </c>
      <c r="Q122" s="400"/>
      <c r="R122" s="400"/>
      <c r="S122" s="400"/>
      <c r="T122" s="400"/>
      <c r="U122" s="400"/>
      <c r="V122" s="400"/>
      <c r="W122" s="400"/>
      <c r="X122" s="417">
        <v>4.8000000000000001E-2</v>
      </c>
      <c r="Y122" s="417">
        <v>4.9000000000000002E-2</v>
      </c>
      <c r="Z122" s="417">
        <v>4.7E-2</v>
      </c>
      <c r="AA122" s="419">
        <v>4.2000000000000003E-2</v>
      </c>
      <c r="AB122" s="402"/>
      <c r="AD122" s="397"/>
      <c r="AE122" s="397"/>
      <c r="AF122" s="397"/>
      <c r="AG122" s="397"/>
      <c r="AH122" s="397"/>
      <c r="AI122" s="397"/>
      <c r="AJ122" s="397"/>
      <c r="AL122" s="412" t="s">
        <v>30</v>
      </c>
      <c r="AM122" s="384" t="s">
        <v>219</v>
      </c>
      <c r="AN122" s="384" t="s">
        <v>220</v>
      </c>
      <c r="AO122" s="405">
        <v>9242</v>
      </c>
      <c r="AP122" s="405">
        <v>9242</v>
      </c>
      <c r="AQ122" s="405">
        <v>2359</v>
      </c>
      <c r="AR122" s="405">
        <v>2147</v>
      </c>
      <c r="AS122" s="405">
        <v>0</v>
      </c>
      <c r="AT122" s="405">
        <v>0</v>
      </c>
      <c r="AU122" s="405">
        <v>1847</v>
      </c>
      <c r="AV122" s="405">
        <v>0</v>
      </c>
      <c r="AW122" s="405">
        <v>364</v>
      </c>
      <c r="AX122" s="405">
        <v>148</v>
      </c>
      <c r="AY122" s="405">
        <v>2359</v>
      </c>
      <c r="AZ122" s="405">
        <v>100</v>
      </c>
      <c r="BA122" s="405">
        <v>246</v>
      </c>
      <c r="BB122" s="414">
        <v>16.701992369648156</v>
      </c>
      <c r="BC122" s="405">
        <v>358</v>
      </c>
      <c r="BD122" s="405">
        <v>51</v>
      </c>
      <c r="BE122" s="405">
        <v>409</v>
      </c>
    </row>
    <row r="123" spans="2:69" ht="9.9499999999999993" customHeight="1" x14ac:dyDescent="0.15">
      <c r="O123" s="408">
        <v>43285</v>
      </c>
      <c r="P123" s="399">
        <f t="shared" si="7"/>
        <v>43285</v>
      </c>
      <c r="Q123" s="400"/>
      <c r="R123" s="400"/>
      <c r="S123" s="400"/>
      <c r="T123" s="400"/>
      <c r="U123" s="400"/>
      <c r="V123" s="400"/>
      <c r="W123" s="400"/>
      <c r="X123" s="417">
        <v>4.2000000000000003E-2</v>
      </c>
      <c r="Y123" s="417">
        <v>4.7E-2</v>
      </c>
      <c r="Z123" s="417">
        <v>4.9000000000000002E-2</v>
      </c>
      <c r="AA123" s="419">
        <v>4.8000000000000001E-2</v>
      </c>
      <c r="AB123" s="402"/>
      <c r="AD123" s="397"/>
      <c r="AE123" s="397"/>
      <c r="AF123" s="397"/>
      <c r="AG123" s="397"/>
      <c r="AH123" s="397"/>
      <c r="AI123" s="397"/>
      <c r="AJ123" s="397"/>
      <c r="AL123" s="412" t="s">
        <v>30</v>
      </c>
      <c r="AM123" s="384" t="s">
        <v>222</v>
      </c>
      <c r="AN123" s="384" t="s">
        <v>223</v>
      </c>
      <c r="AO123" s="405">
        <v>5623</v>
      </c>
      <c r="AP123" s="405">
        <v>5623</v>
      </c>
      <c r="AQ123" s="405">
        <v>2165</v>
      </c>
      <c r="AR123" s="405">
        <v>1809</v>
      </c>
      <c r="AS123" s="405">
        <v>0</v>
      </c>
      <c r="AT123" s="405">
        <v>140</v>
      </c>
      <c r="AU123" s="405">
        <v>1782</v>
      </c>
      <c r="AV123" s="405">
        <v>0</v>
      </c>
      <c r="AW123" s="405">
        <v>199</v>
      </c>
      <c r="AX123" s="405">
        <v>44</v>
      </c>
      <c r="AY123" s="405">
        <v>2025</v>
      </c>
      <c r="AZ123" s="405">
        <v>100</v>
      </c>
      <c r="BA123" s="405">
        <v>135</v>
      </c>
      <c r="BB123" s="414">
        <v>14.734411085450347</v>
      </c>
      <c r="BC123" s="405">
        <v>340</v>
      </c>
      <c r="BD123" s="405">
        <v>31</v>
      </c>
      <c r="BE123" s="405">
        <v>371</v>
      </c>
    </row>
    <row r="124" spans="2:69" ht="9.9499999999999993" customHeight="1" x14ac:dyDescent="0.15">
      <c r="O124" s="398">
        <v>43286</v>
      </c>
      <c r="P124" s="399">
        <f t="shared" si="7"/>
        <v>43286</v>
      </c>
      <c r="Q124" s="400"/>
      <c r="R124" s="400"/>
      <c r="S124" s="400"/>
      <c r="T124" s="400"/>
      <c r="U124" s="400"/>
      <c r="V124" s="400"/>
      <c r="W124" s="400">
        <v>0.7</v>
      </c>
      <c r="X124" s="417">
        <v>4.8000000000000001E-2</v>
      </c>
      <c r="Y124" s="417">
        <v>3.9E-2</v>
      </c>
      <c r="Z124" s="419">
        <v>0.04</v>
      </c>
      <c r="AA124" s="419">
        <v>4.2000000000000003E-2</v>
      </c>
      <c r="AB124" s="402"/>
      <c r="AD124" s="397"/>
      <c r="AE124" s="397"/>
      <c r="AF124" s="397"/>
      <c r="AG124" s="397"/>
      <c r="AH124" s="397"/>
      <c r="AI124" s="397"/>
      <c r="AJ124" s="397"/>
      <c r="AL124" s="412" t="s">
        <v>31</v>
      </c>
      <c r="AM124" s="384" t="s">
        <v>224</v>
      </c>
      <c r="AN124" s="384" t="s">
        <v>225</v>
      </c>
      <c r="AO124" s="405">
        <v>24701</v>
      </c>
      <c r="AP124" s="405">
        <v>24701</v>
      </c>
      <c r="AQ124" s="405">
        <v>9458</v>
      </c>
      <c r="AR124" s="405">
        <v>8235</v>
      </c>
      <c r="AS124" s="405">
        <v>0</v>
      </c>
      <c r="AT124" s="405">
        <v>368</v>
      </c>
      <c r="AU124" s="405">
        <v>7865</v>
      </c>
      <c r="AV124" s="405">
        <v>0</v>
      </c>
      <c r="AW124" s="405">
        <v>1070</v>
      </c>
      <c r="AX124" s="405">
        <v>267</v>
      </c>
      <c r="AY124" s="405">
        <v>9202</v>
      </c>
      <c r="AZ124" s="405">
        <v>100</v>
      </c>
      <c r="BA124" s="405">
        <v>503</v>
      </c>
      <c r="BB124" s="414">
        <v>11.891327063740857</v>
      </c>
      <c r="BC124" s="405">
        <v>1432</v>
      </c>
      <c r="BD124" s="405">
        <v>150</v>
      </c>
      <c r="BE124" s="405">
        <v>1582</v>
      </c>
      <c r="BG124" s="564" t="s">
        <v>742</v>
      </c>
      <c r="BH124" s="567" t="s">
        <v>809</v>
      </c>
      <c r="BI124" s="567" t="s">
        <v>810</v>
      </c>
      <c r="BJ124" s="570" t="s">
        <v>811</v>
      </c>
    </row>
    <row r="125" spans="2:69" ht="9.9499999999999993" customHeight="1" x14ac:dyDescent="0.15">
      <c r="O125" s="398">
        <v>43287</v>
      </c>
      <c r="P125" s="399">
        <f t="shared" si="7"/>
        <v>43287</v>
      </c>
      <c r="Q125" s="400"/>
      <c r="R125" s="400"/>
      <c r="S125" s="400"/>
      <c r="T125" s="400"/>
      <c r="U125" s="400"/>
      <c r="V125" s="400"/>
      <c r="W125" s="400"/>
      <c r="X125" s="417">
        <v>4.2000000000000003E-2</v>
      </c>
      <c r="Y125" s="417">
        <v>4.7E-2</v>
      </c>
      <c r="Z125" s="419">
        <v>3.7999999999999999E-2</v>
      </c>
      <c r="AA125" s="419">
        <v>4.2000000000000003E-2</v>
      </c>
      <c r="AB125" s="402"/>
      <c r="AD125" s="397"/>
      <c r="AE125" s="397"/>
      <c r="AF125" s="397"/>
      <c r="AG125" s="397"/>
      <c r="AH125" s="397"/>
      <c r="AI125" s="397"/>
      <c r="AJ125" s="397"/>
      <c r="AL125" s="412" t="s">
        <v>31</v>
      </c>
      <c r="AM125" s="384" t="s">
        <v>219</v>
      </c>
      <c r="AN125" s="384" t="s">
        <v>220</v>
      </c>
      <c r="AO125" s="405">
        <v>9129</v>
      </c>
      <c r="AP125" s="405">
        <v>9129</v>
      </c>
      <c r="AQ125" s="405">
        <v>2462</v>
      </c>
      <c r="AR125" s="405">
        <v>2121</v>
      </c>
      <c r="AS125" s="405">
        <v>0</v>
      </c>
      <c r="AT125" s="405">
        <v>0</v>
      </c>
      <c r="AU125" s="405">
        <v>1915</v>
      </c>
      <c r="AV125" s="405">
        <v>0</v>
      </c>
      <c r="AW125" s="405">
        <v>400</v>
      </c>
      <c r="AX125" s="405">
        <v>147</v>
      </c>
      <c r="AY125" s="405">
        <v>2462</v>
      </c>
      <c r="AZ125" s="405">
        <v>100</v>
      </c>
      <c r="BA125" s="405">
        <v>225</v>
      </c>
      <c r="BB125" s="414">
        <v>15.109666937449228</v>
      </c>
      <c r="BC125" s="405">
        <v>355</v>
      </c>
      <c r="BD125" s="405">
        <v>89</v>
      </c>
      <c r="BE125" s="405">
        <v>444</v>
      </c>
      <c r="BG125" s="565"/>
      <c r="BH125" s="568"/>
      <c r="BI125" s="568"/>
      <c r="BJ125" s="565"/>
    </row>
    <row r="126" spans="2:69" ht="9.9499999999999993" customHeight="1" x14ac:dyDescent="0.15">
      <c r="O126" s="398">
        <v>43290</v>
      </c>
      <c r="P126" s="399">
        <f t="shared" si="7"/>
        <v>43290</v>
      </c>
      <c r="Q126" s="400"/>
      <c r="R126" s="400"/>
      <c r="S126" s="400"/>
      <c r="T126" s="400"/>
      <c r="U126" s="400"/>
      <c r="V126" s="400"/>
      <c r="W126" s="400"/>
      <c r="X126" s="417">
        <v>5.3999999999999999E-2</v>
      </c>
      <c r="Y126" s="417">
        <v>4.2999999999999997E-2</v>
      </c>
      <c r="Z126" s="419">
        <v>4.1000000000000002E-2</v>
      </c>
      <c r="AA126" s="419">
        <v>4.8000000000000001E-2</v>
      </c>
      <c r="AB126" s="402"/>
      <c r="AD126" s="397"/>
      <c r="AE126" s="397"/>
      <c r="AF126" s="397"/>
      <c r="AG126" s="397"/>
      <c r="AH126" s="397"/>
      <c r="AI126" s="397"/>
      <c r="AJ126" s="397"/>
      <c r="AL126" s="412" t="s">
        <v>31</v>
      </c>
      <c r="AM126" s="384" t="s">
        <v>222</v>
      </c>
      <c r="AN126" s="384" t="s">
        <v>223</v>
      </c>
      <c r="AO126" s="405">
        <v>5498</v>
      </c>
      <c r="AP126" s="405">
        <v>5498</v>
      </c>
      <c r="AQ126" s="405">
        <v>2219</v>
      </c>
      <c r="AR126" s="405">
        <v>1816</v>
      </c>
      <c r="AS126" s="405">
        <v>0</v>
      </c>
      <c r="AT126" s="405">
        <v>128</v>
      </c>
      <c r="AU126" s="405">
        <v>1815</v>
      </c>
      <c r="AV126" s="405">
        <v>0</v>
      </c>
      <c r="AW126" s="405">
        <v>232</v>
      </c>
      <c r="AX126" s="405">
        <v>44</v>
      </c>
      <c r="AY126" s="405">
        <v>2091</v>
      </c>
      <c r="AZ126" s="405">
        <v>100</v>
      </c>
      <c r="BA126" s="405">
        <v>126</v>
      </c>
      <c r="BB126" s="414">
        <v>13.429472735466428</v>
      </c>
      <c r="BC126" s="405">
        <v>330</v>
      </c>
      <c r="BD126" s="405">
        <v>39</v>
      </c>
      <c r="BE126" s="405">
        <v>369</v>
      </c>
      <c r="BG126" s="565"/>
      <c r="BH126" s="568"/>
      <c r="BI126" s="568"/>
      <c r="BJ126" s="565"/>
    </row>
    <row r="127" spans="2:69" ht="9.9499999999999993" customHeight="1" x14ac:dyDescent="0.15">
      <c r="O127" s="398">
        <v>43291</v>
      </c>
      <c r="P127" s="399">
        <f t="shared" si="7"/>
        <v>43291</v>
      </c>
      <c r="Q127" s="400"/>
      <c r="R127" s="400"/>
      <c r="S127" s="400"/>
      <c r="T127" s="400"/>
      <c r="U127" s="400"/>
      <c r="V127" s="400"/>
      <c r="W127" s="400"/>
      <c r="X127" s="417">
        <v>4.2000000000000003E-2</v>
      </c>
      <c r="Y127" s="417">
        <v>3.4000000000000002E-2</v>
      </c>
      <c r="Z127" s="419">
        <v>4.4999999999999998E-2</v>
      </c>
      <c r="AA127" s="419">
        <v>3.5999999999999997E-2</v>
      </c>
      <c r="AB127" s="402"/>
      <c r="AD127" s="397"/>
      <c r="AE127" s="397"/>
      <c r="AF127" s="397"/>
      <c r="AG127" s="397"/>
      <c r="AH127" s="397"/>
      <c r="AI127" s="397"/>
      <c r="AJ127" s="397"/>
      <c r="AL127" s="412" t="s">
        <v>32</v>
      </c>
      <c r="AM127" s="384" t="s">
        <v>224</v>
      </c>
      <c r="AN127" s="384" t="s">
        <v>225</v>
      </c>
      <c r="AO127" s="405">
        <v>24921</v>
      </c>
      <c r="AP127" s="405">
        <v>24921</v>
      </c>
      <c r="AQ127" s="405">
        <v>9763</v>
      </c>
      <c r="AR127" s="405">
        <v>8301</v>
      </c>
      <c r="AS127" s="405">
        <v>0</v>
      </c>
      <c r="AT127" s="405">
        <v>350</v>
      </c>
      <c r="AU127" s="405">
        <v>8092</v>
      </c>
      <c r="AV127" s="405">
        <v>0</v>
      </c>
      <c r="AW127" s="405">
        <v>1056</v>
      </c>
      <c r="AX127" s="405">
        <v>265</v>
      </c>
      <c r="AY127" s="405">
        <v>9413</v>
      </c>
      <c r="AZ127" s="405">
        <v>100</v>
      </c>
      <c r="BA127" s="405">
        <v>479</v>
      </c>
      <c r="BB127" s="414">
        <v>11.205572057769128</v>
      </c>
      <c r="BC127" s="405">
        <v>1411</v>
      </c>
      <c r="BD127" s="405">
        <v>167</v>
      </c>
      <c r="BE127" s="405">
        <v>1578</v>
      </c>
      <c r="BG127" s="566"/>
      <c r="BH127" s="569"/>
      <c r="BI127" s="569"/>
      <c r="BJ127" s="566"/>
    </row>
    <row r="128" spans="2:69" ht="9.9499999999999993" customHeight="1" x14ac:dyDescent="0.15">
      <c r="O128" s="398">
        <v>43292</v>
      </c>
      <c r="P128" s="399">
        <f t="shared" si="7"/>
        <v>43292</v>
      </c>
      <c r="Q128" s="400"/>
      <c r="R128" s="400"/>
      <c r="S128" s="400"/>
      <c r="T128" s="400"/>
      <c r="U128" s="400"/>
      <c r="V128" s="400"/>
      <c r="W128" s="400"/>
      <c r="X128" s="417">
        <v>4.8000000000000001E-2</v>
      </c>
      <c r="Y128" s="417">
        <v>4.5999999999999999E-2</v>
      </c>
      <c r="Z128" s="419">
        <v>3.9E-2</v>
      </c>
      <c r="AA128" s="419">
        <v>4.2000000000000003E-2</v>
      </c>
      <c r="AB128" s="402"/>
      <c r="AD128" s="397"/>
      <c r="AE128" s="397"/>
      <c r="AF128" s="397"/>
      <c r="AG128" s="397"/>
      <c r="AH128" s="397"/>
      <c r="AI128" s="397"/>
      <c r="AJ128" s="397"/>
      <c r="AL128" s="412" t="s">
        <v>32</v>
      </c>
      <c r="AM128" s="384" t="s">
        <v>219</v>
      </c>
      <c r="AN128" s="384" t="s">
        <v>220</v>
      </c>
      <c r="AO128" s="405">
        <v>9075</v>
      </c>
      <c r="AP128" s="405">
        <v>9075</v>
      </c>
      <c r="AQ128" s="405">
        <v>2656</v>
      </c>
      <c r="AR128" s="405">
        <v>2208</v>
      </c>
      <c r="AS128" s="405">
        <v>0</v>
      </c>
      <c r="AT128" s="405">
        <v>0</v>
      </c>
      <c r="AU128" s="405">
        <v>2167</v>
      </c>
      <c r="AV128" s="405">
        <v>0</v>
      </c>
      <c r="AW128" s="405">
        <v>367</v>
      </c>
      <c r="AX128" s="405">
        <v>122</v>
      </c>
      <c r="AY128" s="405">
        <v>2656</v>
      </c>
      <c r="AZ128" s="405">
        <v>100</v>
      </c>
      <c r="BA128" s="405">
        <v>192</v>
      </c>
      <c r="BB128" s="414">
        <v>11.822289156626505</v>
      </c>
      <c r="BC128" s="405">
        <v>380</v>
      </c>
      <c r="BD128" s="405">
        <v>53</v>
      </c>
      <c r="BE128" s="405">
        <v>433</v>
      </c>
      <c r="BG128" s="420">
        <v>40831</v>
      </c>
      <c r="BH128" s="421">
        <v>1630</v>
      </c>
      <c r="BI128" s="421"/>
      <c r="BJ128" s="422"/>
    </row>
    <row r="129" spans="15:62" ht="9.9499999999999993" customHeight="1" x14ac:dyDescent="0.15">
      <c r="O129" s="398">
        <v>43293</v>
      </c>
      <c r="P129" s="399">
        <f t="shared" si="7"/>
        <v>43293</v>
      </c>
      <c r="Q129" s="400"/>
      <c r="R129" s="400"/>
      <c r="S129" s="400"/>
      <c r="T129" s="400"/>
      <c r="U129" s="400"/>
      <c r="V129" s="400"/>
      <c r="W129" s="400"/>
      <c r="X129" s="417">
        <v>4.2000000000000003E-2</v>
      </c>
      <c r="Y129" s="417">
        <v>4.1000000000000002E-2</v>
      </c>
      <c r="Z129" s="419">
        <v>4.4999999999999998E-2</v>
      </c>
      <c r="AA129" s="419">
        <v>4.2000000000000003E-2</v>
      </c>
      <c r="AB129" s="402"/>
      <c r="AD129" s="397"/>
      <c r="AE129" s="397"/>
      <c r="AF129" s="397"/>
      <c r="AG129" s="397"/>
      <c r="AH129" s="397"/>
      <c r="AI129" s="397"/>
      <c r="AJ129" s="397"/>
      <c r="AL129" s="412" t="s">
        <v>32</v>
      </c>
      <c r="AM129" s="384" t="s">
        <v>222</v>
      </c>
      <c r="AN129" s="384" t="s">
        <v>223</v>
      </c>
      <c r="AO129" s="405">
        <v>5440</v>
      </c>
      <c r="AP129" s="405">
        <v>5440</v>
      </c>
      <c r="AQ129" s="405">
        <v>2202</v>
      </c>
      <c r="AR129" s="405">
        <v>1778</v>
      </c>
      <c r="AS129" s="405">
        <v>0</v>
      </c>
      <c r="AT129" s="405">
        <v>127</v>
      </c>
      <c r="AU129" s="405">
        <v>1814</v>
      </c>
      <c r="AV129" s="405">
        <v>0</v>
      </c>
      <c r="AW129" s="405">
        <v>220</v>
      </c>
      <c r="AX129" s="405">
        <v>41</v>
      </c>
      <c r="AY129" s="405">
        <v>2075</v>
      </c>
      <c r="AZ129" s="405">
        <v>100</v>
      </c>
      <c r="BA129" s="405">
        <v>133</v>
      </c>
      <c r="BB129" s="414">
        <v>13.669391462306994</v>
      </c>
      <c r="BC129" s="405">
        <v>310</v>
      </c>
      <c r="BD129" s="405">
        <v>32</v>
      </c>
      <c r="BE129" s="405">
        <v>342</v>
      </c>
      <c r="BG129" s="420">
        <v>43209</v>
      </c>
      <c r="BH129" s="421">
        <v>110</v>
      </c>
      <c r="BI129" s="421">
        <v>32</v>
      </c>
      <c r="BJ129" s="422">
        <f>BH129/BI129</f>
        <v>3.4375</v>
      </c>
    </row>
    <row r="130" spans="15:62" ht="9.9499999999999993" customHeight="1" x14ac:dyDescent="0.15">
      <c r="O130" s="398">
        <v>43294</v>
      </c>
      <c r="P130" s="399">
        <f t="shared" si="7"/>
        <v>43294</v>
      </c>
      <c r="Q130" s="400"/>
      <c r="R130" s="400"/>
      <c r="S130" s="400"/>
      <c r="T130" s="400"/>
      <c r="U130" s="400"/>
      <c r="V130" s="400"/>
      <c r="W130" s="400"/>
      <c r="X130" s="417">
        <v>4.8000000000000001E-2</v>
      </c>
      <c r="Y130" s="417">
        <v>3.6999999999999998E-2</v>
      </c>
      <c r="Z130" s="419">
        <v>3.7999999999999999E-2</v>
      </c>
      <c r="AA130" s="419">
        <v>4.2000000000000003E-2</v>
      </c>
      <c r="AB130" s="402"/>
      <c r="AD130" s="397"/>
      <c r="AE130" s="397"/>
      <c r="AF130" s="397"/>
      <c r="AG130" s="397"/>
      <c r="AH130" s="397"/>
      <c r="AI130" s="397"/>
      <c r="AJ130" s="397"/>
      <c r="AL130" s="412" t="s">
        <v>33</v>
      </c>
      <c r="AM130" s="384" t="s">
        <v>224</v>
      </c>
      <c r="AN130" s="384" t="s">
        <v>225</v>
      </c>
      <c r="AO130" s="405">
        <v>25960</v>
      </c>
      <c r="AP130" s="405">
        <v>25960</v>
      </c>
      <c r="AQ130" s="405">
        <v>10002</v>
      </c>
      <c r="AR130" s="405">
        <v>8879</v>
      </c>
      <c r="AS130" s="405">
        <v>1123</v>
      </c>
      <c r="AT130" s="405">
        <v>0</v>
      </c>
      <c r="AU130" s="405">
        <v>8580</v>
      </c>
      <c r="AV130" s="405">
        <v>0</v>
      </c>
      <c r="AW130" s="405">
        <v>958</v>
      </c>
      <c r="AX130" s="405">
        <v>346</v>
      </c>
      <c r="AY130" s="405">
        <v>9884</v>
      </c>
      <c r="AZ130" s="405">
        <v>100</v>
      </c>
      <c r="BA130" s="405">
        <v>529</v>
      </c>
      <c r="BB130" s="414">
        <v>8.8526912181303103</v>
      </c>
      <c r="BC130" s="405">
        <v>1440</v>
      </c>
      <c r="BD130" s="405">
        <v>236</v>
      </c>
      <c r="BE130" s="405">
        <v>1676</v>
      </c>
      <c r="BG130" s="420">
        <v>43241</v>
      </c>
      <c r="BH130" s="421">
        <v>373</v>
      </c>
      <c r="BI130" s="421">
        <v>110</v>
      </c>
      <c r="BJ130" s="422">
        <f t="shared" ref="BJ130:BJ144" si="15">BH130/BI130</f>
        <v>3.3909090909090911</v>
      </c>
    </row>
    <row r="131" spans="15:62" ht="9.9499999999999993" customHeight="1" x14ac:dyDescent="0.15">
      <c r="O131" s="398">
        <v>43297</v>
      </c>
      <c r="P131" s="399">
        <f t="shared" si="7"/>
        <v>43297</v>
      </c>
      <c r="Q131" s="400"/>
      <c r="R131" s="400"/>
      <c r="S131" s="400"/>
      <c r="T131" s="400"/>
      <c r="U131" s="400"/>
      <c r="V131" s="400"/>
      <c r="W131" s="400"/>
      <c r="X131" s="417">
        <v>4.2000000000000003E-2</v>
      </c>
      <c r="Y131" s="417">
        <v>4.2999999999999997E-2</v>
      </c>
      <c r="Z131" s="419"/>
      <c r="AA131" s="419">
        <v>4.9000000000000002E-2</v>
      </c>
      <c r="AB131" s="402"/>
      <c r="AD131" s="397"/>
      <c r="AE131" s="397"/>
      <c r="AF131" s="397"/>
      <c r="AG131" s="397"/>
      <c r="AH131" s="397"/>
      <c r="AI131" s="397"/>
      <c r="AJ131" s="397"/>
      <c r="AL131" s="412" t="s">
        <v>33</v>
      </c>
      <c r="AM131" s="384" t="s">
        <v>219</v>
      </c>
      <c r="AN131" s="384" t="s">
        <v>220</v>
      </c>
      <c r="AO131" s="405">
        <v>8955</v>
      </c>
      <c r="AP131" s="405">
        <v>8955</v>
      </c>
      <c r="AQ131" s="405">
        <v>2696</v>
      </c>
      <c r="AR131" s="405">
        <v>2422</v>
      </c>
      <c r="AS131" s="405">
        <v>274</v>
      </c>
      <c r="AT131" s="405">
        <v>0</v>
      </c>
      <c r="AU131" s="405">
        <v>2160</v>
      </c>
      <c r="AV131" s="405">
        <v>0</v>
      </c>
      <c r="AW131" s="405">
        <v>397</v>
      </c>
      <c r="AX131" s="405">
        <v>139</v>
      </c>
      <c r="AY131" s="405">
        <v>2696</v>
      </c>
      <c r="AZ131" s="405">
        <v>100</v>
      </c>
      <c r="BA131" s="405">
        <v>222</v>
      </c>
      <c r="BB131" s="414">
        <v>13.390207715133531</v>
      </c>
      <c r="BC131" s="405">
        <v>386</v>
      </c>
      <c r="BD131" s="405">
        <v>78</v>
      </c>
      <c r="BE131" s="405">
        <v>464</v>
      </c>
      <c r="BG131" s="420">
        <v>43264</v>
      </c>
      <c r="BH131" s="421">
        <v>95</v>
      </c>
      <c r="BI131" s="421">
        <v>34</v>
      </c>
      <c r="BJ131" s="422">
        <f t="shared" si="15"/>
        <v>2.7941176470588234</v>
      </c>
    </row>
    <row r="132" spans="15:62" ht="9.9499999999999993" customHeight="1" x14ac:dyDescent="0.15">
      <c r="O132" s="398">
        <v>43298</v>
      </c>
      <c r="P132" s="399">
        <f t="shared" si="7"/>
        <v>43298</v>
      </c>
      <c r="Q132" s="400"/>
      <c r="R132" s="400"/>
      <c r="S132" s="400"/>
      <c r="T132" s="400"/>
      <c r="U132" s="400">
        <v>110</v>
      </c>
      <c r="V132" s="400">
        <v>47</v>
      </c>
      <c r="W132" s="400"/>
      <c r="X132" s="417">
        <v>4.8000000000000001E-2</v>
      </c>
      <c r="Y132" s="417">
        <v>4.1000000000000002E-2</v>
      </c>
      <c r="Z132" s="417">
        <v>4.2000000000000003E-2</v>
      </c>
      <c r="AA132" s="417">
        <v>4.2000000000000003E-2</v>
      </c>
      <c r="AB132" s="402"/>
      <c r="AD132" s="397"/>
      <c r="AE132" s="397"/>
      <c r="AF132" s="397"/>
      <c r="AG132" s="397"/>
      <c r="AH132" s="397"/>
      <c r="AI132" s="397"/>
      <c r="AJ132" s="397"/>
      <c r="AL132" s="412" t="s">
        <v>33</v>
      </c>
      <c r="AM132" s="384" t="s">
        <v>222</v>
      </c>
      <c r="AN132" s="384" t="s">
        <v>223</v>
      </c>
      <c r="AO132" s="405">
        <v>5534</v>
      </c>
      <c r="AP132" s="405">
        <v>5534</v>
      </c>
      <c r="AQ132" s="405">
        <v>2064</v>
      </c>
      <c r="AR132" s="405">
        <v>1816</v>
      </c>
      <c r="AS132" s="405">
        <v>125</v>
      </c>
      <c r="AT132" s="405">
        <v>123</v>
      </c>
      <c r="AU132" s="405">
        <v>1723</v>
      </c>
      <c r="AV132" s="405">
        <v>0</v>
      </c>
      <c r="AW132" s="405">
        <v>187</v>
      </c>
      <c r="AX132" s="405">
        <v>31</v>
      </c>
      <c r="AY132" s="405">
        <v>1941</v>
      </c>
      <c r="AZ132" s="405">
        <v>100</v>
      </c>
      <c r="BA132" s="405">
        <v>117</v>
      </c>
      <c r="BB132" s="414">
        <v>13.129844961240311</v>
      </c>
      <c r="BC132" s="405">
        <v>286</v>
      </c>
      <c r="BD132" s="405">
        <v>31</v>
      </c>
      <c r="BE132" s="405">
        <v>317</v>
      </c>
      <c r="BG132" s="420">
        <v>43269</v>
      </c>
      <c r="BH132" s="421">
        <v>160</v>
      </c>
      <c r="BI132" s="421">
        <v>54</v>
      </c>
      <c r="BJ132" s="422">
        <f t="shared" si="15"/>
        <v>2.9629629629629628</v>
      </c>
    </row>
    <row r="133" spans="15:62" ht="9.9499999999999993" customHeight="1" x14ac:dyDescent="0.15">
      <c r="O133" s="398">
        <v>43299</v>
      </c>
      <c r="P133" s="399">
        <f t="shared" si="7"/>
        <v>43299</v>
      </c>
      <c r="Q133" s="400"/>
      <c r="R133" s="400"/>
      <c r="S133" s="400"/>
      <c r="T133" s="400"/>
      <c r="U133" s="400"/>
      <c r="V133" s="400"/>
      <c r="W133" s="400"/>
      <c r="X133" s="417">
        <v>4.2000000000000003E-2</v>
      </c>
      <c r="Y133" s="417">
        <v>4.7E-2</v>
      </c>
      <c r="Z133" s="419">
        <v>4.3999999999999997E-2</v>
      </c>
      <c r="AA133" s="419">
        <v>4.8000000000000001E-2</v>
      </c>
      <c r="AB133" s="402"/>
      <c r="AD133" s="397"/>
      <c r="AE133" s="397"/>
      <c r="AF133" s="397"/>
      <c r="AG133" s="397"/>
      <c r="AH133" s="397"/>
      <c r="AI133" s="397"/>
      <c r="AJ133" s="397"/>
      <c r="AL133" s="412" t="s">
        <v>106</v>
      </c>
      <c r="AM133" s="384" t="s">
        <v>224</v>
      </c>
      <c r="AN133" s="384" t="s">
        <v>225</v>
      </c>
      <c r="AO133" s="405">
        <v>26459</v>
      </c>
      <c r="AP133" s="405">
        <v>26459</v>
      </c>
      <c r="AQ133" s="405">
        <v>10218</v>
      </c>
      <c r="AR133" s="405">
        <v>9385</v>
      </c>
      <c r="AS133" s="405">
        <v>0</v>
      </c>
      <c r="AT133" s="405">
        <v>0</v>
      </c>
      <c r="AU133" s="405">
        <v>8830</v>
      </c>
      <c r="AV133" s="405">
        <v>0</v>
      </c>
      <c r="AW133" s="405">
        <v>1038</v>
      </c>
      <c r="AX133" s="405">
        <v>350</v>
      </c>
      <c r="AY133" s="405">
        <v>10218</v>
      </c>
      <c r="AZ133" s="405">
        <v>100</v>
      </c>
      <c r="BA133" s="405">
        <v>491</v>
      </c>
      <c r="BB133" s="414">
        <v>8.2305734977490701</v>
      </c>
      <c r="BC133" s="405">
        <v>1731</v>
      </c>
      <c r="BD133" s="405">
        <v>233</v>
      </c>
      <c r="BE133" s="405">
        <v>1964</v>
      </c>
      <c r="BG133" s="420">
        <v>43298</v>
      </c>
      <c r="BH133" s="421">
        <v>110</v>
      </c>
      <c r="BI133" s="421">
        <v>47</v>
      </c>
      <c r="BJ133" s="422">
        <f t="shared" si="15"/>
        <v>2.3404255319148937</v>
      </c>
    </row>
    <row r="134" spans="15:62" ht="9.9499999999999993" customHeight="1" x14ac:dyDescent="0.15">
      <c r="O134" s="398">
        <v>43300</v>
      </c>
      <c r="P134" s="399">
        <f t="shared" si="7"/>
        <v>43300</v>
      </c>
      <c r="Q134" s="400"/>
      <c r="R134" s="400"/>
      <c r="S134" s="400"/>
      <c r="T134" s="400"/>
      <c r="U134" s="400"/>
      <c r="V134" s="400"/>
      <c r="W134" s="400"/>
      <c r="X134" s="417">
        <v>3.5999999999999997E-2</v>
      </c>
      <c r="Y134" s="417">
        <v>3.6999999999999998E-2</v>
      </c>
      <c r="Z134" s="419">
        <v>4.5999999999999999E-2</v>
      </c>
      <c r="AA134" s="419">
        <v>4.2000000000000003E-2</v>
      </c>
      <c r="AB134" s="402"/>
      <c r="AD134" s="397"/>
      <c r="AE134" s="397"/>
      <c r="AF134" s="397"/>
      <c r="AG134" s="397"/>
      <c r="AH134" s="397"/>
      <c r="AI134" s="397"/>
      <c r="AJ134" s="397"/>
      <c r="AL134" s="412" t="s">
        <v>106</v>
      </c>
      <c r="AM134" s="384" t="s">
        <v>219</v>
      </c>
      <c r="AN134" s="384" t="s">
        <v>220</v>
      </c>
      <c r="AO134" s="405">
        <v>8855</v>
      </c>
      <c r="AP134" s="405">
        <v>8855</v>
      </c>
      <c r="AQ134" s="405">
        <v>2734</v>
      </c>
      <c r="AR134" s="405">
        <v>2466</v>
      </c>
      <c r="AS134" s="405">
        <v>0</v>
      </c>
      <c r="AT134" s="405">
        <v>0</v>
      </c>
      <c r="AU134" s="405">
        <v>2252</v>
      </c>
      <c r="AV134" s="405">
        <v>0</v>
      </c>
      <c r="AW134" s="405">
        <v>350</v>
      </c>
      <c r="AX134" s="405">
        <v>132</v>
      </c>
      <c r="AY134" s="405">
        <v>2734</v>
      </c>
      <c r="AZ134" s="405">
        <v>100</v>
      </c>
      <c r="BA134" s="405">
        <v>205</v>
      </c>
      <c r="BB134" s="414">
        <v>12.32626188734455</v>
      </c>
      <c r="BC134" s="405">
        <v>442</v>
      </c>
      <c r="BD134" s="405">
        <v>66</v>
      </c>
      <c r="BE134" s="405">
        <v>508</v>
      </c>
      <c r="BG134" s="420">
        <v>43309</v>
      </c>
      <c r="BH134" s="421">
        <v>349</v>
      </c>
      <c r="BI134" s="421">
        <v>74</v>
      </c>
      <c r="BJ134" s="422">
        <f t="shared" si="15"/>
        <v>4.7162162162162158</v>
      </c>
    </row>
    <row r="135" spans="15:62" ht="9.9499999999999993" customHeight="1" x14ac:dyDescent="0.15">
      <c r="O135" s="398">
        <v>43301</v>
      </c>
      <c r="P135" s="399">
        <f t="shared" si="7"/>
        <v>43301</v>
      </c>
      <c r="Q135" s="400"/>
      <c r="R135" s="400"/>
      <c r="S135" s="400"/>
      <c r="T135" s="400"/>
      <c r="U135" s="400"/>
      <c r="V135" s="400"/>
      <c r="W135" s="400"/>
      <c r="X135" s="417">
        <v>4.2000000000000003E-2</v>
      </c>
      <c r="Y135" s="417">
        <v>4.5999999999999999E-2</v>
      </c>
      <c r="Z135" s="419">
        <v>4.5999999999999999E-2</v>
      </c>
      <c r="AA135" s="419">
        <v>4.2000000000000003E-2</v>
      </c>
      <c r="AB135" s="402"/>
      <c r="AD135" s="397"/>
      <c r="AE135" s="397"/>
      <c r="AF135" s="397"/>
      <c r="AG135" s="397"/>
      <c r="AH135" s="397"/>
      <c r="AI135" s="397"/>
      <c r="AJ135" s="397"/>
      <c r="AL135" s="412" t="s">
        <v>106</v>
      </c>
      <c r="AM135" s="384" t="s">
        <v>222</v>
      </c>
      <c r="AN135" s="384" t="s">
        <v>223</v>
      </c>
      <c r="AO135" s="405">
        <v>5557</v>
      </c>
      <c r="AP135" s="405">
        <v>5557</v>
      </c>
      <c r="AQ135" s="405">
        <v>2205</v>
      </c>
      <c r="AR135" s="405">
        <v>1880</v>
      </c>
      <c r="AS135" s="405">
        <v>0</v>
      </c>
      <c r="AT135" s="405">
        <v>127</v>
      </c>
      <c r="AU135" s="405">
        <v>1874</v>
      </c>
      <c r="AV135" s="405">
        <v>0</v>
      </c>
      <c r="AW135" s="405">
        <v>181</v>
      </c>
      <c r="AX135" s="405">
        <v>23</v>
      </c>
      <c r="AY135" s="405">
        <v>2078</v>
      </c>
      <c r="AZ135" s="405">
        <v>100</v>
      </c>
      <c r="BA135" s="405">
        <v>112</v>
      </c>
      <c r="BB135" s="414">
        <v>11.882086167800454</v>
      </c>
      <c r="BC135" s="405">
        <v>362</v>
      </c>
      <c r="BD135" s="405">
        <v>31</v>
      </c>
      <c r="BE135" s="405">
        <v>393</v>
      </c>
      <c r="BG135" s="420">
        <v>43328</v>
      </c>
      <c r="BH135" s="421">
        <v>160</v>
      </c>
      <c r="BI135" s="421">
        <v>59</v>
      </c>
      <c r="BJ135" s="422">
        <f t="shared" si="15"/>
        <v>2.7118644067796609</v>
      </c>
    </row>
    <row r="136" spans="15:62" ht="9.9499999999999993" customHeight="1" x14ac:dyDescent="0.15">
      <c r="O136" s="398">
        <v>43304</v>
      </c>
      <c r="P136" s="399">
        <f t="shared" si="7"/>
        <v>43304</v>
      </c>
      <c r="Q136" s="400"/>
      <c r="R136" s="400"/>
      <c r="S136" s="400"/>
      <c r="T136" s="400"/>
      <c r="U136" s="400"/>
      <c r="V136" s="400"/>
      <c r="W136" s="400"/>
      <c r="X136" s="417">
        <v>4.8000000000000001E-2</v>
      </c>
      <c r="Y136" s="417">
        <v>4.4999999999999998E-2</v>
      </c>
      <c r="Z136" s="419">
        <v>5.0999999999999997E-2</v>
      </c>
      <c r="AA136" s="419">
        <v>4.8000000000000001E-2</v>
      </c>
      <c r="AB136" s="402"/>
      <c r="AD136" s="397"/>
      <c r="AE136" s="397"/>
      <c r="AF136" s="397"/>
      <c r="AG136" s="397"/>
      <c r="AH136" s="397"/>
      <c r="AI136" s="397"/>
      <c r="AJ136" s="397"/>
      <c r="AL136" s="412" t="s">
        <v>107</v>
      </c>
      <c r="AM136" s="384" t="s">
        <v>224</v>
      </c>
      <c r="AN136" s="384" t="s">
        <v>225</v>
      </c>
      <c r="AO136" s="405">
        <v>27061</v>
      </c>
      <c r="AP136" s="405">
        <v>27061</v>
      </c>
      <c r="AQ136" s="405">
        <v>10138</v>
      </c>
      <c r="AR136" s="405">
        <v>9501</v>
      </c>
      <c r="AS136" s="405">
        <v>0</v>
      </c>
      <c r="AT136" s="405">
        <v>0</v>
      </c>
      <c r="AU136" s="405">
        <v>8777</v>
      </c>
      <c r="AV136" s="405">
        <v>0</v>
      </c>
      <c r="AW136" s="405">
        <v>1023</v>
      </c>
      <c r="AX136" s="405">
        <v>338</v>
      </c>
      <c r="AY136" s="405">
        <v>10138</v>
      </c>
      <c r="AZ136" s="405">
        <v>100</v>
      </c>
      <c r="BA136" s="405">
        <v>0</v>
      </c>
      <c r="BB136" s="414">
        <v>3.3339909252318014</v>
      </c>
      <c r="BC136" s="405">
        <v>1545</v>
      </c>
      <c r="BD136" s="405">
        <v>174</v>
      </c>
      <c r="BE136" s="405">
        <v>1719</v>
      </c>
      <c r="BG136" s="420">
        <v>43336</v>
      </c>
      <c r="BH136" s="421">
        <v>210</v>
      </c>
      <c r="BI136" s="421">
        <v>56</v>
      </c>
      <c r="BJ136" s="422">
        <f t="shared" si="15"/>
        <v>3.75</v>
      </c>
    </row>
    <row r="137" spans="15:62" ht="9.9499999999999993" customHeight="1" x14ac:dyDescent="0.15">
      <c r="O137" s="369">
        <v>43305</v>
      </c>
      <c r="P137" s="399">
        <f t="shared" si="7"/>
        <v>43305</v>
      </c>
      <c r="Q137" s="400"/>
      <c r="R137" s="400"/>
      <c r="S137" s="400">
        <v>950</v>
      </c>
      <c r="T137" s="400">
        <v>1500</v>
      </c>
      <c r="U137" s="400"/>
      <c r="V137" s="400"/>
      <c r="W137" s="400"/>
      <c r="X137" s="401">
        <v>4.2000000000000003E-2</v>
      </c>
      <c r="Y137" s="401">
        <v>4.4999999999999998E-2</v>
      </c>
      <c r="Z137" s="401">
        <v>4.2000000000000003E-2</v>
      </c>
      <c r="AA137" s="401">
        <v>5.3999999999999999E-2</v>
      </c>
      <c r="AB137" s="402" t="s">
        <v>812</v>
      </c>
      <c r="AD137" s="397"/>
      <c r="AE137" s="397"/>
      <c r="AF137" s="397"/>
      <c r="AG137" s="397"/>
      <c r="AH137" s="397"/>
      <c r="AI137" s="397"/>
      <c r="AJ137" s="397"/>
      <c r="AL137" s="412" t="s">
        <v>107</v>
      </c>
      <c r="AM137" s="384" t="s">
        <v>219</v>
      </c>
      <c r="AN137" s="384" t="s">
        <v>220</v>
      </c>
      <c r="AO137" s="405">
        <v>8698</v>
      </c>
      <c r="AP137" s="405">
        <v>8698</v>
      </c>
      <c r="AQ137" s="405">
        <v>2517</v>
      </c>
      <c r="AR137" s="405">
        <v>2328</v>
      </c>
      <c r="AS137" s="405">
        <v>0</v>
      </c>
      <c r="AT137" s="405">
        <v>0</v>
      </c>
      <c r="AU137" s="405">
        <v>2045</v>
      </c>
      <c r="AV137" s="405">
        <v>0</v>
      </c>
      <c r="AW137" s="405">
        <v>346</v>
      </c>
      <c r="AX137" s="405">
        <v>126</v>
      </c>
      <c r="AY137" s="405">
        <v>2517</v>
      </c>
      <c r="AZ137" s="405">
        <v>100</v>
      </c>
      <c r="BA137" s="405">
        <v>0</v>
      </c>
      <c r="BB137" s="414">
        <v>5.0059594755661507</v>
      </c>
      <c r="BC137" s="405">
        <v>363</v>
      </c>
      <c r="BD137" s="405">
        <v>60</v>
      </c>
      <c r="BE137" s="405">
        <v>423</v>
      </c>
      <c r="BG137" s="420">
        <v>43356</v>
      </c>
      <c r="BH137" s="421">
        <v>176</v>
      </c>
      <c r="BI137" s="421">
        <v>33</v>
      </c>
      <c r="BJ137" s="422">
        <f t="shared" si="15"/>
        <v>5.333333333333333</v>
      </c>
    </row>
    <row r="138" spans="15:62" ht="9.9499999999999993" customHeight="1" x14ac:dyDescent="0.15">
      <c r="O138" s="369">
        <v>43306</v>
      </c>
      <c r="P138" s="399">
        <f t="shared" si="7"/>
        <v>43306</v>
      </c>
      <c r="Q138" s="400"/>
      <c r="R138" s="400"/>
      <c r="S138" s="400">
        <v>940</v>
      </c>
      <c r="T138" s="400">
        <v>1500</v>
      </c>
      <c r="U138" s="400"/>
      <c r="V138" s="400"/>
      <c r="W138" s="400"/>
      <c r="X138" s="401">
        <v>4.2000000000000003E-2</v>
      </c>
      <c r="Y138" s="401">
        <v>4.2999999999999997E-2</v>
      </c>
      <c r="Z138" s="401">
        <v>4.3999999999999997E-2</v>
      </c>
      <c r="AA138" s="401">
        <v>4.8000000000000001E-2</v>
      </c>
      <c r="AB138" s="402" t="s">
        <v>812</v>
      </c>
      <c r="AD138" s="397"/>
      <c r="AE138" s="397"/>
      <c r="AF138" s="397"/>
      <c r="AG138" s="397"/>
      <c r="AH138" s="397"/>
      <c r="AI138" s="397"/>
      <c r="AJ138" s="397"/>
      <c r="AL138" s="412" t="s">
        <v>107</v>
      </c>
      <c r="AM138" s="384" t="s">
        <v>222</v>
      </c>
      <c r="AN138" s="384" t="s">
        <v>223</v>
      </c>
      <c r="AO138" s="405">
        <v>5654</v>
      </c>
      <c r="AP138" s="405">
        <v>5654</v>
      </c>
      <c r="AQ138" s="405">
        <v>2382</v>
      </c>
      <c r="AR138" s="405">
        <v>2059</v>
      </c>
      <c r="AS138" s="405">
        <v>0</v>
      </c>
      <c r="AT138" s="405">
        <v>126</v>
      </c>
      <c r="AU138" s="405">
        <v>2046</v>
      </c>
      <c r="AV138" s="405">
        <v>0</v>
      </c>
      <c r="AW138" s="405">
        <v>183</v>
      </c>
      <c r="AX138" s="405">
        <v>27</v>
      </c>
      <c r="AY138" s="405">
        <v>2256</v>
      </c>
      <c r="AZ138" s="405">
        <v>100</v>
      </c>
      <c r="BA138" s="405">
        <v>0</v>
      </c>
      <c r="BB138" s="414">
        <v>6.4231738035264483</v>
      </c>
      <c r="BC138" s="405">
        <v>355</v>
      </c>
      <c r="BD138" s="405">
        <v>28</v>
      </c>
      <c r="BE138" s="405">
        <v>383</v>
      </c>
      <c r="BG138" s="420">
        <v>43365</v>
      </c>
      <c r="BH138" s="421">
        <v>253</v>
      </c>
      <c r="BI138" s="421">
        <v>56</v>
      </c>
      <c r="BJ138" s="422">
        <f t="shared" si="15"/>
        <v>4.5178571428571432</v>
      </c>
    </row>
    <row r="139" spans="15:62" ht="9.9499999999999993" customHeight="1" x14ac:dyDescent="0.15">
      <c r="O139" s="369">
        <v>43307</v>
      </c>
      <c r="P139" s="399">
        <f t="shared" si="7"/>
        <v>43307</v>
      </c>
      <c r="Q139" s="400"/>
      <c r="R139" s="400"/>
      <c r="S139" s="400">
        <v>920</v>
      </c>
      <c r="T139" s="400">
        <v>1500</v>
      </c>
      <c r="U139" s="400"/>
      <c r="V139" s="400"/>
      <c r="W139" s="400"/>
      <c r="X139" s="401">
        <v>4.2000000000000003E-2</v>
      </c>
      <c r="Y139" s="401">
        <v>4.5999999999999999E-2</v>
      </c>
      <c r="Z139" s="401">
        <v>4.4999999999999998E-2</v>
      </c>
      <c r="AA139" s="401">
        <v>4.2000000000000003E-2</v>
      </c>
      <c r="AB139" s="402" t="s">
        <v>812</v>
      </c>
      <c r="AD139" s="397"/>
      <c r="AE139" s="397"/>
      <c r="AF139" s="397"/>
      <c r="AG139" s="397"/>
      <c r="AH139" s="397"/>
      <c r="AI139" s="397"/>
      <c r="AJ139" s="397"/>
      <c r="AL139" s="412" t="s">
        <v>34</v>
      </c>
      <c r="AM139" s="384" t="s">
        <v>224</v>
      </c>
      <c r="AN139" s="384" t="s">
        <v>225</v>
      </c>
      <c r="AO139" s="405">
        <v>27655</v>
      </c>
      <c r="AP139" s="405">
        <v>27655</v>
      </c>
      <c r="AQ139" s="405">
        <v>10436</v>
      </c>
      <c r="AR139" s="405">
        <v>9593</v>
      </c>
      <c r="AS139" s="405">
        <v>0</v>
      </c>
      <c r="AT139" s="405">
        <v>0</v>
      </c>
      <c r="AU139" s="405">
        <v>9077</v>
      </c>
      <c r="AV139" s="405">
        <v>0</v>
      </c>
      <c r="AW139" s="405">
        <v>1009</v>
      </c>
      <c r="AX139" s="405">
        <v>350</v>
      </c>
      <c r="AY139" s="405">
        <v>10436</v>
      </c>
      <c r="AZ139" s="405">
        <v>100</v>
      </c>
      <c r="BA139" s="405">
        <v>0</v>
      </c>
      <c r="BB139" s="414">
        <v>3.3537753928708316</v>
      </c>
      <c r="BC139" s="405">
        <v>1637</v>
      </c>
      <c r="BD139" s="405">
        <v>197</v>
      </c>
      <c r="BE139" s="405">
        <v>1834</v>
      </c>
      <c r="BG139" s="420">
        <v>43389</v>
      </c>
      <c r="BH139" s="421">
        <v>208</v>
      </c>
      <c r="BI139" s="421"/>
      <c r="BJ139" s="422"/>
    </row>
    <row r="140" spans="15:62" ht="9.9499999999999993" customHeight="1" x14ac:dyDescent="0.15">
      <c r="O140" s="369">
        <v>43308</v>
      </c>
      <c r="P140" s="399">
        <f t="shared" si="7"/>
        <v>43308</v>
      </c>
      <c r="Q140" s="400"/>
      <c r="R140" s="400"/>
      <c r="S140" s="400">
        <v>950</v>
      </c>
      <c r="T140" s="400">
        <v>1500</v>
      </c>
      <c r="U140" s="400"/>
      <c r="V140" s="400"/>
      <c r="W140" s="400">
        <v>0.9</v>
      </c>
      <c r="X140" s="401">
        <v>4.8000000000000001E-2</v>
      </c>
      <c r="Y140" s="401">
        <v>4.2999999999999997E-2</v>
      </c>
      <c r="Z140" s="401">
        <v>4.8000000000000001E-2</v>
      </c>
      <c r="AA140" s="401">
        <v>3.5999999999999997E-2</v>
      </c>
      <c r="AB140" s="402" t="s">
        <v>812</v>
      </c>
      <c r="AD140" s="397"/>
      <c r="AE140" s="397"/>
      <c r="AF140" s="397"/>
      <c r="AG140" s="397"/>
      <c r="AH140" s="397"/>
      <c r="AI140" s="397"/>
      <c r="AJ140" s="397"/>
      <c r="AL140" s="412" t="s">
        <v>34</v>
      </c>
      <c r="AM140" s="384" t="s">
        <v>219</v>
      </c>
      <c r="AN140" s="384" t="s">
        <v>220</v>
      </c>
      <c r="AO140" s="405">
        <v>8640</v>
      </c>
      <c r="AP140" s="405">
        <v>8640</v>
      </c>
      <c r="AQ140" s="405">
        <v>2386</v>
      </c>
      <c r="AR140" s="405">
        <v>2217</v>
      </c>
      <c r="AS140" s="405">
        <v>0</v>
      </c>
      <c r="AT140" s="405">
        <v>0</v>
      </c>
      <c r="AU140" s="405">
        <v>1959</v>
      </c>
      <c r="AV140" s="405">
        <v>0</v>
      </c>
      <c r="AW140" s="405">
        <v>311</v>
      </c>
      <c r="AX140" s="405">
        <v>116</v>
      </c>
      <c r="AY140" s="405">
        <v>2386</v>
      </c>
      <c r="AZ140" s="405">
        <v>100</v>
      </c>
      <c r="BA140" s="405">
        <v>0</v>
      </c>
      <c r="BB140" s="414">
        <v>4.8616932103939652</v>
      </c>
      <c r="BC140" s="405">
        <v>356</v>
      </c>
      <c r="BD140" s="405">
        <v>58</v>
      </c>
      <c r="BE140" s="405">
        <v>414</v>
      </c>
      <c r="BG140" s="420">
        <v>43399</v>
      </c>
      <c r="BH140" s="421">
        <v>419</v>
      </c>
      <c r="BI140" s="421">
        <v>98</v>
      </c>
      <c r="BJ140" s="422">
        <f t="shared" si="15"/>
        <v>4.2755102040816331</v>
      </c>
    </row>
    <row r="141" spans="15:62" ht="9.9499999999999993" customHeight="1" x14ac:dyDescent="0.15">
      <c r="O141" s="369">
        <v>43309</v>
      </c>
      <c r="P141" s="399">
        <f t="shared" si="7"/>
        <v>43309</v>
      </c>
      <c r="Q141" s="400"/>
      <c r="R141" s="400"/>
      <c r="S141" s="400">
        <v>870</v>
      </c>
      <c r="T141" s="400">
        <v>1500</v>
      </c>
      <c r="U141" s="400">
        <v>349</v>
      </c>
      <c r="V141" s="400">
        <v>74</v>
      </c>
      <c r="W141" s="400"/>
      <c r="X141" s="401">
        <v>4.8000000000000001E-2</v>
      </c>
      <c r="Y141" s="401">
        <v>4.2000000000000003E-2</v>
      </c>
      <c r="Z141" s="401"/>
      <c r="AA141" s="401">
        <v>3.5999999999999997E-2</v>
      </c>
      <c r="AB141" s="402" t="s">
        <v>812</v>
      </c>
      <c r="AD141" s="397"/>
      <c r="AE141" s="397"/>
      <c r="AF141" s="397"/>
      <c r="AG141" s="397"/>
      <c r="AH141" s="397"/>
      <c r="AI141" s="397"/>
      <c r="AJ141" s="397"/>
      <c r="AL141" s="412" t="s">
        <v>34</v>
      </c>
      <c r="AM141" s="384" t="s">
        <v>222</v>
      </c>
      <c r="AN141" s="384" t="s">
        <v>223</v>
      </c>
      <c r="AO141" s="405">
        <v>5745</v>
      </c>
      <c r="AP141" s="405">
        <v>5745</v>
      </c>
      <c r="AQ141" s="405">
        <v>2476</v>
      </c>
      <c r="AR141" s="405">
        <v>2131</v>
      </c>
      <c r="AS141" s="405">
        <v>0</v>
      </c>
      <c r="AT141" s="405">
        <v>127</v>
      </c>
      <c r="AU141" s="405">
        <v>2138</v>
      </c>
      <c r="AV141" s="405">
        <v>0</v>
      </c>
      <c r="AW141" s="405">
        <v>175</v>
      </c>
      <c r="AX141" s="405">
        <v>36</v>
      </c>
      <c r="AY141" s="405">
        <v>2349</v>
      </c>
      <c r="AZ141" s="405">
        <v>100</v>
      </c>
      <c r="BA141" s="405">
        <v>0</v>
      </c>
      <c r="BB141" s="414">
        <v>6.5831987075928922</v>
      </c>
      <c r="BC141" s="405">
        <v>381</v>
      </c>
      <c r="BD141" s="405">
        <v>29</v>
      </c>
      <c r="BE141" s="405">
        <v>410</v>
      </c>
      <c r="BG141" s="420">
        <v>43424</v>
      </c>
      <c r="BH141" s="421">
        <v>165</v>
      </c>
      <c r="BI141" s="421">
        <v>58</v>
      </c>
      <c r="BJ141" s="422">
        <f t="shared" si="15"/>
        <v>2.8448275862068964</v>
      </c>
    </row>
    <row r="142" spans="15:62" ht="9.9499999999999993" customHeight="1" x14ac:dyDescent="0.15">
      <c r="O142" s="369">
        <v>43311</v>
      </c>
      <c r="P142" s="399">
        <f t="shared" si="7"/>
        <v>43311</v>
      </c>
      <c r="Q142" s="400"/>
      <c r="R142" s="400"/>
      <c r="S142" s="400"/>
      <c r="T142" s="400"/>
      <c r="U142" s="400"/>
      <c r="V142" s="400"/>
      <c r="W142" s="400"/>
      <c r="X142" s="401">
        <v>4.8000000000000001E-2</v>
      </c>
      <c r="Y142" s="401">
        <v>3.5999999999999997E-2</v>
      </c>
      <c r="Z142" s="401">
        <v>3.9E-2</v>
      </c>
      <c r="AA142" s="401">
        <v>4.2000000000000003E-2</v>
      </c>
      <c r="AB142" s="402"/>
      <c r="AD142" s="397"/>
      <c r="AE142" s="397"/>
      <c r="AF142" s="397"/>
      <c r="AG142" s="397"/>
      <c r="AH142" s="397"/>
      <c r="AI142" s="397"/>
      <c r="AJ142" s="397"/>
      <c r="AL142" s="412" t="s">
        <v>35</v>
      </c>
      <c r="AM142" s="384" t="s">
        <v>224</v>
      </c>
      <c r="AN142" s="384" t="s">
        <v>225</v>
      </c>
      <c r="AO142" s="405">
        <v>28198</v>
      </c>
      <c r="AP142" s="405">
        <v>28198</v>
      </c>
      <c r="AQ142" s="405">
        <v>10710</v>
      </c>
      <c r="AR142" s="405">
        <v>9721</v>
      </c>
      <c r="AS142" s="405">
        <v>0</v>
      </c>
      <c r="AT142" s="405">
        <v>0</v>
      </c>
      <c r="AU142" s="405">
        <v>9353</v>
      </c>
      <c r="AV142" s="405">
        <v>0</v>
      </c>
      <c r="AW142" s="405">
        <v>1005</v>
      </c>
      <c r="AX142" s="405">
        <v>352</v>
      </c>
      <c r="AY142" s="405">
        <v>10710</v>
      </c>
      <c r="AZ142" s="405">
        <v>100</v>
      </c>
      <c r="BA142" s="405">
        <v>0</v>
      </c>
      <c r="BB142" s="414">
        <v>3.2866479925303458</v>
      </c>
      <c r="BC142" s="405">
        <v>1619</v>
      </c>
      <c r="BD142" s="405">
        <v>358</v>
      </c>
      <c r="BE142" s="405">
        <v>1977</v>
      </c>
      <c r="BG142" s="420">
        <v>43454</v>
      </c>
      <c r="BH142" s="421">
        <v>170</v>
      </c>
      <c r="BI142" s="421">
        <v>45</v>
      </c>
      <c r="BJ142" s="422">
        <f t="shared" si="15"/>
        <v>3.7777777777777777</v>
      </c>
    </row>
    <row r="143" spans="15:62" ht="9.9499999999999993" customHeight="1" x14ac:dyDescent="0.15">
      <c r="O143" s="369">
        <v>43312</v>
      </c>
      <c r="P143" s="399">
        <f t="shared" si="7"/>
        <v>43312</v>
      </c>
      <c r="Q143" s="400"/>
      <c r="R143" s="400"/>
      <c r="S143" s="400"/>
      <c r="T143" s="400"/>
      <c r="U143" s="400"/>
      <c r="V143" s="400"/>
      <c r="W143" s="400"/>
      <c r="X143" s="401">
        <v>4.2000000000000003E-2</v>
      </c>
      <c r="Y143" s="401">
        <v>4.3999999999999997E-2</v>
      </c>
      <c r="Z143" s="401">
        <v>3.9E-2</v>
      </c>
      <c r="AA143" s="401">
        <v>4.8000000000000001E-2</v>
      </c>
      <c r="AB143" s="402"/>
      <c r="AD143" s="397"/>
      <c r="AE143" s="397"/>
      <c r="AF143" s="397"/>
      <c r="AG143" s="397"/>
      <c r="AH143" s="397"/>
      <c r="AI143" s="397"/>
      <c r="AJ143" s="397"/>
      <c r="AL143" s="412" t="s">
        <v>35</v>
      </c>
      <c r="AM143" s="384" t="s">
        <v>219</v>
      </c>
      <c r="AN143" s="384" t="s">
        <v>220</v>
      </c>
      <c r="AO143" s="405">
        <v>8478</v>
      </c>
      <c r="AP143" s="405">
        <v>8478</v>
      </c>
      <c r="AQ143" s="405">
        <v>2461</v>
      </c>
      <c r="AR143" s="405">
        <v>2228</v>
      </c>
      <c r="AS143" s="405">
        <v>0</v>
      </c>
      <c r="AT143" s="405">
        <v>0</v>
      </c>
      <c r="AU143" s="405">
        <v>2072</v>
      </c>
      <c r="AV143" s="405">
        <v>0</v>
      </c>
      <c r="AW143" s="405">
        <v>281</v>
      </c>
      <c r="AX143" s="405">
        <v>108</v>
      </c>
      <c r="AY143" s="405">
        <v>2461</v>
      </c>
      <c r="AZ143" s="405">
        <v>100</v>
      </c>
      <c r="BA143" s="405">
        <v>0</v>
      </c>
      <c r="BB143" s="414">
        <v>4.3884599756196669</v>
      </c>
      <c r="BC143" s="405">
        <v>362</v>
      </c>
      <c r="BD143" s="405">
        <v>83</v>
      </c>
      <c r="BE143" s="405">
        <v>445</v>
      </c>
      <c r="BG143" s="420">
        <v>43482</v>
      </c>
      <c r="BH143" s="421">
        <v>130</v>
      </c>
      <c r="BI143" s="421">
        <v>81</v>
      </c>
      <c r="BJ143" s="422">
        <f t="shared" si="15"/>
        <v>1.6049382716049383</v>
      </c>
    </row>
    <row r="144" spans="15:62" ht="9.9499999999999993" customHeight="1" x14ac:dyDescent="0.15">
      <c r="O144" s="369">
        <v>43313</v>
      </c>
      <c r="P144" s="399">
        <f t="shared" si="7"/>
        <v>43313</v>
      </c>
      <c r="Q144" s="400"/>
      <c r="R144" s="400"/>
      <c r="S144" s="400"/>
      <c r="T144" s="400"/>
      <c r="U144" s="400"/>
      <c r="V144" s="400"/>
      <c r="W144" s="400"/>
      <c r="X144" s="401">
        <v>4.2000000000000003E-2</v>
      </c>
      <c r="Y144" s="401">
        <v>3.9E-2</v>
      </c>
      <c r="Z144" s="401">
        <v>4.1000000000000002E-2</v>
      </c>
      <c r="AA144" s="401">
        <v>4.8000000000000001E-2</v>
      </c>
      <c r="AB144" s="402"/>
      <c r="AD144" s="397"/>
      <c r="AE144" s="397"/>
      <c r="AF144" s="397"/>
      <c r="AG144" s="397"/>
      <c r="AH144" s="397"/>
      <c r="AI144" s="397"/>
      <c r="AJ144" s="397"/>
      <c r="AL144" s="412" t="s">
        <v>35</v>
      </c>
      <c r="AM144" s="384" t="s">
        <v>222</v>
      </c>
      <c r="AN144" s="384" t="s">
        <v>223</v>
      </c>
      <c r="AO144" s="405">
        <v>5824</v>
      </c>
      <c r="AP144" s="405">
        <v>5824</v>
      </c>
      <c r="AQ144" s="405">
        <v>2603</v>
      </c>
      <c r="AR144" s="405">
        <v>2135</v>
      </c>
      <c r="AS144" s="405">
        <v>0</v>
      </c>
      <c r="AT144" s="405">
        <v>132</v>
      </c>
      <c r="AU144" s="405">
        <v>2270</v>
      </c>
      <c r="AV144" s="405">
        <v>0</v>
      </c>
      <c r="AW144" s="405">
        <v>167</v>
      </c>
      <c r="AX144" s="405">
        <v>34</v>
      </c>
      <c r="AY144" s="405">
        <v>2471</v>
      </c>
      <c r="AZ144" s="405">
        <v>100</v>
      </c>
      <c r="BA144" s="405">
        <v>0</v>
      </c>
      <c r="BB144" s="414">
        <v>6.3772570111409905</v>
      </c>
      <c r="BC144" s="405">
        <v>390</v>
      </c>
      <c r="BD144" s="405">
        <v>50</v>
      </c>
      <c r="BE144" s="405">
        <v>440</v>
      </c>
      <c r="BG144" s="420">
        <v>43515</v>
      </c>
      <c r="BH144" s="421">
        <v>66</v>
      </c>
      <c r="BI144" s="421">
        <v>19</v>
      </c>
      <c r="BJ144" s="422">
        <f t="shared" si="15"/>
        <v>3.4736842105263159</v>
      </c>
    </row>
    <row r="145" spans="15:62" ht="9.9499999999999993" customHeight="1" x14ac:dyDescent="0.15">
      <c r="O145" s="369">
        <v>43314</v>
      </c>
      <c r="P145" s="399">
        <f t="shared" si="7"/>
        <v>43314</v>
      </c>
      <c r="Q145" s="400"/>
      <c r="R145" s="400"/>
      <c r="S145" s="400"/>
      <c r="T145" s="400"/>
      <c r="U145" s="400"/>
      <c r="V145" s="400"/>
      <c r="W145" s="400"/>
      <c r="X145" s="401">
        <v>4.2000000000000003E-2</v>
      </c>
      <c r="Y145" s="401">
        <v>4.1000000000000002E-2</v>
      </c>
      <c r="Z145" s="401">
        <v>4.2000000000000003E-2</v>
      </c>
      <c r="AA145" s="401">
        <v>4.8000000000000001E-2</v>
      </c>
      <c r="AB145" s="402"/>
      <c r="AD145" s="397"/>
      <c r="AE145" s="397"/>
      <c r="AF145" s="397"/>
      <c r="AG145" s="397"/>
      <c r="AH145" s="397"/>
      <c r="AI145" s="397"/>
      <c r="AJ145" s="397"/>
      <c r="AL145" s="412" t="s">
        <v>36</v>
      </c>
      <c r="AM145" s="384" t="s">
        <v>224</v>
      </c>
      <c r="AN145" s="384" t="s">
        <v>225</v>
      </c>
      <c r="AO145" s="405">
        <v>28563</v>
      </c>
      <c r="AP145" s="405">
        <v>28563</v>
      </c>
      <c r="AQ145" s="405">
        <v>10685</v>
      </c>
      <c r="AR145" s="405">
        <v>9827</v>
      </c>
      <c r="AS145" s="405">
        <v>0</v>
      </c>
      <c r="AT145" s="405">
        <v>257</v>
      </c>
      <c r="AU145" s="405">
        <v>9105</v>
      </c>
      <c r="AV145" s="405">
        <v>0</v>
      </c>
      <c r="AW145" s="405">
        <v>971</v>
      </c>
      <c r="AX145" s="405">
        <v>333</v>
      </c>
      <c r="AY145" s="405">
        <v>10409</v>
      </c>
      <c r="AZ145" s="405">
        <v>100</v>
      </c>
      <c r="BA145" s="405">
        <v>0</v>
      </c>
      <c r="BB145" s="414">
        <v>5.5315957247327958</v>
      </c>
      <c r="BC145" s="405">
        <v>1625</v>
      </c>
      <c r="BD145" s="405">
        <v>191</v>
      </c>
      <c r="BE145" s="405">
        <v>1816</v>
      </c>
      <c r="BG145" s="420">
        <v>43543</v>
      </c>
      <c r="BH145" s="421">
        <v>51</v>
      </c>
      <c r="BI145" s="421" t="s">
        <v>110</v>
      </c>
      <c r="BJ145" s="422"/>
    </row>
    <row r="146" spans="15:62" ht="9.9499999999999993" customHeight="1" x14ac:dyDescent="0.15">
      <c r="O146" s="369">
        <v>43315</v>
      </c>
      <c r="P146" s="399">
        <f t="shared" si="7"/>
        <v>43315</v>
      </c>
      <c r="Q146" s="400"/>
      <c r="R146" s="400"/>
      <c r="S146" s="400"/>
      <c r="T146" s="400"/>
      <c r="U146" s="400"/>
      <c r="V146" s="400"/>
      <c r="W146" s="400" t="s">
        <v>110</v>
      </c>
      <c r="X146" s="401">
        <v>4.2000000000000003E-2</v>
      </c>
      <c r="Y146" s="401">
        <v>4.2000000000000003E-2</v>
      </c>
      <c r="Z146" s="401">
        <v>0.04</v>
      </c>
      <c r="AA146" s="401">
        <v>4.2000000000000003E-2</v>
      </c>
      <c r="AB146" s="402"/>
      <c r="AD146" s="397"/>
      <c r="AE146" s="397"/>
      <c r="AF146" s="397"/>
      <c r="AG146" s="397"/>
      <c r="AH146" s="397"/>
      <c r="AI146" s="397"/>
      <c r="AJ146" s="397"/>
      <c r="AL146" s="412" t="s">
        <v>36</v>
      </c>
      <c r="AM146" s="384" t="s">
        <v>219</v>
      </c>
      <c r="AN146" s="384" t="s">
        <v>220</v>
      </c>
      <c r="AO146" s="405">
        <v>8324</v>
      </c>
      <c r="AP146" s="405">
        <v>8324</v>
      </c>
      <c r="AQ146" s="405">
        <v>2460</v>
      </c>
      <c r="AR146" s="405">
        <v>2233</v>
      </c>
      <c r="AS146" s="405">
        <v>0</v>
      </c>
      <c r="AT146" s="405">
        <v>0</v>
      </c>
      <c r="AU146" s="405">
        <v>2036</v>
      </c>
      <c r="AV146" s="405">
        <v>0</v>
      </c>
      <c r="AW146" s="405">
        <v>313</v>
      </c>
      <c r="AX146" s="405">
        <v>117</v>
      </c>
      <c r="AY146" s="405">
        <v>2466</v>
      </c>
      <c r="AZ146" s="405">
        <v>100</v>
      </c>
      <c r="BA146" s="405">
        <v>0</v>
      </c>
      <c r="BB146" s="414">
        <v>4.7445255474452548</v>
      </c>
      <c r="BC146" s="405">
        <v>367</v>
      </c>
      <c r="BD146" s="405">
        <v>63</v>
      </c>
      <c r="BE146" s="405">
        <v>430</v>
      </c>
      <c r="BG146" s="423" t="s">
        <v>813</v>
      </c>
      <c r="BH146" s="424"/>
      <c r="BI146" s="424"/>
      <c r="BJ146" s="425">
        <f t="shared" ref="BJ146" si="16">AVERAGE(BJ129:BJ145)</f>
        <v>3.4621282921486456</v>
      </c>
    </row>
    <row r="147" spans="15:62" ht="9.9499999999999993" customHeight="1" x14ac:dyDescent="0.15">
      <c r="O147" s="369">
        <v>43318</v>
      </c>
      <c r="P147" s="399">
        <f t="shared" ref="P147:P210" si="17">O147</f>
        <v>43318</v>
      </c>
      <c r="Q147" s="400"/>
      <c r="R147" s="400"/>
      <c r="S147" s="400"/>
      <c r="T147" s="400"/>
      <c r="U147" s="400"/>
      <c r="V147" s="400"/>
      <c r="W147" s="400"/>
      <c r="X147" s="401">
        <v>4.8000000000000001E-2</v>
      </c>
      <c r="Y147" s="401">
        <v>0.04</v>
      </c>
      <c r="Z147" s="401">
        <v>3.3000000000000002E-2</v>
      </c>
      <c r="AA147" s="401">
        <v>5.3999999999999999E-2</v>
      </c>
      <c r="AB147" s="402"/>
      <c r="AD147" s="397"/>
      <c r="AE147" s="397"/>
      <c r="AF147" s="397"/>
      <c r="AG147" s="397"/>
      <c r="AH147" s="397"/>
      <c r="AI147" s="397"/>
      <c r="AJ147" s="397"/>
      <c r="AL147" s="412" t="s">
        <v>36</v>
      </c>
      <c r="AM147" s="384" t="s">
        <v>222</v>
      </c>
      <c r="AN147" s="384" t="s">
        <v>223</v>
      </c>
      <c r="AO147" s="405">
        <v>5871</v>
      </c>
      <c r="AP147" s="405">
        <v>5871</v>
      </c>
      <c r="AQ147" s="405">
        <v>2503</v>
      </c>
      <c r="AR147" s="405">
        <v>2219</v>
      </c>
      <c r="AS147" s="405">
        <v>0</v>
      </c>
      <c r="AT147" s="405">
        <v>124</v>
      </c>
      <c r="AU147" s="405">
        <v>2173</v>
      </c>
      <c r="AV147" s="405">
        <v>0</v>
      </c>
      <c r="AW147" s="405">
        <v>160</v>
      </c>
      <c r="AX147" s="405">
        <v>46</v>
      </c>
      <c r="AY147" s="405">
        <v>2379</v>
      </c>
      <c r="AZ147" s="405">
        <v>100</v>
      </c>
      <c r="BA147" s="405">
        <v>0</v>
      </c>
      <c r="BB147" s="414">
        <v>6.7918497802636839</v>
      </c>
      <c r="BC147" s="405">
        <v>383</v>
      </c>
      <c r="BD147" s="405">
        <v>30</v>
      </c>
      <c r="BE147" s="405">
        <v>413</v>
      </c>
    </row>
    <row r="148" spans="15:62" ht="9.9499999999999993" customHeight="1" x14ac:dyDescent="0.15">
      <c r="O148" s="369">
        <v>43319</v>
      </c>
      <c r="P148" s="399">
        <f t="shared" si="17"/>
        <v>43319</v>
      </c>
      <c r="Q148" s="400"/>
      <c r="R148" s="400"/>
      <c r="S148" s="400"/>
      <c r="T148" s="400"/>
      <c r="U148" s="400"/>
      <c r="V148" s="400"/>
      <c r="W148" s="400"/>
      <c r="X148" s="401">
        <v>4.8000000000000001E-2</v>
      </c>
      <c r="Y148" s="401">
        <v>4.8000000000000001E-2</v>
      </c>
      <c r="Z148" s="401">
        <v>3.7999999999999999E-2</v>
      </c>
      <c r="AA148" s="401">
        <v>6.6000000000000003E-2</v>
      </c>
      <c r="AB148" s="402"/>
      <c r="AD148" s="397"/>
      <c r="AE148" s="397"/>
      <c r="AF148" s="397"/>
      <c r="AG148" s="397"/>
      <c r="AH148" s="397"/>
      <c r="AI148" s="397"/>
      <c r="AJ148" s="397"/>
      <c r="AL148" s="412" t="s">
        <v>221</v>
      </c>
      <c r="AM148" s="384" t="s">
        <v>224</v>
      </c>
      <c r="AN148" s="384" t="s">
        <v>225</v>
      </c>
      <c r="AO148" s="405">
        <v>28742</v>
      </c>
      <c r="AP148" s="405">
        <v>28742</v>
      </c>
      <c r="AQ148" s="405">
        <v>10613</v>
      </c>
      <c r="AR148" s="405">
        <v>9850</v>
      </c>
      <c r="AS148" s="405">
        <v>0</v>
      </c>
      <c r="AT148" s="405">
        <v>256</v>
      </c>
      <c r="AU148" s="405">
        <v>9053</v>
      </c>
      <c r="AV148" s="405">
        <v>0</v>
      </c>
      <c r="AW148" s="405">
        <v>986</v>
      </c>
      <c r="AX148" s="405">
        <v>318</v>
      </c>
      <c r="AY148" s="405">
        <v>10357</v>
      </c>
      <c r="AZ148" s="405">
        <v>100</v>
      </c>
      <c r="BA148" s="405">
        <v>536</v>
      </c>
      <c r="BB148" s="414">
        <v>10.458871195703383</v>
      </c>
      <c r="BC148" s="405">
        <v>1758</v>
      </c>
      <c r="BD148" s="405">
        <v>161</v>
      </c>
      <c r="BE148" s="405">
        <v>1919</v>
      </c>
      <c r="BI148" s="384">
        <v>507</v>
      </c>
    </row>
    <row r="149" spans="15:62" ht="9.9499999999999993" customHeight="1" x14ac:dyDescent="0.15">
      <c r="O149" s="369">
        <v>43320</v>
      </c>
      <c r="P149" s="399">
        <f t="shared" si="17"/>
        <v>43320</v>
      </c>
      <c r="Q149" s="400"/>
      <c r="R149" s="400"/>
      <c r="S149" s="400"/>
      <c r="T149" s="400"/>
      <c r="U149" s="400"/>
      <c r="V149" s="400"/>
      <c r="W149" s="400"/>
      <c r="X149" s="401">
        <v>4.2000000000000003E-2</v>
      </c>
      <c r="Y149" s="401">
        <v>3.7999999999999999E-2</v>
      </c>
      <c r="Z149" s="401">
        <v>4.2000000000000003E-2</v>
      </c>
      <c r="AA149" s="401">
        <v>3.5999999999999997E-2</v>
      </c>
      <c r="AB149" s="402"/>
      <c r="AD149" s="397"/>
      <c r="AE149" s="397"/>
      <c r="AF149" s="397"/>
      <c r="AG149" s="397"/>
      <c r="AH149" s="397"/>
      <c r="AI149" s="397"/>
      <c r="AJ149" s="397"/>
      <c r="AL149" s="412" t="s">
        <v>221</v>
      </c>
      <c r="AM149" s="384" t="s">
        <v>219</v>
      </c>
      <c r="AN149" s="384" t="s">
        <v>220</v>
      </c>
      <c r="AO149" s="405">
        <v>8204</v>
      </c>
      <c r="AP149" s="405">
        <v>8204</v>
      </c>
      <c r="AQ149" s="405">
        <v>2413</v>
      </c>
      <c r="AR149" s="405">
        <v>2275</v>
      </c>
      <c r="AS149" s="405">
        <v>0</v>
      </c>
      <c r="AT149" s="405">
        <v>0</v>
      </c>
      <c r="AU149" s="405">
        <v>2013</v>
      </c>
      <c r="AV149" s="405">
        <v>0</v>
      </c>
      <c r="AW149" s="405">
        <v>284</v>
      </c>
      <c r="AX149" s="405">
        <v>116</v>
      </c>
      <c r="AY149" s="405">
        <v>2413</v>
      </c>
      <c r="AZ149" s="405">
        <v>100</v>
      </c>
      <c r="BA149" s="405">
        <v>164</v>
      </c>
      <c r="BB149" s="414">
        <v>11.603812681309574</v>
      </c>
      <c r="BC149" s="405">
        <v>393</v>
      </c>
      <c r="BD149" s="405">
        <v>44</v>
      </c>
      <c r="BE149" s="405">
        <v>437</v>
      </c>
      <c r="BI149" s="384">
        <v>138</v>
      </c>
    </row>
    <row r="150" spans="15:62" ht="9.9499999999999993" customHeight="1" x14ac:dyDescent="0.15">
      <c r="O150" s="369">
        <v>43321</v>
      </c>
      <c r="P150" s="399">
        <f t="shared" si="17"/>
        <v>43321</v>
      </c>
      <c r="Q150" s="400"/>
      <c r="R150" s="400"/>
      <c r="S150" s="400"/>
      <c r="T150" s="400"/>
      <c r="U150" s="400"/>
      <c r="V150" s="400"/>
      <c r="W150" s="400"/>
      <c r="X150" s="401">
        <v>4.2000000000000003E-2</v>
      </c>
      <c r="Y150" s="401">
        <v>4.8000000000000001E-2</v>
      </c>
      <c r="Z150" s="401">
        <v>4.8000000000000001E-2</v>
      </c>
      <c r="AA150" s="401">
        <v>0.06</v>
      </c>
      <c r="AB150" s="402"/>
      <c r="AD150" s="397"/>
      <c r="AE150" s="397"/>
      <c r="AF150" s="397"/>
      <c r="AG150" s="397"/>
      <c r="AH150" s="397"/>
      <c r="AI150" s="397"/>
      <c r="AJ150" s="397"/>
      <c r="AL150" s="412" t="s">
        <v>221</v>
      </c>
      <c r="AM150" s="384" t="s">
        <v>222</v>
      </c>
      <c r="AN150" s="384" t="s">
        <v>223</v>
      </c>
      <c r="AO150" s="405">
        <v>5871</v>
      </c>
      <c r="AP150" s="405">
        <v>5871</v>
      </c>
      <c r="AQ150" s="405">
        <v>2440</v>
      </c>
      <c r="AR150" s="405">
        <v>2120</v>
      </c>
      <c r="AS150" s="405">
        <v>0</v>
      </c>
      <c r="AT150" s="405">
        <v>116</v>
      </c>
      <c r="AU150" s="405">
        <v>2130</v>
      </c>
      <c r="AV150" s="405">
        <v>0</v>
      </c>
      <c r="AW150" s="405">
        <v>153</v>
      </c>
      <c r="AX150" s="405">
        <v>41</v>
      </c>
      <c r="AY150" s="405">
        <v>2324</v>
      </c>
      <c r="AZ150" s="405">
        <v>100</v>
      </c>
      <c r="BA150" s="405">
        <v>90</v>
      </c>
      <c r="BB150" s="414">
        <v>10.122950819672132</v>
      </c>
      <c r="BC150" s="405">
        <v>408</v>
      </c>
      <c r="BD150" s="405">
        <v>26</v>
      </c>
      <c r="BE150" s="405">
        <v>434</v>
      </c>
      <c r="BI150" s="384">
        <v>204</v>
      </c>
    </row>
    <row r="151" spans="15:62" ht="9.9499999999999993" customHeight="1" x14ac:dyDescent="0.15">
      <c r="O151" s="369">
        <v>43322</v>
      </c>
      <c r="P151" s="399">
        <f t="shared" si="17"/>
        <v>43322</v>
      </c>
      <c r="Q151" s="400"/>
      <c r="R151" s="400"/>
      <c r="S151" s="400"/>
      <c r="T151" s="400"/>
      <c r="U151" s="400"/>
      <c r="V151" s="400"/>
      <c r="W151" s="400"/>
      <c r="X151" s="401">
        <v>4.2000000000000003E-2</v>
      </c>
      <c r="Y151" s="401">
        <v>4.3999999999999997E-2</v>
      </c>
      <c r="Z151" s="401">
        <v>4.2999999999999997E-2</v>
      </c>
      <c r="AA151" s="401">
        <v>5.3999999999999999E-2</v>
      </c>
      <c r="AB151" s="402"/>
      <c r="AD151" s="397"/>
      <c r="AE151" s="397"/>
      <c r="AF151" s="397"/>
      <c r="AG151" s="397"/>
      <c r="AH151" s="397"/>
      <c r="AI151" s="397"/>
      <c r="AJ151" s="397"/>
      <c r="AL151" s="571" t="s">
        <v>5</v>
      </c>
      <c r="AM151" s="571" t="s">
        <v>6</v>
      </c>
      <c r="AN151" s="571" t="s">
        <v>7</v>
      </c>
      <c r="AO151" s="571" t="s">
        <v>8</v>
      </c>
      <c r="AP151" s="571" t="s">
        <v>202</v>
      </c>
      <c r="AQ151" s="574" t="s">
        <v>37</v>
      </c>
      <c r="AR151" s="571" t="s">
        <v>10</v>
      </c>
      <c r="AS151" s="571" t="s">
        <v>215</v>
      </c>
      <c r="AT151" s="571" t="s">
        <v>216</v>
      </c>
      <c r="AU151" s="571" t="s">
        <v>217</v>
      </c>
      <c r="AV151" s="571" t="s">
        <v>218</v>
      </c>
      <c r="AW151" s="577" t="s">
        <v>11</v>
      </c>
      <c r="AX151" s="571" t="s">
        <v>12</v>
      </c>
      <c r="AY151" s="577" t="s">
        <v>13</v>
      </c>
      <c r="AZ151" s="574" t="s">
        <v>14</v>
      </c>
      <c r="BA151" s="577" t="s">
        <v>214</v>
      </c>
      <c r="BB151" s="574" t="s">
        <v>15</v>
      </c>
      <c r="BC151" s="571" t="s">
        <v>16</v>
      </c>
      <c r="BD151" s="571" t="s">
        <v>17</v>
      </c>
      <c r="BE151" s="577" t="s">
        <v>18</v>
      </c>
      <c r="BF151" s="571" t="s">
        <v>19</v>
      </c>
      <c r="BG151" s="571" t="s">
        <v>203</v>
      </c>
      <c r="BH151" s="571" t="s">
        <v>204</v>
      </c>
      <c r="BI151" s="571" t="s">
        <v>837</v>
      </c>
    </row>
    <row r="152" spans="15:62" ht="9.9499999999999993" customHeight="1" x14ac:dyDescent="0.15">
      <c r="O152" s="369">
        <v>43325</v>
      </c>
      <c r="P152" s="399">
        <f t="shared" si="17"/>
        <v>43325</v>
      </c>
      <c r="Q152" s="400"/>
      <c r="R152" s="400"/>
      <c r="S152" s="400"/>
      <c r="T152" s="400"/>
      <c r="U152" s="400"/>
      <c r="V152" s="400"/>
      <c r="W152" s="400"/>
      <c r="X152" s="401">
        <v>3.5999999999999997E-2</v>
      </c>
      <c r="Y152" s="401">
        <v>4.1000000000000002E-2</v>
      </c>
      <c r="Z152" s="401">
        <v>3.9E-2</v>
      </c>
      <c r="AA152" s="401">
        <v>4.8000000000000001E-2</v>
      </c>
      <c r="AB152" s="402"/>
      <c r="AD152" s="397"/>
      <c r="AE152" s="397"/>
      <c r="AF152" s="397"/>
      <c r="AG152" s="397"/>
      <c r="AH152" s="397"/>
      <c r="AI152" s="397"/>
      <c r="AJ152" s="397"/>
      <c r="AL152" s="572"/>
      <c r="AM152" s="572"/>
      <c r="AN152" s="572"/>
      <c r="AO152" s="572"/>
      <c r="AP152" s="572"/>
      <c r="AQ152" s="575"/>
      <c r="AR152" s="572"/>
      <c r="AS152" s="572"/>
      <c r="AT152" s="572"/>
      <c r="AU152" s="572"/>
      <c r="AV152" s="572"/>
      <c r="AW152" s="578"/>
      <c r="AX152" s="572"/>
      <c r="AY152" s="578"/>
      <c r="AZ152" s="575"/>
      <c r="BA152" s="578"/>
      <c r="BB152" s="575"/>
      <c r="BC152" s="572"/>
      <c r="BD152" s="572"/>
      <c r="BE152" s="578"/>
      <c r="BF152" s="572"/>
      <c r="BG152" s="572"/>
      <c r="BH152" s="572"/>
      <c r="BI152" s="572"/>
    </row>
    <row r="153" spans="15:62" ht="9.9499999999999993" customHeight="1" x14ac:dyDescent="0.15">
      <c r="O153" s="369">
        <v>43326</v>
      </c>
      <c r="P153" s="399">
        <f t="shared" si="17"/>
        <v>43326</v>
      </c>
      <c r="Q153" s="400"/>
      <c r="R153" s="400"/>
      <c r="S153" s="400"/>
      <c r="T153" s="400"/>
      <c r="U153" s="400"/>
      <c r="V153" s="400"/>
      <c r="W153" s="400"/>
      <c r="X153" s="401">
        <v>5.3999999999999999E-2</v>
      </c>
      <c r="Y153" s="401">
        <v>4.8000000000000001E-2</v>
      </c>
      <c r="Z153" s="401">
        <v>4.3999999999999997E-2</v>
      </c>
      <c r="AA153" s="401">
        <v>5.3999999999999999E-2</v>
      </c>
      <c r="AB153" s="402"/>
      <c r="AD153" s="397"/>
      <c r="AE153" s="397"/>
      <c r="AF153" s="397"/>
      <c r="AG153" s="397"/>
      <c r="AH153" s="397"/>
      <c r="AI153" s="397"/>
      <c r="AJ153" s="397"/>
      <c r="AL153" s="572"/>
      <c r="AM153" s="572"/>
      <c r="AN153" s="572"/>
      <c r="AO153" s="572"/>
      <c r="AP153" s="572"/>
      <c r="AQ153" s="575"/>
      <c r="AR153" s="572"/>
      <c r="AS153" s="572"/>
      <c r="AT153" s="572"/>
      <c r="AU153" s="572"/>
      <c r="AV153" s="572"/>
      <c r="AW153" s="578"/>
      <c r="AX153" s="572"/>
      <c r="AY153" s="578"/>
      <c r="AZ153" s="575"/>
      <c r="BA153" s="578"/>
      <c r="BB153" s="575"/>
      <c r="BC153" s="572"/>
      <c r="BD153" s="572"/>
      <c r="BE153" s="578"/>
      <c r="BF153" s="572"/>
      <c r="BG153" s="572"/>
      <c r="BH153" s="572"/>
      <c r="BI153" s="572"/>
    </row>
    <row r="154" spans="15:62" ht="9.9499999999999993" customHeight="1" x14ac:dyDescent="0.15">
      <c r="O154" s="369">
        <v>43327</v>
      </c>
      <c r="P154" s="399">
        <f t="shared" si="17"/>
        <v>43327</v>
      </c>
      <c r="Q154" s="400"/>
      <c r="R154" s="400"/>
      <c r="S154" s="400"/>
      <c r="T154" s="400"/>
      <c r="U154" s="400"/>
      <c r="V154" s="400"/>
      <c r="W154" s="400"/>
      <c r="X154" s="401">
        <v>4.8000000000000001E-2</v>
      </c>
      <c r="Y154" s="401">
        <v>5.1999999999999998E-2</v>
      </c>
      <c r="Z154" s="401">
        <v>4.2000000000000003E-2</v>
      </c>
      <c r="AA154" s="401">
        <v>4.2000000000000003E-2</v>
      </c>
      <c r="AB154" s="402"/>
      <c r="AD154" s="397"/>
      <c r="AE154" s="397"/>
      <c r="AF154" s="397"/>
      <c r="AG154" s="397"/>
      <c r="AH154" s="397"/>
      <c r="AI154" s="397"/>
      <c r="AJ154" s="397"/>
      <c r="AL154" s="572"/>
      <c r="AM154" s="572"/>
      <c r="AN154" s="572"/>
      <c r="AO154" s="572"/>
      <c r="AP154" s="572"/>
      <c r="AQ154" s="575"/>
      <c r="AR154" s="572"/>
      <c r="AS154" s="572"/>
      <c r="AT154" s="572"/>
      <c r="AU154" s="572"/>
      <c r="AV154" s="572"/>
      <c r="AW154" s="578"/>
      <c r="AX154" s="572"/>
      <c r="AY154" s="578"/>
      <c r="AZ154" s="575"/>
      <c r="BA154" s="578"/>
      <c r="BB154" s="575"/>
      <c r="BC154" s="572"/>
      <c r="BD154" s="572"/>
      <c r="BE154" s="578"/>
      <c r="BF154" s="572"/>
      <c r="BG154" s="572"/>
      <c r="BH154" s="572"/>
      <c r="BI154" s="572"/>
    </row>
    <row r="155" spans="15:62" ht="9.9499999999999993" customHeight="1" x14ac:dyDescent="0.15">
      <c r="O155" s="369">
        <v>43328</v>
      </c>
      <c r="P155" s="399">
        <f t="shared" si="17"/>
        <v>43328</v>
      </c>
      <c r="Q155" s="400"/>
      <c r="R155" s="400"/>
      <c r="S155" s="400"/>
      <c r="T155" s="400"/>
      <c r="U155" s="400">
        <v>160</v>
      </c>
      <c r="V155" s="400">
        <v>59</v>
      </c>
      <c r="W155" s="400"/>
      <c r="X155" s="401">
        <v>0.06</v>
      </c>
      <c r="Y155" s="401">
        <v>4.2000000000000003E-2</v>
      </c>
      <c r="Z155" s="401">
        <v>4.4999999999999998E-2</v>
      </c>
      <c r="AA155" s="401">
        <v>4.2000000000000003E-2</v>
      </c>
      <c r="AB155" s="402"/>
      <c r="AD155" s="397"/>
      <c r="AE155" s="397"/>
      <c r="AF155" s="397"/>
      <c r="AG155" s="397"/>
      <c r="AH155" s="397"/>
      <c r="AI155" s="397"/>
      <c r="AJ155" s="397"/>
      <c r="AL155" s="572"/>
      <c r="AM155" s="572"/>
      <c r="AN155" s="572"/>
      <c r="AO155" s="572"/>
      <c r="AP155" s="572"/>
      <c r="AQ155" s="575"/>
      <c r="AR155" s="572"/>
      <c r="AS155" s="572"/>
      <c r="AT155" s="572"/>
      <c r="AU155" s="572"/>
      <c r="AV155" s="572"/>
      <c r="AW155" s="578"/>
      <c r="AX155" s="572"/>
      <c r="AY155" s="578"/>
      <c r="AZ155" s="575"/>
      <c r="BA155" s="578"/>
      <c r="BB155" s="575"/>
      <c r="BC155" s="572"/>
      <c r="BD155" s="572"/>
      <c r="BE155" s="578"/>
      <c r="BF155" s="572"/>
      <c r="BG155" s="572"/>
      <c r="BH155" s="572"/>
      <c r="BI155" s="572"/>
    </row>
    <row r="156" spans="15:62" ht="9.9499999999999993" customHeight="1" x14ac:dyDescent="0.15">
      <c r="O156" s="369">
        <v>43329</v>
      </c>
      <c r="P156" s="399">
        <f t="shared" si="17"/>
        <v>43329</v>
      </c>
      <c r="Q156" s="400"/>
      <c r="R156" s="400"/>
      <c r="S156" s="400"/>
      <c r="T156" s="400"/>
      <c r="U156" s="400"/>
      <c r="V156" s="400"/>
      <c r="W156" s="400"/>
      <c r="X156" s="401">
        <v>4.2000000000000003E-2</v>
      </c>
      <c r="Y156" s="401">
        <v>3.5999999999999997E-2</v>
      </c>
      <c r="Z156" s="401">
        <v>4.1000000000000002E-2</v>
      </c>
      <c r="AA156" s="401">
        <v>4.2000000000000003E-2</v>
      </c>
      <c r="AB156" s="402"/>
      <c r="AD156" s="397"/>
      <c r="AE156" s="397"/>
      <c r="AF156" s="397"/>
      <c r="AG156" s="397"/>
      <c r="AH156" s="397"/>
      <c r="AI156" s="397"/>
      <c r="AJ156" s="397"/>
      <c r="AL156" s="573"/>
      <c r="AM156" s="573"/>
      <c r="AN156" s="573"/>
      <c r="AO156" s="573"/>
      <c r="AP156" s="573"/>
      <c r="AQ156" s="576"/>
      <c r="AR156" s="573"/>
      <c r="AS156" s="573"/>
      <c r="AT156" s="573"/>
      <c r="AU156" s="573"/>
      <c r="AV156" s="573"/>
      <c r="AW156" s="579"/>
      <c r="AX156" s="573"/>
      <c r="AY156" s="579"/>
      <c r="AZ156" s="576"/>
      <c r="BA156" s="579"/>
      <c r="BB156" s="576"/>
      <c r="BC156" s="573"/>
      <c r="BD156" s="573"/>
      <c r="BE156" s="579"/>
      <c r="BF156" s="573"/>
      <c r="BG156" s="573"/>
      <c r="BH156" s="573"/>
      <c r="BI156" s="573"/>
    </row>
    <row r="157" spans="15:62" ht="9.9499999999999993" customHeight="1" x14ac:dyDescent="0.15">
      <c r="O157" s="369">
        <v>43332</v>
      </c>
      <c r="P157" s="399">
        <f t="shared" si="17"/>
        <v>43332</v>
      </c>
      <c r="Q157" s="400"/>
      <c r="R157" s="400"/>
      <c r="S157" s="400"/>
      <c r="T157" s="400"/>
      <c r="U157" s="400"/>
      <c r="V157" s="400"/>
      <c r="W157" s="400"/>
      <c r="X157" s="401">
        <v>4.2000000000000003E-2</v>
      </c>
      <c r="Y157" s="401">
        <v>4.9000000000000002E-2</v>
      </c>
      <c r="Z157" s="426">
        <v>3.7999999999999999E-2</v>
      </c>
      <c r="AA157" s="401">
        <v>4.8000000000000001E-2</v>
      </c>
      <c r="AB157" s="402"/>
      <c r="AD157" s="397"/>
      <c r="AE157" s="397"/>
      <c r="AF157" s="397"/>
      <c r="AG157" s="397"/>
      <c r="AH157" s="397"/>
      <c r="AI157" s="397"/>
      <c r="AJ157" s="397"/>
      <c r="AO157" s="405"/>
      <c r="AP157" s="405"/>
      <c r="AQ157" s="405"/>
      <c r="AR157" s="405"/>
      <c r="AS157" s="405"/>
      <c r="AT157" s="405"/>
      <c r="AU157" s="405"/>
      <c r="AV157" s="405"/>
      <c r="AW157" s="405"/>
      <c r="AX157" s="405"/>
      <c r="AY157" s="405"/>
      <c r="AZ157" s="405"/>
      <c r="BA157" s="405"/>
      <c r="BB157" s="405"/>
      <c r="BC157" s="405"/>
      <c r="BD157" s="405"/>
      <c r="BE157" s="405"/>
    </row>
    <row r="158" spans="15:62" ht="9.9499999999999993" customHeight="1" x14ac:dyDescent="0.15">
      <c r="O158" s="398">
        <v>43333</v>
      </c>
      <c r="P158" s="399">
        <f t="shared" si="17"/>
        <v>43333</v>
      </c>
      <c r="Q158" s="400">
        <v>740</v>
      </c>
      <c r="R158" s="400">
        <v>300</v>
      </c>
      <c r="S158" s="400"/>
      <c r="T158" s="400"/>
      <c r="U158" s="400"/>
      <c r="V158" s="400"/>
      <c r="W158" s="400"/>
      <c r="X158" s="401">
        <v>4.8000000000000001E-2</v>
      </c>
      <c r="Y158" s="401">
        <v>4.2999999999999997E-2</v>
      </c>
      <c r="Z158" s="426">
        <v>0.04</v>
      </c>
      <c r="AA158" s="401">
        <v>0.06</v>
      </c>
      <c r="AB158" s="402" t="s">
        <v>814</v>
      </c>
      <c r="AD158" s="397"/>
      <c r="AE158" s="397"/>
      <c r="AF158" s="397"/>
      <c r="AG158" s="397"/>
      <c r="AH158" s="397"/>
      <c r="AI158" s="397"/>
      <c r="AJ158" s="397"/>
      <c r="AK158" s="500" t="s">
        <v>838</v>
      </c>
      <c r="AL158" s="412" t="s">
        <v>33</v>
      </c>
      <c r="AO158" s="405">
        <f>SUM(AO130:AO132)</f>
        <v>40449</v>
      </c>
      <c r="AP158" s="405">
        <f t="shared" ref="AP158:AX158" si="18">SUM(AP130:AP132)</f>
        <v>40449</v>
      </c>
      <c r="AQ158" s="405">
        <f t="shared" si="18"/>
        <v>14762</v>
      </c>
      <c r="AR158" s="405">
        <f t="shared" si="18"/>
        <v>13117</v>
      </c>
      <c r="AS158" s="405">
        <f t="shared" si="18"/>
        <v>1522</v>
      </c>
      <c r="AT158" s="405">
        <f t="shared" si="18"/>
        <v>123</v>
      </c>
      <c r="AU158" s="405">
        <f t="shared" si="18"/>
        <v>12463</v>
      </c>
      <c r="AV158" s="405">
        <f t="shared" si="18"/>
        <v>0</v>
      </c>
      <c r="AW158" s="405">
        <f t="shared" si="18"/>
        <v>1542</v>
      </c>
      <c r="AX158" s="405">
        <f t="shared" si="18"/>
        <v>516</v>
      </c>
      <c r="AY158" s="406">
        <f t="shared" ref="AY158:AY164" si="19">AU158+AV158+AW158+AX158</f>
        <v>14521</v>
      </c>
      <c r="AZ158" s="406">
        <f t="shared" ref="AZ158:AZ164" si="20">(AU158+AW158+AX158)/AY158*100</f>
        <v>100</v>
      </c>
      <c r="BA158" s="405">
        <f t="shared" ref="BA158:BI158" si="21">SUM(BA130:BA132)</f>
        <v>868</v>
      </c>
      <c r="BB158" s="407">
        <f t="shared" ref="BB158:BB163" si="22">(AX158+BA158+AT158)/(AY158+AT158)*100</f>
        <v>10.290904124556132</v>
      </c>
      <c r="BC158" s="405">
        <f t="shared" si="21"/>
        <v>2112</v>
      </c>
      <c r="BD158" s="405">
        <f t="shared" si="21"/>
        <v>345</v>
      </c>
      <c r="BE158" s="405">
        <f t="shared" si="21"/>
        <v>2457</v>
      </c>
      <c r="BF158" s="405">
        <f t="shared" si="21"/>
        <v>0</v>
      </c>
      <c r="BG158" s="405">
        <f t="shared" si="21"/>
        <v>129774</v>
      </c>
      <c r="BH158" s="405">
        <f t="shared" si="21"/>
        <v>628</v>
      </c>
      <c r="BI158" s="405">
        <f t="shared" si="21"/>
        <v>198</v>
      </c>
    </row>
    <row r="159" spans="15:62" ht="9.9499999999999993" customHeight="1" x14ac:dyDescent="0.15">
      <c r="O159" s="398">
        <v>43334</v>
      </c>
      <c r="P159" s="399">
        <f t="shared" si="17"/>
        <v>43334</v>
      </c>
      <c r="Q159" s="400">
        <v>870</v>
      </c>
      <c r="R159" s="400">
        <v>300</v>
      </c>
      <c r="S159" s="400"/>
      <c r="T159" s="400"/>
      <c r="U159" s="400"/>
      <c r="V159" s="400"/>
      <c r="W159" s="400"/>
      <c r="X159" s="401">
        <v>4.2000000000000003E-2</v>
      </c>
      <c r="Y159" s="401">
        <v>4.1000000000000002E-2</v>
      </c>
      <c r="Z159" s="426">
        <v>4.5999999999999999E-2</v>
      </c>
      <c r="AA159" s="401">
        <v>4.8000000000000001E-2</v>
      </c>
      <c r="AB159" s="402" t="s">
        <v>814</v>
      </c>
      <c r="AD159" s="397"/>
      <c r="AE159" s="397"/>
      <c r="AF159" s="397"/>
      <c r="AG159" s="397"/>
      <c r="AH159" s="397"/>
      <c r="AI159" s="397"/>
      <c r="AJ159" s="397"/>
      <c r="AL159" s="412" t="s">
        <v>106</v>
      </c>
      <c r="AO159" s="405">
        <f>SUM(AO133:AO135)</f>
        <v>40871</v>
      </c>
      <c r="AP159" s="405">
        <f t="shared" ref="AP159:AX159" si="23">SUM(AP133:AP135)</f>
        <v>40871</v>
      </c>
      <c r="AQ159" s="405">
        <f t="shared" si="23"/>
        <v>15157</v>
      </c>
      <c r="AR159" s="405">
        <f t="shared" si="23"/>
        <v>13731</v>
      </c>
      <c r="AS159" s="405">
        <f t="shared" si="23"/>
        <v>0</v>
      </c>
      <c r="AT159" s="405">
        <f t="shared" si="23"/>
        <v>127</v>
      </c>
      <c r="AU159" s="405">
        <f t="shared" si="23"/>
        <v>12956</v>
      </c>
      <c r="AV159" s="405">
        <f t="shared" si="23"/>
        <v>0</v>
      </c>
      <c r="AW159" s="405">
        <f t="shared" si="23"/>
        <v>1569</v>
      </c>
      <c r="AX159" s="405">
        <f t="shared" si="23"/>
        <v>505</v>
      </c>
      <c r="AY159" s="406">
        <f t="shared" si="19"/>
        <v>15030</v>
      </c>
      <c r="AZ159" s="406">
        <f t="shared" si="20"/>
        <v>100</v>
      </c>
      <c r="BA159" s="405">
        <f t="shared" ref="BA159:BI159" si="24">SUM(BA133:BA135)</f>
        <v>808</v>
      </c>
      <c r="BB159" s="407">
        <f t="shared" si="22"/>
        <v>9.5005607969914898</v>
      </c>
      <c r="BC159" s="405">
        <f t="shared" si="24"/>
        <v>2535</v>
      </c>
      <c r="BD159" s="405">
        <f t="shared" si="24"/>
        <v>330</v>
      </c>
      <c r="BE159" s="405">
        <f t="shared" si="24"/>
        <v>2865</v>
      </c>
      <c r="BF159" s="405">
        <f t="shared" si="24"/>
        <v>0</v>
      </c>
      <c r="BG159" s="405">
        <f t="shared" si="24"/>
        <v>129935</v>
      </c>
      <c r="BH159" s="405">
        <f t="shared" si="24"/>
        <v>619</v>
      </c>
      <c r="BI159" s="405">
        <f t="shared" si="24"/>
        <v>180</v>
      </c>
    </row>
    <row r="160" spans="15:62" ht="9.9499999999999993" customHeight="1" x14ac:dyDescent="0.15">
      <c r="O160" s="398">
        <v>43335</v>
      </c>
      <c r="P160" s="399">
        <f t="shared" si="17"/>
        <v>43335</v>
      </c>
      <c r="Q160" s="400">
        <v>820</v>
      </c>
      <c r="R160" s="400">
        <v>300</v>
      </c>
      <c r="S160" s="400"/>
      <c r="T160" s="400"/>
      <c r="U160" s="400"/>
      <c r="V160" s="400"/>
      <c r="W160" s="400"/>
      <c r="X160" s="401">
        <v>4.8000000000000001E-2</v>
      </c>
      <c r="Y160" s="401">
        <v>4.5999999999999999E-2</v>
      </c>
      <c r="Z160" s="426">
        <v>4.2999999999999997E-2</v>
      </c>
      <c r="AA160" s="401">
        <v>4.2000000000000003E-2</v>
      </c>
      <c r="AB160" s="402" t="s">
        <v>814</v>
      </c>
      <c r="AD160" s="397"/>
      <c r="AE160" s="397"/>
      <c r="AF160" s="397"/>
      <c r="AG160" s="397"/>
      <c r="AH160" s="397"/>
      <c r="AI160" s="397"/>
      <c r="AJ160" s="397"/>
      <c r="AL160" s="412" t="s">
        <v>107</v>
      </c>
      <c r="AO160" s="405">
        <f>SUM(AO136:AO138)</f>
        <v>41413</v>
      </c>
      <c r="AP160" s="405">
        <f t="shared" ref="AP160:AX160" si="25">SUM(AP136:AP138)</f>
        <v>41413</v>
      </c>
      <c r="AQ160" s="405">
        <f t="shared" si="25"/>
        <v>15037</v>
      </c>
      <c r="AR160" s="405">
        <f t="shared" si="25"/>
        <v>13888</v>
      </c>
      <c r="AS160" s="405">
        <f t="shared" si="25"/>
        <v>0</v>
      </c>
      <c r="AT160" s="405">
        <f t="shared" si="25"/>
        <v>126</v>
      </c>
      <c r="AU160" s="405">
        <f t="shared" si="25"/>
        <v>12868</v>
      </c>
      <c r="AV160" s="405">
        <f t="shared" si="25"/>
        <v>0</v>
      </c>
      <c r="AW160" s="405">
        <f t="shared" si="25"/>
        <v>1552</v>
      </c>
      <c r="AX160" s="405">
        <f t="shared" si="25"/>
        <v>491</v>
      </c>
      <c r="AY160" s="406">
        <f t="shared" si="19"/>
        <v>14911</v>
      </c>
      <c r="AZ160" s="406">
        <f t="shared" si="20"/>
        <v>100</v>
      </c>
      <c r="BA160" s="405">
        <f t="shared" ref="BA160:BI160" si="26">SUM(BA136:BA138)</f>
        <v>0</v>
      </c>
      <c r="BB160" s="407">
        <f t="shared" si="22"/>
        <v>4.1032120768770364</v>
      </c>
      <c r="BC160" s="405">
        <f t="shared" si="26"/>
        <v>2263</v>
      </c>
      <c r="BD160" s="405">
        <f t="shared" si="26"/>
        <v>262</v>
      </c>
      <c r="BE160" s="405">
        <f t="shared" si="26"/>
        <v>2525</v>
      </c>
      <c r="BF160" s="405">
        <f t="shared" si="26"/>
        <v>0</v>
      </c>
      <c r="BG160" s="405">
        <f t="shared" si="26"/>
        <v>130057</v>
      </c>
      <c r="BH160" s="405">
        <f t="shared" si="26"/>
        <v>639</v>
      </c>
      <c r="BI160" s="405">
        <f t="shared" si="26"/>
        <v>145</v>
      </c>
    </row>
    <row r="161" spans="15:61" ht="9.9499999999999993" customHeight="1" x14ac:dyDescent="0.15">
      <c r="O161" s="398">
        <v>43336</v>
      </c>
      <c r="P161" s="399">
        <f t="shared" si="17"/>
        <v>43336</v>
      </c>
      <c r="Q161" s="400"/>
      <c r="R161" s="400"/>
      <c r="S161" s="400"/>
      <c r="T161" s="400"/>
      <c r="U161" s="400">
        <v>210</v>
      </c>
      <c r="V161" s="400">
        <v>56</v>
      </c>
      <c r="W161" s="400">
        <v>0.9</v>
      </c>
      <c r="X161" s="401">
        <v>4.2000000000000003E-2</v>
      </c>
      <c r="Y161" s="401">
        <v>4.3999999999999997E-2</v>
      </c>
      <c r="Z161" s="426">
        <v>4.2999999999999997E-2</v>
      </c>
      <c r="AA161" s="401">
        <v>5.3999999999999999E-2</v>
      </c>
      <c r="AB161" s="402"/>
      <c r="AD161" s="397"/>
      <c r="AE161" s="397"/>
      <c r="AF161" s="397"/>
      <c r="AG161" s="397"/>
      <c r="AH161" s="397"/>
      <c r="AI161" s="397"/>
      <c r="AJ161" s="397"/>
      <c r="AL161" s="412" t="s">
        <v>34</v>
      </c>
      <c r="AO161" s="405">
        <f>SUM(AO139:AO141)</f>
        <v>42040</v>
      </c>
      <c r="AP161" s="405">
        <f t="shared" ref="AP161:AX162" si="27">SUM(AP141:AP143)</f>
        <v>42421</v>
      </c>
      <c r="AQ161" s="405">
        <f t="shared" si="27"/>
        <v>15647</v>
      </c>
      <c r="AR161" s="405">
        <f t="shared" si="27"/>
        <v>14080</v>
      </c>
      <c r="AS161" s="405">
        <f t="shared" si="27"/>
        <v>0</v>
      </c>
      <c r="AT161" s="405">
        <f t="shared" si="27"/>
        <v>127</v>
      </c>
      <c r="AU161" s="405">
        <f t="shared" si="27"/>
        <v>13563</v>
      </c>
      <c r="AV161" s="405">
        <f t="shared" si="27"/>
        <v>0</v>
      </c>
      <c r="AW161" s="405">
        <f t="shared" si="27"/>
        <v>1461</v>
      </c>
      <c r="AX161" s="405">
        <f>SUM(AX139:AX141)</f>
        <v>502</v>
      </c>
      <c r="AY161" s="406">
        <f t="shared" si="19"/>
        <v>15526</v>
      </c>
      <c r="AZ161" s="406">
        <f t="shared" si="20"/>
        <v>100</v>
      </c>
      <c r="BA161" s="405">
        <f>SUM(BA139:BA141)</f>
        <v>0</v>
      </c>
      <c r="BB161" s="407">
        <f t="shared" si="22"/>
        <v>4.0183990289401397</v>
      </c>
      <c r="BC161" s="405">
        <f t="shared" ref="BC161:BI161" si="28">SUM(BC139:BC141)</f>
        <v>2374</v>
      </c>
      <c r="BD161" s="405">
        <f t="shared" si="28"/>
        <v>284</v>
      </c>
      <c r="BE161" s="405">
        <f t="shared" si="28"/>
        <v>2658</v>
      </c>
      <c r="BF161" s="405">
        <f t="shared" si="28"/>
        <v>0</v>
      </c>
      <c r="BG161" s="405">
        <f t="shared" si="28"/>
        <v>130212</v>
      </c>
      <c r="BH161" s="405">
        <f t="shared" si="28"/>
        <v>792</v>
      </c>
      <c r="BI161" s="405">
        <f t="shared" si="28"/>
        <v>156</v>
      </c>
    </row>
    <row r="162" spans="15:61" ht="9.9499999999999993" customHeight="1" x14ac:dyDescent="0.15">
      <c r="O162" s="398">
        <v>43337</v>
      </c>
      <c r="P162" s="399">
        <f t="shared" si="17"/>
        <v>43337</v>
      </c>
      <c r="Q162" s="400"/>
      <c r="R162" s="400"/>
      <c r="S162" s="400"/>
      <c r="T162" s="400"/>
      <c r="U162" s="400"/>
      <c r="V162" s="400"/>
      <c r="W162" s="400"/>
      <c r="X162" s="401">
        <v>0.06</v>
      </c>
      <c r="Y162" s="401"/>
      <c r="Z162" s="426"/>
      <c r="AA162" s="401">
        <v>4.8000000000000001E-2</v>
      </c>
      <c r="AB162" s="402"/>
      <c r="AD162" s="397"/>
      <c r="AE162" s="397"/>
      <c r="AF162" s="397"/>
      <c r="AG162" s="397"/>
      <c r="AH162" s="397"/>
      <c r="AI162" s="397"/>
      <c r="AJ162" s="397"/>
      <c r="AL162" s="412" t="s">
        <v>35</v>
      </c>
      <c r="AO162" s="405">
        <f>SUM(AO142:AO144)</f>
        <v>42500</v>
      </c>
      <c r="AP162" s="405">
        <f t="shared" si="27"/>
        <v>42500</v>
      </c>
      <c r="AQ162" s="405">
        <f t="shared" si="27"/>
        <v>15774</v>
      </c>
      <c r="AR162" s="405">
        <f t="shared" si="27"/>
        <v>14084</v>
      </c>
      <c r="AS162" s="405">
        <f t="shared" si="27"/>
        <v>0</v>
      </c>
      <c r="AT162" s="405">
        <f t="shared" si="27"/>
        <v>132</v>
      </c>
      <c r="AU162" s="405">
        <f t="shared" si="27"/>
        <v>13695</v>
      </c>
      <c r="AV162" s="405">
        <f t="shared" si="27"/>
        <v>0</v>
      </c>
      <c r="AW162" s="405">
        <f t="shared" si="27"/>
        <v>1453</v>
      </c>
      <c r="AX162" s="405">
        <f t="shared" si="27"/>
        <v>494</v>
      </c>
      <c r="AY162" s="406">
        <f t="shared" si="19"/>
        <v>15642</v>
      </c>
      <c r="AZ162" s="406">
        <f t="shared" si="20"/>
        <v>100</v>
      </c>
      <c r="BA162" s="405">
        <f t="shared" ref="BA162:BI162" si="29">SUM(BA142:BA144)</f>
        <v>0</v>
      </c>
      <c r="BB162" s="407">
        <f t="shared" si="22"/>
        <v>3.9685558514010397</v>
      </c>
      <c r="BC162" s="405">
        <f t="shared" si="29"/>
        <v>2371</v>
      </c>
      <c r="BD162" s="405">
        <f t="shared" si="29"/>
        <v>491</v>
      </c>
      <c r="BE162" s="405">
        <f t="shared" si="29"/>
        <v>2862</v>
      </c>
      <c r="BF162" s="405">
        <f t="shared" si="29"/>
        <v>0</v>
      </c>
      <c r="BG162" s="405">
        <f t="shared" si="29"/>
        <v>130451</v>
      </c>
      <c r="BH162" s="405">
        <f t="shared" si="29"/>
        <v>366</v>
      </c>
      <c r="BI162" s="405">
        <f t="shared" si="29"/>
        <v>145</v>
      </c>
    </row>
    <row r="163" spans="15:61" ht="9.9499999999999993" customHeight="1" x14ac:dyDescent="0.15">
      <c r="O163" s="398">
        <v>43339</v>
      </c>
      <c r="P163" s="399">
        <f t="shared" si="17"/>
        <v>43339</v>
      </c>
      <c r="Q163" s="400"/>
      <c r="R163" s="400"/>
      <c r="S163" s="400"/>
      <c r="T163" s="400"/>
      <c r="U163" s="400"/>
      <c r="V163" s="400"/>
      <c r="W163" s="400"/>
      <c r="X163" s="401">
        <v>4.8000000000000001E-2</v>
      </c>
      <c r="Y163" s="401">
        <v>3.7999999999999999E-2</v>
      </c>
      <c r="Z163" s="426">
        <v>4.2000000000000003E-2</v>
      </c>
      <c r="AA163" s="401">
        <v>3.5999999999999997E-2</v>
      </c>
      <c r="AB163" s="402"/>
      <c r="AD163" s="397"/>
      <c r="AE163" s="397"/>
      <c r="AF163" s="397"/>
      <c r="AG163" s="397"/>
      <c r="AH163" s="397"/>
      <c r="AI163" s="397"/>
      <c r="AJ163" s="397"/>
      <c r="AL163" s="412" t="s">
        <v>36</v>
      </c>
      <c r="AO163" s="405">
        <f>SUM(AO145:AO147)</f>
        <v>42758</v>
      </c>
      <c r="AP163" s="405">
        <f t="shared" ref="AP163:AX163" si="30">SUM(AP145:AP147)</f>
        <v>42758</v>
      </c>
      <c r="AQ163" s="405">
        <f t="shared" si="30"/>
        <v>15648</v>
      </c>
      <c r="AR163" s="405">
        <f t="shared" si="30"/>
        <v>14279</v>
      </c>
      <c r="AS163" s="405">
        <f t="shared" si="30"/>
        <v>0</v>
      </c>
      <c r="AT163" s="405">
        <f t="shared" si="30"/>
        <v>381</v>
      </c>
      <c r="AU163" s="405">
        <f t="shared" si="30"/>
        <v>13314</v>
      </c>
      <c r="AV163" s="405">
        <f t="shared" si="30"/>
        <v>0</v>
      </c>
      <c r="AW163" s="405">
        <f t="shared" si="30"/>
        <v>1444</v>
      </c>
      <c r="AX163" s="405">
        <f t="shared" si="30"/>
        <v>496</v>
      </c>
      <c r="AY163" s="406">
        <f t="shared" si="19"/>
        <v>15254</v>
      </c>
      <c r="AZ163" s="406">
        <f t="shared" si="20"/>
        <v>100</v>
      </c>
      <c r="BA163" s="405">
        <f t="shared" ref="BA163:BI163" si="31">SUM(BA145:BA147)</f>
        <v>0</v>
      </c>
      <c r="BB163" s="407">
        <f t="shared" si="22"/>
        <v>5.6092101055324592</v>
      </c>
      <c r="BC163" s="405">
        <f t="shared" si="31"/>
        <v>2375</v>
      </c>
      <c r="BD163" s="405">
        <f t="shared" si="31"/>
        <v>284</v>
      </c>
      <c r="BE163" s="405">
        <f t="shared" si="31"/>
        <v>2659</v>
      </c>
      <c r="BF163" s="405">
        <f t="shared" si="31"/>
        <v>0</v>
      </c>
      <c r="BG163" s="405">
        <f t="shared" si="31"/>
        <v>43543</v>
      </c>
      <c r="BH163" s="405">
        <f t="shared" si="31"/>
        <v>51</v>
      </c>
      <c r="BI163" s="405">
        <f t="shared" si="31"/>
        <v>0</v>
      </c>
    </row>
    <row r="164" spans="15:61" ht="9.9499999999999993" customHeight="1" x14ac:dyDescent="0.15">
      <c r="O164" s="398">
        <v>43340</v>
      </c>
      <c r="P164" s="399">
        <f t="shared" si="17"/>
        <v>43340</v>
      </c>
      <c r="Q164" s="400"/>
      <c r="R164" s="400"/>
      <c r="S164" s="400"/>
      <c r="T164" s="400"/>
      <c r="U164" s="400"/>
      <c r="V164" s="400"/>
      <c r="W164" s="400"/>
      <c r="X164" s="401">
        <v>4.2000000000000003E-2</v>
      </c>
      <c r="Y164" s="401">
        <v>4.9000000000000002E-2</v>
      </c>
      <c r="Z164" s="426">
        <v>4.5999999999999999E-2</v>
      </c>
      <c r="AA164" s="401">
        <v>5.3999999999999999E-2</v>
      </c>
      <c r="AB164" s="402"/>
      <c r="AD164" s="397"/>
      <c r="AE164" s="397"/>
      <c r="AF164" s="397"/>
      <c r="AG164" s="397"/>
      <c r="AH164" s="397"/>
      <c r="AI164" s="397"/>
      <c r="AJ164" s="397"/>
      <c r="AL164" s="412" t="s">
        <v>221</v>
      </c>
      <c r="AO164" s="405">
        <f>SUM(AO148:AO150)</f>
        <v>42817</v>
      </c>
      <c r="AP164" s="405">
        <f t="shared" ref="AP164:AX164" si="32">SUM(AP148:AP150)</f>
        <v>42817</v>
      </c>
      <c r="AQ164" s="405">
        <f t="shared" si="32"/>
        <v>15466</v>
      </c>
      <c r="AR164" s="405">
        <f t="shared" si="32"/>
        <v>14245</v>
      </c>
      <c r="AS164" s="405">
        <f t="shared" si="32"/>
        <v>0</v>
      </c>
      <c r="AT164" s="405">
        <f t="shared" si="32"/>
        <v>372</v>
      </c>
      <c r="AU164" s="405">
        <f t="shared" si="32"/>
        <v>13196</v>
      </c>
      <c r="AV164" s="405">
        <f t="shared" si="32"/>
        <v>0</v>
      </c>
      <c r="AW164" s="405">
        <f t="shared" si="32"/>
        <v>1423</v>
      </c>
      <c r="AX164" s="405">
        <f t="shared" si="32"/>
        <v>475</v>
      </c>
      <c r="AY164" s="406">
        <f t="shared" si="19"/>
        <v>15094</v>
      </c>
      <c r="AZ164" s="406">
        <f t="shared" si="20"/>
        <v>100</v>
      </c>
      <c r="BA164" s="405">
        <f t="shared" ref="BA164" si="33">SUM(BA148:BA150)</f>
        <v>790</v>
      </c>
      <c r="BB164" s="407">
        <f>(AX164+BA164+AT164)/(AY164+AT164)*100</f>
        <v>10.584507952929005</v>
      </c>
      <c r="BC164" s="405">
        <f t="shared" ref="BC164:BI164" si="34">SUM(BC148:BC150)</f>
        <v>2559</v>
      </c>
      <c r="BD164" s="405">
        <f t="shared" si="34"/>
        <v>231</v>
      </c>
      <c r="BE164" s="405">
        <f t="shared" si="34"/>
        <v>2790</v>
      </c>
      <c r="BF164" s="405">
        <f t="shared" si="34"/>
        <v>0</v>
      </c>
      <c r="BG164" s="405">
        <f t="shared" si="34"/>
        <v>0</v>
      </c>
      <c r="BH164" s="405">
        <f t="shared" si="34"/>
        <v>0</v>
      </c>
      <c r="BI164" s="405">
        <f t="shared" si="34"/>
        <v>849</v>
      </c>
    </row>
    <row r="165" spans="15:61" ht="9.9499999999999993" customHeight="1" x14ac:dyDescent="0.15">
      <c r="O165" s="398">
        <v>43341</v>
      </c>
      <c r="P165" s="399">
        <f t="shared" si="17"/>
        <v>43341</v>
      </c>
      <c r="Q165" s="400"/>
      <c r="R165" s="400"/>
      <c r="S165" s="400"/>
      <c r="T165" s="400"/>
      <c r="U165" s="400"/>
      <c r="V165" s="400"/>
      <c r="W165" s="400"/>
      <c r="X165" s="401">
        <v>4.8000000000000001E-2</v>
      </c>
      <c r="Y165" s="401">
        <v>4.5999999999999999E-2</v>
      </c>
      <c r="Z165" s="426">
        <v>0.04</v>
      </c>
      <c r="AA165" s="401">
        <v>3.5999999999999997E-2</v>
      </c>
      <c r="AB165" s="402"/>
    </row>
    <row r="166" spans="15:61" ht="9.9499999999999993" customHeight="1" x14ac:dyDescent="0.15">
      <c r="O166" s="398">
        <v>43342</v>
      </c>
      <c r="P166" s="399">
        <f t="shared" si="17"/>
        <v>43342</v>
      </c>
      <c r="Q166" s="400"/>
      <c r="R166" s="400"/>
      <c r="S166" s="400"/>
      <c r="T166" s="400"/>
      <c r="U166" s="400"/>
      <c r="V166" s="400"/>
      <c r="W166" s="400"/>
      <c r="X166" s="401">
        <v>3.5999999999999997E-2</v>
      </c>
      <c r="Y166" s="401">
        <v>4.1000000000000002E-2</v>
      </c>
      <c r="Z166" s="426">
        <v>5.5E-2</v>
      </c>
      <c r="AA166" s="401">
        <v>5.3999999999999999E-2</v>
      </c>
      <c r="AB166" s="402"/>
    </row>
    <row r="167" spans="15:61" ht="9.9499999999999993" customHeight="1" x14ac:dyDescent="0.15">
      <c r="O167" s="398">
        <v>43343</v>
      </c>
      <c r="P167" s="399">
        <f t="shared" si="17"/>
        <v>43343</v>
      </c>
      <c r="Q167" s="400"/>
      <c r="R167" s="400"/>
      <c r="S167" s="400"/>
      <c r="T167" s="400"/>
      <c r="U167" s="400"/>
      <c r="V167" s="400"/>
      <c r="W167" s="400"/>
      <c r="X167" s="401">
        <v>4.2000000000000003E-2</v>
      </c>
      <c r="Y167" s="401">
        <v>0.05</v>
      </c>
      <c r="Z167" s="426">
        <v>3.5000000000000003E-2</v>
      </c>
      <c r="AA167" s="401">
        <v>6.6000000000000003E-2</v>
      </c>
      <c r="AB167" s="402"/>
    </row>
    <row r="168" spans="15:61" ht="9.9499999999999993" customHeight="1" x14ac:dyDescent="0.15">
      <c r="O168" s="398">
        <v>43346</v>
      </c>
      <c r="P168" s="399">
        <f t="shared" si="17"/>
        <v>43346</v>
      </c>
      <c r="Q168" s="400"/>
      <c r="R168" s="400"/>
      <c r="S168" s="400"/>
      <c r="T168" s="400"/>
      <c r="U168" s="400"/>
      <c r="V168" s="400"/>
      <c r="W168" s="400"/>
      <c r="X168" s="401">
        <v>4.2000000000000003E-2</v>
      </c>
      <c r="Y168" s="401">
        <v>4.8000000000000001E-2</v>
      </c>
      <c r="Z168" s="426">
        <v>4.4999999999999998E-2</v>
      </c>
      <c r="AA168" s="401">
        <v>4.2000000000000003E-2</v>
      </c>
      <c r="AB168" s="402"/>
    </row>
    <row r="169" spans="15:61" ht="9.9499999999999993" customHeight="1" x14ac:dyDescent="0.15">
      <c r="O169" s="398">
        <v>43347</v>
      </c>
      <c r="P169" s="399">
        <f t="shared" si="17"/>
        <v>43347</v>
      </c>
      <c r="Q169" s="400"/>
      <c r="R169" s="400"/>
      <c r="S169" s="400"/>
      <c r="T169" s="400"/>
      <c r="U169" s="400"/>
      <c r="V169" s="400"/>
      <c r="W169" s="400"/>
      <c r="X169" s="401">
        <v>4.2000000000000003E-2</v>
      </c>
      <c r="Y169" s="401">
        <v>4.1000000000000002E-2</v>
      </c>
      <c r="Z169" s="426">
        <v>3.6999999999999998E-2</v>
      </c>
      <c r="AA169" s="401">
        <v>4.8000000000000001E-2</v>
      </c>
      <c r="AB169" s="402"/>
    </row>
    <row r="170" spans="15:61" ht="9.9499999999999993" customHeight="1" x14ac:dyDescent="0.15">
      <c r="O170" s="398">
        <v>43348</v>
      </c>
      <c r="P170" s="399">
        <f t="shared" si="17"/>
        <v>43348</v>
      </c>
      <c r="Q170" s="400"/>
      <c r="R170" s="400"/>
      <c r="S170" s="400"/>
      <c r="T170" s="400"/>
      <c r="U170" s="400"/>
      <c r="V170" s="400"/>
      <c r="W170" s="400">
        <v>1</v>
      </c>
      <c r="X170" s="401">
        <v>3.5999999999999997E-2</v>
      </c>
      <c r="Y170" s="401">
        <v>3.7999999999999999E-2</v>
      </c>
      <c r="Z170" s="426">
        <v>4.2000000000000003E-2</v>
      </c>
      <c r="AA170" s="401">
        <v>3.5999999999999997E-2</v>
      </c>
      <c r="AB170" s="402"/>
    </row>
    <row r="171" spans="15:61" ht="9.9499999999999993" customHeight="1" x14ac:dyDescent="0.15">
      <c r="O171" s="398">
        <v>43349</v>
      </c>
      <c r="P171" s="399">
        <f t="shared" si="17"/>
        <v>43349</v>
      </c>
      <c r="Q171" s="400"/>
      <c r="R171" s="400"/>
      <c r="S171" s="400"/>
      <c r="T171" s="400"/>
      <c r="U171" s="400"/>
      <c r="V171" s="400"/>
      <c r="W171" s="400"/>
      <c r="X171" s="401">
        <v>3.5999999999999997E-2</v>
      </c>
      <c r="Y171" s="401">
        <v>4.1000000000000002E-2</v>
      </c>
      <c r="Z171" s="426">
        <v>4.2000000000000003E-2</v>
      </c>
      <c r="AA171" s="401">
        <v>5.3999999999999999E-2</v>
      </c>
      <c r="AB171" s="402"/>
    </row>
    <row r="172" spans="15:61" ht="9.9499999999999993" customHeight="1" x14ac:dyDescent="0.15">
      <c r="O172" s="398">
        <v>43350</v>
      </c>
      <c r="P172" s="399">
        <f t="shared" si="17"/>
        <v>43350</v>
      </c>
      <c r="Q172" s="400"/>
      <c r="R172" s="400"/>
      <c r="S172" s="400"/>
      <c r="T172" s="400"/>
      <c r="U172" s="400"/>
      <c r="V172" s="400"/>
      <c r="W172" s="400"/>
      <c r="X172" s="401">
        <v>5.3999999999999999E-2</v>
      </c>
      <c r="Y172" s="401">
        <v>0.04</v>
      </c>
      <c r="Z172" s="426">
        <v>4.2999999999999997E-2</v>
      </c>
      <c r="AA172" s="401">
        <v>5.3999999999999999E-2</v>
      </c>
      <c r="AB172" s="402"/>
    </row>
    <row r="173" spans="15:61" ht="9.9499999999999993" customHeight="1" x14ac:dyDescent="0.15">
      <c r="O173" s="398">
        <v>43353</v>
      </c>
      <c r="P173" s="399">
        <f t="shared" si="17"/>
        <v>43353</v>
      </c>
      <c r="Q173" s="400"/>
      <c r="R173" s="400"/>
      <c r="S173" s="400"/>
      <c r="T173" s="400"/>
      <c r="U173" s="400"/>
      <c r="V173" s="400"/>
      <c r="W173" s="400"/>
      <c r="X173" s="401">
        <v>5.3999999999999999E-2</v>
      </c>
      <c r="Y173" s="401">
        <v>4.5999999999999999E-2</v>
      </c>
      <c r="Z173" s="426">
        <v>4.4999999999999998E-2</v>
      </c>
      <c r="AA173" s="401">
        <v>0.06</v>
      </c>
      <c r="AB173" s="402"/>
    </row>
    <row r="174" spans="15:61" ht="9.9499999999999993" customHeight="1" x14ac:dyDescent="0.15">
      <c r="O174" s="398">
        <v>43354</v>
      </c>
      <c r="P174" s="399">
        <f t="shared" si="17"/>
        <v>43354</v>
      </c>
      <c r="Q174" s="400"/>
      <c r="R174" s="400"/>
      <c r="S174" s="400"/>
      <c r="T174" s="400"/>
      <c r="U174" s="400"/>
      <c r="V174" s="400"/>
      <c r="W174" s="400"/>
      <c r="X174" s="401">
        <v>4.2000000000000003E-2</v>
      </c>
      <c r="Y174" s="401">
        <v>4.2999999999999997E-2</v>
      </c>
      <c r="Z174" s="426">
        <v>4.2000000000000003E-2</v>
      </c>
      <c r="AA174" s="401">
        <v>5.3999999999999999E-2</v>
      </c>
      <c r="AB174" s="402"/>
    </row>
    <row r="175" spans="15:61" ht="9.9499999999999993" customHeight="1" x14ac:dyDescent="0.15">
      <c r="O175" s="398">
        <v>43355</v>
      </c>
      <c r="P175" s="399">
        <f t="shared" si="17"/>
        <v>43355</v>
      </c>
      <c r="Q175" s="400"/>
      <c r="R175" s="400"/>
      <c r="S175" s="400"/>
      <c r="T175" s="400"/>
      <c r="U175" s="400"/>
      <c r="V175" s="400"/>
      <c r="W175" s="400"/>
      <c r="X175" s="401">
        <v>4.2000000000000003E-2</v>
      </c>
      <c r="Y175" s="401">
        <v>3.9E-2</v>
      </c>
      <c r="Z175" s="426">
        <v>4.1000000000000002E-2</v>
      </c>
      <c r="AA175" s="401">
        <v>5.3999999999999999E-2</v>
      </c>
      <c r="AB175" s="402"/>
    </row>
    <row r="176" spans="15:61" ht="9.9499999999999993" customHeight="1" x14ac:dyDescent="0.15">
      <c r="O176" s="398">
        <v>43356</v>
      </c>
      <c r="P176" s="399">
        <f t="shared" si="17"/>
        <v>43356</v>
      </c>
      <c r="Q176" s="400"/>
      <c r="R176" s="400"/>
      <c r="S176" s="400"/>
      <c r="T176" s="400"/>
      <c r="U176" s="400">
        <v>176</v>
      </c>
      <c r="V176" s="400">
        <v>33</v>
      </c>
      <c r="W176" s="400"/>
      <c r="X176" s="401">
        <v>4.2000000000000003E-2</v>
      </c>
      <c r="Y176" s="401">
        <v>4.9000000000000002E-2</v>
      </c>
      <c r="Z176" s="426">
        <v>3.4000000000000002E-2</v>
      </c>
      <c r="AA176" s="401">
        <v>4.2000000000000003E-2</v>
      </c>
      <c r="AB176" s="402"/>
    </row>
    <row r="177" spans="15:28" ht="9.9499999999999993" customHeight="1" x14ac:dyDescent="0.15">
      <c r="O177" s="398">
        <v>43357</v>
      </c>
      <c r="P177" s="399">
        <f t="shared" si="17"/>
        <v>43357</v>
      </c>
      <c r="Q177" s="400"/>
      <c r="R177" s="400"/>
      <c r="S177" s="400"/>
      <c r="T177" s="400"/>
      <c r="U177" s="400"/>
      <c r="V177" s="400"/>
      <c r="W177" s="400"/>
      <c r="X177" s="401">
        <v>4.2000000000000003E-2</v>
      </c>
      <c r="Y177" s="401">
        <v>3.9E-2</v>
      </c>
      <c r="Z177" s="426">
        <v>3.9E-2</v>
      </c>
      <c r="AA177" s="401">
        <v>5.3999999999999999E-2</v>
      </c>
      <c r="AB177" s="402"/>
    </row>
    <row r="178" spans="15:28" ht="9.9499999999999993" customHeight="1" x14ac:dyDescent="0.15">
      <c r="O178" s="398">
        <v>43360</v>
      </c>
      <c r="P178" s="399">
        <f t="shared" si="17"/>
        <v>43360</v>
      </c>
      <c r="Q178" s="400"/>
      <c r="R178" s="400"/>
      <c r="S178" s="400"/>
      <c r="T178" s="400"/>
      <c r="U178" s="400"/>
      <c r="V178" s="400"/>
      <c r="W178" s="400"/>
      <c r="X178" s="401">
        <v>5.3999999999999999E-2</v>
      </c>
      <c r="Y178" s="401">
        <v>3.7999999999999999E-2</v>
      </c>
      <c r="Z178" s="401">
        <v>0.04</v>
      </c>
      <c r="AA178" s="401">
        <v>4.2000000000000003E-2</v>
      </c>
      <c r="AB178" s="402"/>
    </row>
    <row r="179" spans="15:28" ht="9.9499999999999993" customHeight="1" x14ac:dyDescent="0.15">
      <c r="O179" s="398">
        <v>43361</v>
      </c>
      <c r="P179" s="399">
        <f t="shared" si="17"/>
        <v>43361</v>
      </c>
      <c r="Q179" s="400">
        <v>550</v>
      </c>
      <c r="R179" s="400">
        <v>700</v>
      </c>
      <c r="S179" s="400"/>
      <c r="T179" s="400"/>
      <c r="U179" s="400"/>
      <c r="V179" s="400"/>
      <c r="W179" s="400"/>
      <c r="X179" s="401">
        <v>4.8000000000000001E-2</v>
      </c>
      <c r="Y179" s="401">
        <v>3.9E-2</v>
      </c>
      <c r="Z179" s="401">
        <v>4.2000000000000003E-2</v>
      </c>
      <c r="AA179" s="401">
        <v>5.3999999999999999E-2</v>
      </c>
      <c r="AB179" s="402" t="s">
        <v>815</v>
      </c>
    </row>
    <row r="180" spans="15:28" ht="9.9499999999999993" customHeight="1" x14ac:dyDescent="0.15">
      <c r="O180" s="398">
        <v>43362</v>
      </c>
      <c r="P180" s="399">
        <f t="shared" si="17"/>
        <v>43362</v>
      </c>
      <c r="Q180" s="400">
        <v>840</v>
      </c>
      <c r="R180" s="400">
        <v>700</v>
      </c>
      <c r="S180" s="400"/>
      <c r="T180" s="400"/>
      <c r="U180" s="400"/>
      <c r="V180" s="400"/>
      <c r="W180" s="400"/>
      <c r="X180" s="401">
        <v>4.2000000000000003E-2</v>
      </c>
      <c r="Y180" s="401">
        <v>4.1000000000000002E-2</v>
      </c>
      <c r="Z180" s="401">
        <v>0.04</v>
      </c>
      <c r="AA180" s="401">
        <v>4.8000000000000001E-2</v>
      </c>
      <c r="AB180" s="402" t="s">
        <v>815</v>
      </c>
    </row>
    <row r="181" spans="15:28" ht="9.9499999999999993" customHeight="1" x14ac:dyDescent="0.15">
      <c r="O181" s="398">
        <v>43363</v>
      </c>
      <c r="P181" s="399">
        <f t="shared" si="17"/>
        <v>43363</v>
      </c>
      <c r="Q181" s="400">
        <v>760</v>
      </c>
      <c r="R181" s="400">
        <v>700</v>
      </c>
      <c r="S181" s="400"/>
      <c r="T181" s="400"/>
      <c r="U181" s="400"/>
      <c r="V181" s="400"/>
      <c r="W181" s="400"/>
      <c r="X181" s="401">
        <v>4.8000000000000001E-2</v>
      </c>
      <c r="Y181" s="401">
        <v>4.2000000000000003E-2</v>
      </c>
      <c r="Z181" s="401">
        <v>4.8000000000000001E-2</v>
      </c>
      <c r="AA181" s="401">
        <v>4.8000000000000001E-2</v>
      </c>
      <c r="AB181" s="402" t="s">
        <v>815</v>
      </c>
    </row>
    <row r="182" spans="15:28" ht="9.9499999999999993" customHeight="1" x14ac:dyDescent="0.15">
      <c r="O182" s="398">
        <v>43364</v>
      </c>
      <c r="P182" s="399">
        <f t="shared" si="17"/>
        <v>43364</v>
      </c>
      <c r="Q182" s="400">
        <v>860</v>
      </c>
      <c r="R182" s="400">
        <v>700</v>
      </c>
      <c r="S182" s="400"/>
      <c r="T182" s="400"/>
      <c r="U182" s="400"/>
      <c r="V182" s="400"/>
      <c r="W182" s="400">
        <v>0.8</v>
      </c>
      <c r="X182" s="401">
        <v>3.5999999999999997E-2</v>
      </c>
      <c r="Y182" s="401">
        <v>4.2000000000000003E-2</v>
      </c>
      <c r="Z182" s="401">
        <v>3.7999999999999999E-2</v>
      </c>
      <c r="AA182" s="401">
        <v>3.5999999999999997E-2</v>
      </c>
      <c r="AB182" s="402" t="s">
        <v>815</v>
      </c>
    </row>
    <row r="183" spans="15:28" ht="9.9499999999999993" customHeight="1" x14ac:dyDescent="0.15">
      <c r="O183" s="398">
        <v>43365</v>
      </c>
      <c r="P183" s="399">
        <f t="shared" si="17"/>
        <v>43365</v>
      </c>
      <c r="Q183" s="400">
        <v>860</v>
      </c>
      <c r="R183" s="400">
        <v>700</v>
      </c>
      <c r="S183" s="400"/>
      <c r="T183" s="400"/>
      <c r="U183" s="400">
        <v>253</v>
      </c>
      <c r="V183" s="400">
        <v>56</v>
      </c>
      <c r="W183" s="400"/>
      <c r="X183" s="401">
        <v>4.8000000000000001E-2</v>
      </c>
      <c r="Y183" s="401">
        <v>5.8999999999999997E-2</v>
      </c>
      <c r="Z183" s="401"/>
      <c r="AA183" s="401">
        <v>0.06</v>
      </c>
      <c r="AB183" s="402" t="s">
        <v>815</v>
      </c>
    </row>
    <row r="184" spans="15:28" ht="9.9499999999999993" customHeight="1" x14ac:dyDescent="0.15">
      <c r="O184" s="398">
        <v>43367</v>
      </c>
      <c r="P184" s="399">
        <f t="shared" si="17"/>
        <v>43367</v>
      </c>
      <c r="Q184" s="400"/>
      <c r="R184" s="400"/>
      <c r="S184" s="400"/>
      <c r="T184" s="400"/>
      <c r="U184" s="400"/>
      <c r="V184" s="400"/>
      <c r="W184" s="400"/>
      <c r="X184" s="401">
        <v>5.3999999999999999E-2</v>
      </c>
      <c r="Y184" s="401">
        <v>4.4999999999999998E-2</v>
      </c>
      <c r="Z184" s="401"/>
      <c r="AA184" s="401">
        <v>4.8000000000000001E-2</v>
      </c>
      <c r="AB184" s="402"/>
    </row>
    <row r="185" spans="15:28" ht="9.9499999999999993" customHeight="1" x14ac:dyDescent="0.15">
      <c r="O185" s="398">
        <v>43368</v>
      </c>
      <c r="P185" s="399">
        <f t="shared" si="17"/>
        <v>43368</v>
      </c>
      <c r="Q185" s="400"/>
      <c r="R185" s="400"/>
      <c r="S185" s="400"/>
      <c r="T185" s="400"/>
      <c r="U185" s="400"/>
      <c r="V185" s="400"/>
      <c r="W185" s="400"/>
      <c r="X185" s="401">
        <v>4.2000000000000003E-2</v>
      </c>
      <c r="Y185" s="401">
        <v>5.0999999999999997E-2</v>
      </c>
      <c r="Z185" s="401">
        <v>5.2999999999999999E-2</v>
      </c>
      <c r="AA185" s="401">
        <v>4.8000000000000001E-2</v>
      </c>
      <c r="AB185" s="402"/>
    </row>
    <row r="186" spans="15:28" ht="9.9499999999999993" customHeight="1" x14ac:dyDescent="0.15">
      <c r="O186" s="398">
        <v>43369</v>
      </c>
      <c r="P186" s="399">
        <f t="shared" si="17"/>
        <v>43369</v>
      </c>
      <c r="Q186" s="400"/>
      <c r="R186" s="400"/>
      <c r="S186" s="400"/>
      <c r="T186" s="400"/>
      <c r="U186" s="400"/>
      <c r="V186" s="400"/>
      <c r="W186" s="400"/>
      <c r="X186" s="401">
        <v>0.06</v>
      </c>
      <c r="Y186" s="401">
        <v>4.4999999999999998E-2</v>
      </c>
      <c r="Z186" s="401">
        <v>2.7E-2</v>
      </c>
      <c r="AA186" s="401">
        <v>5.3999999999999999E-2</v>
      </c>
      <c r="AB186" s="402"/>
    </row>
    <row r="187" spans="15:28" ht="9.9499999999999993" customHeight="1" x14ac:dyDescent="0.15">
      <c r="O187" s="398">
        <v>43370</v>
      </c>
      <c r="P187" s="399">
        <f t="shared" si="17"/>
        <v>43370</v>
      </c>
      <c r="Q187" s="400"/>
      <c r="R187" s="400"/>
      <c r="S187" s="400"/>
      <c r="T187" s="400"/>
      <c r="U187" s="400"/>
      <c r="V187" s="400"/>
      <c r="W187" s="400"/>
      <c r="X187" s="401">
        <v>3.5999999999999997E-2</v>
      </c>
      <c r="Y187" s="401">
        <v>4.4999999999999998E-2</v>
      </c>
      <c r="Z187" s="401">
        <v>4.2999999999999997E-2</v>
      </c>
      <c r="AA187" s="401">
        <v>5.3999999999999999E-2</v>
      </c>
      <c r="AB187" s="402"/>
    </row>
    <row r="188" spans="15:28" ht="9.9499999999999993" customHeight="1" x14ac:dyDescent="0.15">
      <c r="O188" s="398">
        <v>43371</v>
      </c>
      <c r="P188" s="399">
        <f t="shared" si="17"/>
        <v>43371</v>
      </c>
      <c r="Q188" s="400"/>
      <c r="R188" s="400"/>
      <c r="S188" s="400"/>
      <c r="T188" s="400"/>
      <c r="U188" s="400"/>
      <c r="V188" s="400"/>
      <c r="W188" s="400"/>
      <c r="X188" s="401">
        <v>4.2000000000000003E-2</v>
      </c>
      <c r="Y188" s="401">
        <v>0.06</v>
      </c>
      <c r="Z188" s="401">
        <v>3.1E-2</v>
      </c>
      <c r="AA188" s="401">
        <v>5.3999999999999999E-2</v>
      </c>
      <c r="AB188" s="402"/>
    </row>
    <row r="189" spans="15:28" ht="9.9499999999999993" customHeight="1" x14ac:dyDescent="0.15">
      <c r="O189" s="398">
        <v>43374</v>
      </c>
      <c r="P189" s="399">
        <f t="shared" si="17"/>
        <v>43374</v>
      </c>
      <c r="Q189" s="400"/>
      <c r="R189" s="400"/>
      <c r="S189" s="400"/>
      <c r="T189" s="400"/>
      <c r="U189" s="400"/>
      <c r="V189" s="400"/>
      <c r="W189" s="400"/>
      <c r="X189" s="401">
        <v>4.2000000000000003E-2</v>
      </c>
      <c r="Y189" s="401">
        <v>4.1000000000000002E-2</v>
      </c>
      <c r="Z189" s="401">
        <v>4.2999999999999997E-2</v>
      </c>
      <c r="AA189" s="401">
        <v>4.2000000000000003E-2</v>
      </c>
      <c r="AB189" s="402"/>
    </row>
    <row r="190" spans="15:28" ht="9.9499999999999993" customHeight="1" x14ac:dyDescent="0.15">
      <c r="O190" s="398">
        <v>43375</v>
      </c>
      <c r="P190" s="399">
        <f t="shared" si="17"/>
        <v>43375</v>
      </c>
      <c r="Q190" s="400"/>
      <c r="R190" s="400"/>
      <c r="S190" s="400"/>
      <c r="T190" s="400"/>
      <c r="U190" s="400"/>
      <c r="V190" s="400"/>
      <c r="W190" s="400"/>
      <c r="X190" s="401">
        <v>4.8000000000000001E-2</v>
      </c>
      <c r="Y190" s="401">
        <v>4.1000000000000002E-2</v>
      </c>
      <c r="Z190" s="401">
        <v>4.3999999999999997E-2</v>
      </c>
      <c r="AA190" s="401">
        <v>3.5999999999999997E-2</v>
      </c>
      <c r="AB190" s="402"/>
    </row>
    <row r="191" spans="15:28" ht="9.9499999999999993" customHeight="1" x14ac:dyDescent="0.15">
      <c r="O191" s="398">
        <v>43376</v>
      </c>
      <c r="P191" s="399">
        <f t="shared" si="17"/>
        <v>43376</v>
      </c>
      <c r="Q191" s="400"/>
      <c r="R191" s="400"/>
      <c r="S191" s="400"/>
      <c r="T191" s="400"/>
      <c r="U191" s="400"/>
      <c r="V191" s="400"/>
      <c r="W191" s="400"/>
      <c r="X191" s="401">
        <v>5.3999999999999999E-2</v>
      </c>
      <c r="Y191" s="401">
        <v>3.7999999999999999E-2</v>
      </c>
      <c r="Z191" s="401">
        <v>0.04</v>
      </c>
      <c r="AA191" s="401">
        <v>5.3999999999999999E-2</v>
      </c>
      <c r="AB191" s="402"/>
    </row>
    <row r="192" spans="15:28" ht="9.9499999999999993" customHeight="1" x14ac:dyDescent="0.15">
      <c r="O192" s="398">
        <v>43377</v>
      </c>
      <c r="P192" s="399">
        <f t="shared" si="17"/>
        <v>43377</v>
      </c>
      <c r="Q192" s="400"/>
      <c r="R192" s="400"/>
      <c r="S192" s="400"/>
      <c r="T192" s="400"/>
      <c r="U192" s="400"/>
      <c r="V192" s="400"/>
      <c r="W192" s="400"/>
      <c r="X192" s="401">
        <v>4.2000000000000003E-2</v>
      </c>
      <c r="Y192" s="401">
        <v>4.4999999999999998E-2</v>
      </c>
      <c r="Z192" s="401">
        <v>4.3999999999999997E-2</v>
      </c>
      <c r="AA192" s="401">
        <v>4.8000000000000001E-2</v>
      </c>
      <c r="AB192" s="402"/>
    </row>
    <row r="193" spans="15:28" ht="9.9499999999999993" customHeight="1" x14ac:dyDescent="0.15">
      <c r="O193" s="398">
        <v>43378</v>
      </c>
      <c r="P193" s="399">
        <f t="shared" si="17"/>
        <v>43378</v>
      </c>
      <c r="Q193" s="400"/>
      <c r="R193" s="400"/>
      <c r="S193" s="400"/>
      <c r="T193" s="400"/>
      <c r="U193" s="400"/>
      <c r="V193" s="400"/>
      <c r="W193" s="400">
        <v>1</v>
      </c>
      <c r="X193" s="401">
        <v>5.3999999999999999E-2</v>
      </c>
      <c r="Y193" s="401">
        <v>4.2999999999999997E-2</v>
      </c>
      <c r="Z193" s="401">
        <v>3.5000000000000003E-2</v>
      </c>
      <c r="AA193" s="401">
        <v>3.5999999999999997E-2</v>
      </c>
      <c r="AB193" s="402"/>
    </row>
    <row r="194" spans="15:28" ht="9.9499999999999993" customHeight="1" x14ac:dyDescent="0.15">
      <c r="O194" s="398">
        <v>43381</v>
      </c>
      <c r="P194" s="399">
        <f t="shared" si="17"/>
        <v>43381</v>
      </c>
      <c r="Q194" s="400"/>
      <c r="R194" s="400"/>
      <c r="S194" s="400"/>
      <c r="T194" s="400"/>
      <c r="U194" s="400"/>
      <c r="V194" s="400"/>
      <c r="W194" s="400"/>
      <c r="X194" s="401">
        <v>3.5999999999999997E-2</v>
      </c>
      <c r="Y194" s="401">
        <v>3.3000000000000002E-2</v>
      </c>
      <c r="Z194" s="401"/>
      <c r="AA194" s="401">
        <v>3.5999999999999997E-2</v>
      </c>
      <c r="AB194" s="402"/>
    </row>
    <row r="195" spans="15:28" ht="9.9499999999999993" customHeight="1" x14ac:dyDescent="0.15">
      <c r="O195" s="398">
        <v>43382</v>
      </c>
      <c r="P195" s="399">
        <f t="shared" si="17"/>
        <v>43382</v>
      </c>
      <c r="Q195" s="400"/>
      <c r="R195" s="400"/>
      <c r="S195" s="400"/>
      <c r="T195" s="400"/>
      <c r="U195" s="400"/>
      <c r="V195" s="400"/>
      <c r="W195" s="400"/>
      <c r="X195" s="401">
        <v>4.2000000000000003E-2</v>
      </c>
      <c r="Y195" s="401">
        <v>0.04</v>
      </c>
      <c r="Z195" s="401">
        <v>4.3999999999999997E-2</v>
      </c>
      <c r="AA195" s="401">
        <v>0.06</v>
      </c>
      <c r="AB195" s="402"/>
    </row>
    <row r="196" spans="15:28" ht="9.9499999999999993" customHeight="1" x14ac:dyDescent="0.15">
      <c r="O196" s="398">
        <v>43383</v>
      </c>
      <c r="P196" s="399">
        <f t="shared" si="17"/>
        <v>43383</v>
      </c>
      <c r="Q196" s="400"/>
      <c r="R196" s="400"/>
      <c r="S196" s="400"/>
      <c r="T196" s="400"/>
      <c r="U196" s="400"/>
      <c r="V196" s="400"/>
      <c r="W196" s="400"/>
      <c r="X196" s="401">
        <v>4.2000000000000003E-2</v>
      </c>
      <c r="Y196" s="401">
        <v>4.2000000000000003E-2</v>
      </c>
      <c r="Z196" s="401">
        <v>4.3999999999999997E-2</v>
      </c>
      <c r="AA196" s="401">
        <v>4.8000000000000001E-2</v>
      </c>
      <c r="AB196" s="402"/>
    </row>
    <row r="197" spans="15:28" ht="9.9499999999999993" customHeight="1" x14ac:dyDescent="0.15">
      <c r="O197" s="398">
        <v>43384</v>
      </c>
      <c r="P197" s="399">
        <f t="shared" si="17"/>
        <v>43384</v>
      </c>
      <c r="Q197" s="400"/>
      <c r="R197" s="400"/>
      <c r="S197" s="400"/>
      <c r="T197" s="400"/>
      <c r="U197" s="400"/>
      <c r="V197" s="400"/>
      <c r="W197" s="400"/>
      <c r="X197" s="401">
        <v>0.03</v>
      </c>
      <c r="Y197" s="401">
        <v>3.7999999999999999E-2</v>
      </c>
      <c r="Z197" s="401">
        <v>3.9E-2</v>
      </c>
      <c r="AA197" s="401">
        <v>4.2000000000000003E-2</v>
      </c>
      <c r="AB197" s="402"/>
    </row>
    <row r="198" spans="15:28" ht="9.9499999999999993" customHeight="1" x14ac:dyDescent="0.15">
      <c r="O198" s="398">
        <v>43385</v>
      </c>
      <c r="P198" s="399">
        <f t="shared" si="17"/>
        <v>43385</v>
      </c>
      <c r="Q198" s="400"/>
      <c r="R198" s="400"/>
      <c r="S198" s="400"/>
      <c r="T198" s="400"/>
      <c r="U198" s="400"/>
      <c r="V198" s="400"/>
      <c r="W198" s="400"/>
      <c r="X198" s="401">
        <v>5.3999999999999999E-2</v>
      </c>
      <c r="Y198" s="401">
        <v>4.2000000000000003E-2</v>
      </c>
      <c r="Z198" s="401">
        <v>3.7999999999999999E-2</v>
      </c>
      <c r="AA198" s="401">
        <v>4.2000000000000003E-2</v>
      </c>
      <c r="AB198" s="402"/>
    </row>
    <row r="199" spans="15:28" ht="9.9499999999999993" customHeight="1" x14ac:dyDescent="0.15">
      <c r="O199" s="398">
        <v>43388</v>
      </c>
      <c r="P199" s="399">
        <f t="shared" si="17"/>
        <v>43388</v>
      </c>
      <c r="Q199" s="400"/>
      <c r="R199" s="400"/>
      <c r="S199" s="400"/>
      <c r="T199" s="400"/>
      <c r="U199" s="400"/>
      <c r="V199" s="400"/>
      <c r="W199" s="400"/>
      <c r="X199" s="401">
        <v>4.2000000000000003E-2</v>
      </c>
      <c r="Y199" s="401">
        <v>4.1000000000000002E-2</v>
      </c>
      <c r="Z199" s="401">
        <v>4.3999999999999997E-2</v>
      </c>
      <c r="AA199" s="401">
        <v>4.2000000000000003E-2</v>
      </c>
      <c r="AB199" s="402"/>
    </row>
    <row r="200" spans="15:28" ht="9.9499999999999993" customHeight="1" x14ac:dyDescent="0.15">
      <c r="O200" s="398">
        <v>43389</v>
      </c>
      <c r="P200" s="399">
        <f t="shared" si="17"/>
        <v>43389</v>
      </c>
      <c r="Q200" s="400"/>
      <c r="R200" s="400"/>
      <c r="S200" s="400"/>
      <c r="T200" s="400"/>
      <c r="U200" s="400">
        <v>208</v>
      </c>
      <c r="V200" s="400"/>
      <c r="W200" s="400"/>
      <c r="X200" s="401">
        <v>4.8000000000000001E-2</v>
      </c>
      <c r="Y200" s="401">
        <v>4.3999999999999997E-2</v>
      </c>
      <c r="Z200" s="401">
        <v>4.2999999999999997E-2</v>
      </c>
      <c r="AA200" s="401">
        <v>4.2000000000000003E-2</v>
      </c>
      <c r="AB200" s="402"/>
    </row>
    <row r="201" spans="15:28" ht="9.9499999999999993" customHeight="1" x14ac:dyDescent="0.15">
      <c r="O201" s="398">
        <v>43390</v>
      </c>
      <c r="P201" s="399">
        <f t="shared" si="17"/>
        <v>43390</v>
      </c>
      <c r="Q201" s="400"/>
      <c r="R201" s="400"/>
      <c r="S201" s="400"/>
      <c r="T201" s="400"/>
      <c r="U201" s="400"/>
      <c r="V201" s="400"/>
      <c r="W201" s="400"/>
      <c r="X201" s="401">
        <v>5.3999999999999999E-2</v>
      </c>
      <c r="Y201" s="401">
        <v>4.2000000000000003E-2</v>
      </c>
      <c r="Z201" s="401">
        <v>4.2999999999999997E-2</v>
      </c>
      <c r="AA201" s="401">
        <v>3.5999999999999997E-2</v>
      </c>
      <c r="AB201" s="402"/>
    </row>
    <row r="202" spans="15:28" ht="9.9499999999999993" customHeight="1" x14ac:dyDescent="0.15">
      <c r="O202" s="398">
        <v>43391</v>
      </c>
      <c r="P202" s="399">
        <f t="shared" si="17"/>
        <v>43391</v>
      </c>
      <c r="Q202" s="400"/>
      <c r="R202" s="400"/>
      <c r="S202" s="400"/>
      <c r="T202" s="400"/>
      <c r="U202" s="400"/>
      <c r="V202" s="400"/>
      <c r="W202" s="400"/>
      <c r="X202" s="401">
        <v>4.2000000000000003E-2</v>
      </c>
      <c r="Y202" s="401">
        <v>5.1999999999999998E-2</v>
      </c>
      <c r="Z202" s="401">
        <v>4.3999999999999997E-2</v>
      </c>
      <c r="AA202" s="401">
        <v>4.2000000000000003E-2</v>
      </c>
      <c r="AB202" s="402"/>
    </row>
    <row r="203" spans="15:28" ht="9.9499999999999993" customHeight="1" x14ac:dyDescent="0.15">
      <c r="O203" s="398">
        <v>43392</v>
      </c>
      <c r="P203" s="399">
        <f t="shared" si="17"/>
        <v>43392</v>
      </c>
      <c r="Q203" s="400"/>
      <c r="R203" s="400"/>
      <c r="S203" s="400"/>
      <c r="T203" s="400"/>
      <c r="U203" s="400"/>
      <c r="V203" s="400"/>
      <c r="W203" s="400"/>
      <c r="X203" s="401">
        <v>5.3999999999999999E-2</v>
      </c>
      <c r="Y203" s="401">
        <v>4.2000000000000003E-2</v>
      </c>
      <c r="Z203" s="401">
        <v>3.7999999999999999E-2</v>
      </c>
      <c r="AA203" s="401">
        <v>5.3999999999999999E-2</v>
      </c>
      <c r="AB203" s="402"/>
    </row>
    <row r="204" spans="15:28" ht="9.9499999999999993" customHeight="1" x14ac:dyDescent="0.15">
      <c r="O204" s="398">
        <v>43393</v>
      </c>
      <c r="P204" s="399">
        <f t="shared" si="17"/>
        <v>43393</v>
      </c>
      <c r="Q204" s="400"/>
      <c r="R204" s="400"/>
      <c r="S204" s="400"/>
      <c r="T204" s="400"/>
      <c r="U204" s="400"/>
      <c r="V204" s="400">
        <v>49</v>
      </c>
      <c r="W204" s="400"/>
      <c r="X204" s="401"/>
      <c r="Y204" s="401"/>
      <c r="Z204" s="401"/>
      <c r="AA204" s="401"/>
      <c r="AB204" s="402"/>
    </row>
    <row r="205" spans="15:28" ht="9.9499999999999993" customHeight="1" x14ac:dyDescent="0.15">
      <c r="O205" s="398">
        <v>43395</v>
      </c>
      <c r="P205" s="399">
        <f t="shared" si="17"/>
        <v>43395</v>
      </c>
      <c r="Q205" s="400"/>
      <c r="R205" s="400"/>
      <c r="S205" s="400"/>
      <c r="T205" s="400"/>
      <c r="U205" s="400"/>
      <c r="V205" s="400"/>
      <c r="W205" s="400"/>
      <c r="X205" s="401">
        <v>3.5999999999999997E-2</v>
      </c>
      <c r="Y205" s="401">
        <v>4.4999999999999998E-2</v>
      </c>
      <c r="Z205" s="401">
        <v>4.1000000000000002E-2</v>
      </c>
      <c r="AA205" s="401">
        <v>4.8000000000000001E-2</v>
      </c>
      <c r="AB205" s="402"/>
    </row>
    <row r="206" spans="15:28" ht="9.9499999999999993" customHeight="1" x14ac:dyDescent="0.15">
      <c r="O206" s="398">
        <v>43396</v>
      </c>
      <c r="P206" s="399">
        <f t="shared" si="17"/>
        <v>43396</v>
      </c>
      <c r="Q206" s="400"/>
      <c r="R206" s="400"/>
      <c r="S206" s="400">
        <v>940</v>
      </c>
      <c r="T206" s="400">
        <v>1500</v>
      </c>
      <c r="U206" s="400"/>
      <c r="V206" s="400"/>
      <c r="W206" s="400"/>
      <c r="X206" s="401">
        <v>3.5999999999999997E-2</v>
      </c>
      <c r="Y206" s="401">
        <v>4.4999999999999998E-2</v>
      </c>
      <c r="Z206" s="401">
        <v>4.5999999999999999E-2</v>
      </c>
      <c r="AA206" s="401">
        <v>5.3999999999999999E-2</v>
      </c>
      <c r="AB206" s="402" t="s">
        <v>816</v>
      </c>
    </row>
    <row r="207" spans="15:28" ht="9.9499999999999993" customHeight="1" x14ac:dyDescent="0.15">
      <c r="O207" s="398">
        <v>43397</v>
      </c>
      <c r="P207" s="399">
        <f t="shared" si="17"/>
        <v>43397</v>
      </c>
      <c r="Q207" s="400"/>
      <c r="R207" s="400"/>
      <c r="S207" s="400">
        <v>970</v>
      </c>
      <c r="T207" s="400">
        <v>1500</v>
      </c>
      <c r="U207" s="400"/>
      <c r="V207" s="400"/>
      <c r="W207" s="400"/>
      <c r="X207" s="401">
        <v>4.8000000000000001E-2</v>
      </c>
      <c r="Y207" s="401">
        <v>4.4999999999999998E-2</v>
      </c>
      <c r="Z207" s="401">
        <v>3.5999999999999997E-2</v>
      </c>
      <c r="AA207" s="401">
        <v>0.06</v>
      </c>
      <c r="AB207" s="402" t="s">
        <v>816</v>
      </c>
    </row>
    <row r="208" spans="15:28" ht="9.9499999999999993" customHeight="1" x14ac:dyDescent="0.15">
      <c r="O208" s="398">
        <v>43398</v>
      </c>
      <c r="P208" s="399">
        <f t="shared" si="17"/>
        <v>43398</v>
      </c>
      <c r="Q208" s="400"/>
      <c r="R208" s="400"/>
      <c r="S208" s="400">
        <v>980</v>
      </c>
      <c r="T208" s="400">
        <v>1500</v>
      </c>
      <c r="U208" s="400"/>
      <c r="V208" s="400"/>
      <c r="W208" s="400"/>
      <c r="X208" s="401">
        <v>4.2000000000000003E-2</v>
      </c>
      <c r="Y208" s="401">
        <v>4.4999999999999998E-2</v>
      </c>
      <c r="Z208" s="401">
        <v>3.9E-2</v>
      </c>
      <c r="AA208" s="401">
        <v>4.8000000000000001E-2</v>
      </c>
      <c r="AB208" s="402" t="s">
        <v>816</v>
      </c>
    </row>
    <row r="209" spans="15:28" ht="9.9499999999999993" customHeight="1" x14ac:dyDescent="0.15">
      <c r="O209" s="398">
        <v>43399</v>
      </c>
      <c r="P209" s="399">
        <f t="shared" si="17"/>
        <v>43399</v>
      </c>
      <c r="Q209" s="400"/>
      <c r="R209" s="400"/>
      <c r="S209" s="400">
        <v>950</v>
      </c>
      <c r="T209" s="400">
        <v>1500</v>
      </c>
      <c r="U209" s="400">
        <v>419</v>
      </c>
      <c r="V209" s="400">
        <v>98</v>
      </c>
      <c r="W209" s="400">
        <v>0.9</v>
      </c>
      <c r="X209" s="401">
        <v>3.5999999999999997E-2</v>
      </c>
      <c r="Y209" s="401">
        <v>4.8000000000000001E-2</v>
      </c>
      <c r="Z209" s="401">
        <v>4.2000000000000003E-2</v>
      </c>
      <c r="AA209" s="401">
        <v>4.2000000000000003E-2</v>
      </c>
      <c r="AB209" s="402" t="s">
        <v>816</v>
      </c>
    </row>
    <row r="210" spans="15:28" ht="9.9499999999999993" customHeight="1" x14ac:dyDescent="0.15">
      <c r="O210" s="398">
        <v>43400</v>
      </c>
      <c r="P210" s="399">
        <f t="shared" si="17"/>
        <v>43400</v>
      </c>
      <c r="Q210" s="400"/>
      <c r="R210" s="400"/>
      <c r="S210" s="400">
        <v>930</v>
      </c>
      <c r="T210" s="400">
        <v>1500</v>
      </c>
      <c r="U210" s="400"/>
      <c r="V210" s="400"/>
      <c r="W210" s="400"/>
      <c r="X210" s="401">
        <v>4.8000000000000001E-2</v>
      </c>
      <c r="Y210" s="401">
        <v>5.2999999999999999E-2</v>
      </c>
      <c r="Z210" s="401"/>
      <c r="AA210" s="401">
        <v>0.06</v>
      </c>
      <c r="AB210" s="402" t="s">
        <v>816</v>
      </c>
    </row>
    <row r="211" spans="15:28" ht="9.9499999999999993" customHeight="1" x14ac:dyDescent="0.15">
      <c r="O211" s="398">
        <v>43402</v>
      </c>
      <c r="P211" s="399">
        <f t="shared" ref="P211:P258" si="35">O211</f>
        <v>43402</v>
      </c>
      <c r="Q211" s="400"/>
      <c r="R211" s="400"/>
      <c r="S211" s="400"/>
      <c r="T211" s="400"/>
      <c r="U211" s="400"/>
      <c r="V211" s="400"/>
      <c r="W211" s="400"/>
      <c r="X211" s="401">
        <v>4.8000000000000001E-2</v>
      </c>
      <c r="Y211" s="401">
        <v>4.2999999999999997E-2</v>
      </c>
      <c r="Z211" s="401">
        <v>4.3999999999999997E-2</v>
      </c>
      <c r="AA211" s="401">
        <v>4.2000000000000003E-2</v>
      </c>
      <c r="AB211" s="402"/>
    </row>
    <row r="212" spans="15:28" ht="9.9499999999999993" customHeight="1" x14ac:dyDescent="0.15">
      <c r="O212" s="398">
        <v>43403</v>
      </c>
      <c r="P212" s="399">
        <f t="shared" si="35"/>
        <v>43403</v>
      </c>
      <c r="Q212" s="400"/>
      <c r="R212" s="400"/>
      <c r="S212" s="400"/>
      <c r="T212" s="400"/>
      <c r="U212" s="400"/>
      <c r="V212" s="400"/>
      <c r="W212" s="400"/>
      <c r="X212" s="401">
        <v>4.2000000000000003E-2</v>
      </c>
      <c r="Y212" s="401">
        <v>4.2999999999999997E-2</v>
      </c>
      <c r="Z212" s="401">
        <v>3.9E-2</v>
      </c>
      <c r="AA212" s="401">
        <v>0.06</v>
      </c>
      <c r="AB212" s="402"/>
    </row>
    <row r="213" spans="15:28" ht="9.9499999999999993" customHeight="1" x14ac:dyDescent="0.15">
      <c r="O213" s="398">
        <v>43404</v>
      </c>
      <c r="P213" s="399">
        <f t="shared" si="35"/>
        <v>43404</v>
      </c>
      <c r="Q213" s="400"/>
      <c r="R213" s="400"/>
      <c r="S213" s="400"/>
      <c r="T213" s="400"/>
      <c r="U213" s="400"/>
      <c r="V213" s="400"/>
      <c r="W213" s="400"/>
      <c r="X213" s="401">
        <v>0.06</v>
      </c>
      <c r="Y213" s="401">
        <v>4.7E-2</v>
      </c>
      <c r="Z213" s="401">
        <v>4.5999999999999999E-2</v>
      </c>
      <c r="AA213" s="401">
        <v>5.3999999999999999E-2</v>
      </c>
      <c r="AB213" s="402"/>
    </row>
    <row r="214" spans="15:28" ht="9.9499999999999993" customHeight="1" x14ac:dyDescent="0.15">
      <c r="O214" s="398">
        <v>43405</v>
      </c>
      <c r="P214" s="399">
        <f t="shared" si="35"/>
        <v>43405</v>
      </c>
      <c r="Q214" s="400"/>
      <c r="R214" s="400"/>
      <c r="S214" s="400"/>
      <c r="T214" s="400"/>
      <c r="U214" s="400"/>
      <c r="V214" s="400"/>
      <c r="W214" s="400"/>
      <c r="X214" s="401">
        <v>4.8000000000000001E-2</v>
      </c>
      <c r="Y214" s="401">
        <v>4.2000000000000003E-2</v>
      </c>
      <c r="Z214" s="401">
        <v>4.2000000000000003E-2</v>
      </c>
      <c r="AA214" s="401">
        <v>3.5999999999999997E-2</v>
      </c>
      <c r="AB214" s="402"/>
    </row>
    <row r="215" spans="15:28" ht="9.9499999999999993" customHeight="1" x14ac:dyDescent="0.15">
      <c r="O215" s="398">
        <v>43406</v>
      </c>
      <c r="P215" s="399">
        <f t="shared" si="35"/>
        <v>43406</v>
      </c>
      <c r="Q215" s="400"/>
      <c r="R215" s="400"/>
      <c r="S215" s="400"/>
      <c r="T215" s="400"/>
      <c r="U215" s="400"/>
      <c r="V215" s="400"/>
      <c r="W215" s="400"/>
      <c r="X215" s="401">
        <v>3.5999999999999997E-2</v>
      </c>
      <c r="Y215" s="401">
        <v>4.2000000000000003E-2</v>
      </c>
      <c r="Z215" s="401">
        <v>4.5999999999999999E-2</v>
      </c>
      <c r="AA215" s="401">
        <v>5.3999999999999999E-2</v>
      </c>
      <c r="AB215" s="402"/>
    </row>
    <row r="216" spans="15:28" ht="9.9499999999999993" customHeight="1" x14ac:dyDescent="0.15">
      <c r="O216" s="398">
        <v>43409</v>
      </c>
      <c r="P216" s="399">
        <f t="shared" si="35"/>
        <v>43409</v>
      </c>
      <c r="Q216" s="400"/>
      <c r="R216" s="400"/>
      <c r="S216" s="400"/>
      <c r="T216" s="400"/>
      <c r="U216" s="400"/>
      <c r="V216" s="400"/>
      <c r="W216" s="400" t="s">
        <v>110</v>
      </c>
      <c r="X216" s="401">
        <v>3.5999999999999997E-2</v>
      </c>
      <c r="Y216" s="401">
        <v>0.04</v>
      </c>
      <c r="Z216" s="401">
        <v>4.2000000000000003E-2</v>
      </c>
      <c r="AA216" s="401">
        <v>4.8000000000000001E-2</v>
      </c>
      <c r="AB216" s="402"/>
    </row>
    <row r="217" spans="15:28" ht="9.9499999999999993" customHeight="1" x14ac:dyDescent="0.15">
      <c r="O217" s="398">
        <v>43410</v>
      </c>
      <c r="P217" s="399">
        <f t="shared" si="35"/>
        <v>43410</v>
      </c>
      <c r="Q217" s="400"/>
      <c r="R217" s="400"/>
      <c r="S217" s="400"/>
      <c r="T217" s="400"/>
      <c r="U217" s="400"/>
      <c r="V217" s="400"/>
      <c r="W217" s="400"/>
      <c r="X217" s="401">
        <v>4.8000000000000001E-2</v>
      </c>
      <c r="Y217" s="401">
        <v>4.2000000000000003E-2</v>
      </c>
      <c r="Z217" s="401">
        <v>3.7999999999999999E-2</v>
      </c>
      <c r="AA217" s="401">
        <v>4.8000000000000001E-2</v>
      </c>
      <c r="AB217" s="402"/>
    </row>
    <row r="218" spans="15:28" ht="9.9499999999999993" customHeight="1" x14ac:dyDescent="0.15">
      <c r="O218" s="398">
        <v>43411</v>
      </c>
      <c r="P218" s="399">
        <f t="shared" si="35"/>
        <v>43411</v>
      </c>
      <c r="Q218" s="400"/>
      <c r="R218" s="400"/>
      <c r="S218" s="400"/>
      <c r="T218" s="400"/>
      <c r="U218" s="400"/>
      <c r="V218" s="400"/>
      <c r="W218" s="400"/>
      <c r="X218" s="401">
        <v>4.2000000000000003E-2</v>
      </c>
      <c r="Y218" s="401">
        <v>3.6999999999999998E-2</v>
      </c>
      <c r="Z218" s="401">
        <v>4.2000000000000003E-2</v>
      </c>
      <c r="AA218" s="401">
        <v>0.06</v>
      </c>
      <c r="AB218" s="402"/>
    </row>
    <row r="219" spans="15:28" ht="9.9499999999999993" customHeight="1" x14ac:dyDescent="0.15">
      <c r="O219" s="398">
        <v>43412</v>
      </c>
      <c r="P219" s="399">
        <f t="shared" si="35"/>
        <v>43412</v>
      </c>
      <c r="Q219" s="400"/>
      <c r="R219" s="400"/>
      <c r="S219" s="400"/>
      <c r="T219" s="400"/>
      <c r="U219" s="400"/>
      <c r="V219" s="400"/>
      <c r="W219" s="400"/>
      <c r="X219" s="401">
        <v>4.8000000000000001E-2</v>
      </c>
      <c r="Y219" s="401">
        <v>4.9000000000000002E-2</v>
      </c>
      <c r="Z219" s="401">
        <v>4.1000000000000002E-2</v>
      </c>
      <c r="AA219" s="401">
        <v>3.5999999999999997E-2</v>
      </c>
      <c r="AB219" s="402"/>
    </row>
    <row r="220" spans="15:28" ht="9.9499999999999993" customHeight="1" x14ac:dyDescent="0.15">
      <c r="O220" s="398">
        <v>43413</v>
      </c>
      <c r="P220" s="399">
        <f t="shared" si="35"/>
        <v>43413</v>
      </c>
      <c r="Q220" s="400"/>
      <c r="R220" s="400"/>
      <c r="S220" s="400"/>
      <c r="T220" s="400"/>
      <c r="U220" s="400"/>
      <c r="V220" s="400"/>
      <c r="W220" s="400"/>
      <c r="X220" s="401">
        <v>4.8000000000000001E-2</v>
      </c>
      <c r="Y220" s="401">
        <v>4.7E-2</v>
      </c>
      <c r="Z220" s="401">
        <v>4.7E-2</v>
      </c>
      <c r="AA220" s="401">
        <v>5.3999999999999999E-2</v>
      </c>
      <c r="AB220" s="402"/>
    </row>
    <row r="221" spans="15:28" ht="9.9499999999999993" customHeight="1" x14ac:dyDescent="0.15">
      <c r="O221" s="398">
        <v>43416</v>
      </c>
      <c r="P221" s="399">
        <f t="shared" si="35"/>
        <v>43416</v>
      </c>
      <c r="Q221" s="400"/>
      <c r="R221" s="400"/>
      <c r="S221" s="400"/>
      <c r="T221" s="400"/>
      <c r="U221" s="400"/>
      <c r="V221" s="400"/>
      <c r="W221" s="400"/>
      <c r="X221" s="401">
        <v>4.2000000000000003E-2</v>
      </c>
      <c r="Y221" s="401">
        <v>4.2999999999999997E-2</v>
      </c>
      <c r="Z221" s="401">
        <v>3.9E-2</v>
      </c>
      <c r="AA221" s="401">
        <v>4.2000000000000003E-2</v>
      </c>
      <c r="AB221" s="402"/>
    </row>
    <row r="222" spans="15:28" ht="9.9499999999999993" customHeight="1" x14ac:dyDescent="0.15">
      <c r="O222" s="398">
        <v>43417</v>
      </c>
      <c r="P222" s="399">
        <f t="shared" si="35"/>
        <v>43417</v>
      </c>
      <c r="Q222" s="400"/>
      <c r="R222" s="400"/>
      <c r="S222" s="400"/>
      <c r="T222" s="400"/>
      <c r="U222" s="400"/>
      <c r="V222" s="400"/>
      <c r="W222" s="400"/>
      <c r="X222" s="401">
        <v>5.3999999999999999E-2</v>
      </c>
      <c r="Y222" s="401">
        <v>3.7999999999999999E-2</v>
      </c>
      <c r="Z222" s="401">
        <v>4.2999999999999997E-2</v>
      </c>
      <c r="AA222" s="401">
        <v>4.2000000000000003E-2</v>
      </c>
      <c r="AB222" s="402"/>
    </row>
    <row r="223" spans="15:28" ht="9.9499999999999993" customHeight="1" x14ac:dyDescent="0.15">
      <c r="O223" s="398">
        <v>43418</v>
      </c>
      <c r="P223" s="399">
        <f t="shared" si="35"/>
        <v>43418</v>
      </c>
      <c r="Q223" s="400"/>
      <c r="R223" s="400"/>
      <c r="S223" s="400"/>
      <c r="T223" s="400"/>
      <c r="U223" s="400"/>
      <c r="V223" s="400"/>
      <c r="W223" s="400"/>
      <c r="X223" s="401">
        <v>4.8000000000000001E-2</v>
      </c>
      <c r="Y223" s="401">
        <v>3.9E-2</v>
      </c>
      <c r="Z223" s="401">
        <v>4.2000000000000003E-2</v>
      </c>
      <c r="AA223" s="401">
        <v>4.8000000000000001E-2</v>
      </c>
      <c r="AB223" s="402"/>
    </row>
    <row r="224" spans="15:28" ht="9.9499999999999993" customHeight="1" x14ac:dyDescent="0.15">
      <c r="O224" s="398">
        <v>43419</v>
      </c>
      <c r="P224" s="399">
        <f t="shared" si="35"/>
        <v>43419</v>
      </c>
      <c r="Q224" s="400"/>
      <c r="R224" s="400"/>
      <c r="S224" s="400"/>
      <c r="T224" s="400"/>
      <c r="U224" s="400"/>
      <c r="V224" s="400"/>
      <c r="W224" s="400"/>
      <c r="X224" s="401">
        <v>4.2000000000000003E-2</v>
      </c>
      <c r="Y224" s="401">
        <v>3.6999999999999998E-2</v>
      </c>
      <c r="Z224" s="401">
        <v>3.9E-2</v>
      </c>
      <c r="AA224" s="401">
        <v>3.5999999999999997E-2</v>
      </c>
      <c r="AB224" s="402"/>
    </row>
    <row r="225" spans="15:28" ht="9.9499999999999993" customHeight="1" x14ac:dyDescent="0.15">
      <c r="O225" s="398">
        <v>43420</v>
      </c>
      <c r="P225" s="399">
        <f t="shared" si="35"/>
        <v>43420</v>
      </c>
      <c r="Q225" s="400"/>
      <c r="R225" s="400"/>
      <c r="S225" s="400"/>
      <c r="T225" s="400"/>
      <c r="U225" s="400"/>
      <c r="V225" s="400"/>
      <c r="W225" s="400"/>
      <c r="X225" s="401">
        <v>3.5999999999999997E-2</v>
      </c>
      <c r="Y225" s="401">
        <v>4.2999999999999997E-2</v>
      </c>
      <c r="Z225" s="401">
        <v>0.04</v>
      </c>
      <c r="AA225" s="401">
        <v>4.2000000000000003E-2</v>
      </c>
      <c r="AB225" s="402"/>
    </row>
    <row r="226" spans="15:28" ht="9.9499999999999993" customHeight="1" x14ac:dyDescent="0.15">
      <c r="O226" s="398">
        <v>43423</v>
      </c>
      <c r="P226" s="399">
        <f t="shared" si="35"/>
        <v>43423</v>
      </c>
      <c r="Q226" s="400"/>
      <c r="R226" s="400"/>
      <c r="S226" s="400"/>
      <c r="T226" s="400"/>
      <c r="U226" s="400"/>
      <c r="V226" s="400"/>
      <c r="W226" s="400"/>
      <c r="X226" s="401">
        <v>4.8000000000000001E-2</v>
      </c>
      <c r="Y226" s="401">
        <v>4.1000000000000002E-2</v>
      </c>
      <c r="Z226" s="401">
        <v>4.7E-2</v>
      </c>
      <c r="AA226" s="401">
        <v>4.2000000000000003E-2</v>
      </c>
      <c r="AB226" s="402"/>
    </row>
    <row r="227" spans="15:28" ht="9.9499999999999993" customHeight="1" x14ac:dyDescent="0.15">
      <c r="O227" s="398">
        <v>43424</v>
      </c>
      <c r="P227" s="399">
        <f t="shared" si="35"/>
        <v>43424</v>
      </c>
      <c r="Q227" s="400"/>
      <c r="R227" s="400"/>
      <c r="S227" s="400"/>
      <c r="T227" s="400"/>
      <c r="U227" s="400">
        <v>165</v>
      </c>
      <c r="V227" s="400">
        <v>58</v>
      </c>
      <c r="W227" s="400"/>
      <c r="X227" s="401">
        <v>4.2000000000000003E-2</v>
      </c>
      <c r="Y227" s="401">
        <v>4.3999999999999997E-2</v>
      </c>
      <c r="Z227" s="401">
        <v>0.05</v>
      </c>
      <c r="AA227" s="401">
        <v>4.8000000000000001E-2</v>
      </c>
      <c r="AB227" s="402"/>
    </row>
    <row r="228" spans="15:28" ht="9.9499999999999993" customHeight="1" x14ac:dyDescent="0.15">
      <c r="O228" s="398">
        <v>43425</v>
      </c>
      <c r="P228" s="399">
        <f t="shared" si="35"/>
        <v>43425</v>
      </c>
      <c r="Q228" s="400"/>
      <c r="R228" s="400"/>
      <c r="S228" s="400"/>
      <c r="T228" s="400"/>
      <c r="U228" s="400"/>
      <c r="V228" s="400"/>
      <c r="W228" s="400"/>
      <c r="X228" s="401">
        <v>3.5999999999999997E-2</v>
      </c>
      <c r="Y228" s="401">
        <v>3.4000000000000002E-2</v>
      </c>
      <c r="Z228" s="401">
        <v>4.9000000000000002E-2</v>
      </c>
      <c r="AA228" s="401">
        <v>4.2000000000000003E-2</v>
      </c>
      <c r="AB228" s="402"/>
    </row>
    <row r="229" spans="15:28" ht="9.9499999999999993" customHeight="1" x14ac:dyDescent="0.15">
      <c r="O229" s="398">
        <v>43426</v>
      </c>
      <c r="P229" s="399">
        <f t="shared" si="35"/>
        <v>43426</v>
      </c>
      <c r="Q229" s="400"/>
      <c r="R229" s="400"/>
      <c r="S229" s="400"/>
      <c r="T229" s="400"/>
      <c r="U229" s="400"/>
      <c r="V229" s="400"/>
      <c r="W229" s="400"/>
      <c r="X229" s="401">
        <v>4.2000000000000003E-2</v>
      </c>
      <c r="Y229" s="401">
        <v>4.4999999999999998E-2</v>
      </c>
      <c r="Z229" s="401">
        <v>4.5999999999999999E-2</v>
      </c>
      <c r="AA229" s="401">
        <v>0.03</v>
      </c>
      <c r="AB229" s="402"/>
    </row>
    <row r="230" spans="15:28" ht="9.9499999999999993" customHeight="1" x14ac:dyDescent="0.15">
      <c r="O230" s="398">
        <v>43427</v>
      </c>
      <c r="P230" s="399">
        <f t="shared" si="35"/>
        <v>43427</v>
      </c>
      <c r="Q230" s="400"/>
      <c r="R230" s="400"/>
      <c r="S230" s="400"/>
      <c r="T230" s="400"/>
      <c r="U230" s="400"/>
      <c r="V230" s="400"/>
      <c r="W230" s="400"/>
      <c r="X230" s="401">
        <v>6.6000000000000003E-2</v>
      </c>
      <c r="Y230" s="401">
        <v>4.9000000000000002E-2</v>
      </c>
      <c r="Z230" s="401">
        <v>4.7E-2</v>
      </c>
      <c r="AA230" s="401">
        <v>4.2000000000000003E-2</v>
      </c>
      <c r="AB230" s="402"/>
    </row>
    <row r="231" spans="15:28" ht="9.9499999999999993" customHeight="1" x14ac:dyDescent="0.15">
      <c r="O231" s="398">
        <v>43430</v>
      </c>
      <c r="P231" s="399">
        <f t="shared" si="35"/>
        <v>43430</v>
      </c>
      <c r="Q231" s="400"/>
      <c r="R231" s="400"/>
      <c r="S231" s="400"/>
      <c r="T231" s="400"/>
      <c r="U231" s="400"/>
      <c r="V231" s="400"/>
      <c r="W231" s="400"/>
      <c r="X231" s="401">
        <v>0.03</v>
      </c>
      <c r="Y231" s="401">
        <v>4.1000000000000002E-2</v>
      </c>
      <c r="Z231" s="401">
        <v>4.2999999999999997E-2</v>
      </c>
      <c r="AA231" s="401">
        <v>3.5999999999999997E-2</v>
      </c>
      <c r="AB231" s="402"/>
    </row>
    <row r="232" spans="15:28" ht="9.9499999999999993" customHeight="1" x14ac:dyDescent="0.15">
      <c r="O232" s="398">
        <v>43433</v>
      </c>
      <c r="P232" s="399">
        <f t="shared" si="35"/>
        <v>43433</v>
      </c>
      <c r="Q232" s="400"/>
      <c r="R232" s="400"/>
      <c r="S232" s="400"/>
      <c r="T232" s="400"/>
      <c r="U232" s="400"/>
      <c r="V232" s="400"/>
      <c r="W232" s="400"/>
      <c r="X232" s="401">
        <v>5.3999999999999999E-2</v>
      </c>
      <c r="Y232" s="401">
        <v>4.1000000000000002E-2</v>
      </c>
      <c r="Z232" s="401">
        <v>4.9000000000000002E-2</v>
      </c>
      <c r="AA232" s="401">
        <v>4.2000000000000003E-2</v>
      </c>
      <c r="AB232" s="402"/>
    </row>
    <row r="233" spans="15:28" ht="9.9499999999999993" customHeight="1" x14ac:dyDescent="0.15">
      <c r="O233" s="398">
        <v>43437</v>
      </c>
      <c r="P233" s="399">
        <f t="shared" si="35"/>
        <v>43437</v>
      </c>
      <c r="Q233" s="400"/>
      <c r="R233" s="400"/>
      <c r="S233" s="400"/>
      <c r="T233" s="400"/>
      <c r="U233" s="400"/>
      <c r="V233" s="400"/>
      <c r="W233" s="400"/>
      <c r="X233" s="401">
        <v>4.8000000000000001E-2</v>
      </c>
      <c r="Y233" s="401">
        <v>4.1000000000000002E-2</v>
      </c>
      <c r="Z233" s="401">
        <v>4.1000000000000002E-2</v>
      </c>
      <c r="AA233" s="401">
        <v>4.2000000000000003E-2</v>
      </c>
      <c r="AB233" s="402"/>
    </row>
    <row r="234" spans="15:28" ht="9.9499999999999993" customHeight="1" x14ac:dyDescent="0.15">
      <c r="O234" s="398">
        <v>43439</v>
      </c>
      <c r="P234" s="399">
        <f t="shared" si="35"/>
        <v>43439</v>
      </c>
      <c r="Q234" s="400"/>
      <c r="R234" s="400"/>
      <c r="S234" s="400"/>
      <c r="T234" s="400"/>
      <c r="U234" s="400"/>
      <c r="V234" s="400"/>
      <c r="W234" s="400" t="s">
        <v>110</v>
      </c>
      <c r="X234" s="401"/>
      <c r="Y234" s="401"/>
      <c r="Z234" s="401"/>
      <c r="AA234" s="401"/>
      <c r="AB234" s="402"/>
    </row>
    <row r="235" spans="15:28" ht="9.9499999999999993" customHeight="1" x14ac:dyDescent="0.15">
      <c r="O235" s="398">
        <v>43440</v>
      </c>
      <c r="P235" s="399">
        <f t="shared" si="35"/>
        <v>43440</v>
      </c>
      <c r="Q235" s="400"/>
      <c r="R235" s="400"/>
      <c r="S235" s="400"/>
      <c r="T235" s="400"/>
      <c r="U235" s="400"/>
      <c r="V235" s="400"/>
      <c r="W235" s="400"/>
      <c r="X235" s="401">
        <v>3.5999999999999997E-2</v>
      </c>
      <c r="Y235" s="401">
        <v>3.9E-2</v>
      </c>
      <c r="Z235" s="401">
        <v>5.2999999999999999E-2</v>
      </c>
      <c r="AA235" s="401">
        <v>4.8000000000000001E-2</v>
      </c>
      <c r="AB235" s="402"/>
    </row>
    <row r="236" spans="15:28" ht="9.9499999999999993" customHeight="1" x14ac:dyDescent="0.15">
      <c r="O236" s="398">
        <v>43444</v>
      </c>
      <c r="P236" s="399">
        <f t="shared" si="35"/>
        <v>43444</v>
      </c>
      <c r="Q236" s="400"/>
      <c r="R236" s="400"/>
      <c r="S236" s="400"/>
      <c r="T236" s="400"/>
      <c r="U236" s="400"/>
      <c r="V236" s="400"/>
      <c r="W236" s="400"/>
      <c r="X236" s="401">
        <v>0.03</v>
      </c>
      <c r="Y236" s="401">
        <v>3.6999999999999998E-2</v>
      </c>
      <c r="Z236" s="401">
        <v>3.7999999999999999E-2</v>
      </c>
      <c r="AA236" s="401">
        <v>4.8000000000000001E-2</v>
      </c>
      <c r="AB236" s="402"/>
    </row>
    <row r="237" spans="15:28" ht="9.9499999999999993" customHeight="1" x14ac:dyDescent="0.15">
      <c r="O237" s="398">
        <v>43447</v>
      </c>
      <c r="P237" s="399">
        <f t="shared" si="35"/>
        <v>43447</v>
      </c>
      <c r="Q237" s="400"/>
      <c r="R237" s="400"/>
      <c r="S237" s="400"/>
      <c r="T237" s="400"/>
      <c r="U237" s="400"/>
      <c r="V237" s="400"/>
      <c r="W237" s="400"/>
      <c r="X237" s="401">
        <v>4.2000000000000003E-2</v>
      </c>
      <c r="Y237" s="401">
        <v>3.5999999999999997E-2</v>
      </c>
      <c r="Z237" s="401">
        <v>0.04</v>
      </c>
      <c r="AA237" s="401">
        <v>4.8000000000000001E-2</v>
      </c>
      <c r="AB237" s="402"/>
    </row>
    <row r="238" spans="15:28" ht="9.9499999999999993" customHeight="1" x14ac:dyDescent="0.15">
      <c r="O238" s="398">
        <v>43451</v>
      </c>
      <c r="P238" s="399">
        <f t="shared" si="35"/>
        <v>43451</v>
      </c>
      <c r="Q238" s="400"/>
      <c r="R238" s="400"/>
      <c r="S238" s="400"/>
      <c r="T238" s="400"/>
      <c r="U238" s="400"/>
      <c r="V238" s="400"/>
      <c r="W238" s="400"/>
      <c r="X238" s="401">
        <v>4.8000000000000001E-2</v>
      </c>
      <c r="Y238" s="401">
        <v>4.1000000000000002E-2</v>
      </c>
      <c r="Z238" s="401">
        <v>4.2000000000000003E-2</v>
      </c>
      <c r="AA238" s="401">
        <v>3.5999999999999997E-2</v>
      </c>
      <c r="AB238" s="402"/>
    </row>
    <row r="239" spans="15:28" ht="9.9499999999999993" customHeight="1" x14ac:dyDescent="0.15">
      <c r="O239" s="398">
        <v>43454</v>
      </c>
      <c r="P239" s="399">
        <f t="shared" si="35"/>
        <v>43454</v>
      </c>
      <c r="Q239" s="400"/>
      <c r="R239" s="400"/>
      <c r="S239" s="400"/>
      <c r="T239" s="400"/>
      <c r="U239" s="400">
        <v>170</v>
      </c>
      <c r="V239" s="400">
        <v>45</v>
      </c>
      <c r="W239" s="400"/>
      <c r="X239" s="401">
        <v>4.2000000000000003E-2</v>
      </c>
      <c r="Y239" s="401">
        <v>4.2000000000000003E-2</v>
      </c>
      <c r="Z239" s="401">
        <v>4.1000000000000002E-2</v>
      </c>
      <c r="AA239" s="401">
        <v>4.8000000000000001E-2</v>
      </c>
      <c r="AB239" s="402"/>
    </row>
    <row r="240" spans="15:28" ht="9.9499999999999993" customHeight="1" x14ac:dyDescent="0.15">
      <c r="O240" s="398">
        <v>43458</v>
      </c>
      <c r="P240" s="399">
        <f t="shared" si="35"/>
        <v>43458</v>
      </c>
      <c r="Q240" s="400"/>
      <c r="R240" s="400"/>
      <c r="S240" s="400"/>
      <c r="T240" s="400"/>
      <c r="U240" s="400"/>
      <c r="V240" s="400"/>
      <c r="W240" s="400"/>
      <c r="X240" s="401">
        <v>4.8000000000000001E-2</v>
      </c>
      <c r="Y240" s="401">
        <v>4.3999999999999997E-2</v>
      </c>
      <c r="Z240" s="401"/>
      <c r="AA240" s="401">
        <v>4.8000000000000001E-2</v>
      </c>
      <c r="AB240" s="402"/>
    </row>
    <row r="241" spans="15:28" ht="9.9499999999999993" customHeight="1" x14ac:dyDescent="0.15">
      <c r="O241" s="398">
        <v>43461</v>
      </c>
      <c r="P241" s="399">
        <f t="shared" si="35"/>
        <v>43461</v>
      </c>
      <c r="Q241" s="400"/>
      <c r="R241" s="400"/>
      <c r="S241" s="400"/>
      <c r="T241" s="400"/>
      <c r="U241" s="400"/>
      <c r="V241" s="400"/>
      <c r="W241" s="400"/>
      <c r="X241" s="401">
        <v>4.8000000000000001E-2</v>
      </c>
      <c r="Y241" s="401">
        <v>0.04</v>
      </c>
      <c r="Z241" s="401">
        <v>3.9E-2</v>
      </c>
      <c r="AA241" s="401">
        <v>5.3999999999999999E-2</v>
      </c>
      <c r="AB241" s="402"/>
    </row>
    <row r="242" spans="15:28" ht="9.9499999999999993" customHeight="1" x14ac:dyDescent="0.15">
      <c r="O242" s="398">
        <v>43472</v>
      </c>
      <c r="P242" s="399">
        <f t="shared" si="35"/>
        <v>43472</v>
      </c>
      <c r="Q242" s="400"/>
      <c r="R242" s="400"/>
      <c r="S242" s="400"/>
      <c r="T242" s="400"/>
      <c r="U242" s="400"/>
      <c r="V242" s="400"/>
      <c r="W242" s="400" t="s">
        <v>110</v>
      </c>
      <c r="X242" s="401"/>
      <c r="Y242" s="401"/>
      <c r="Z242" s="401"/>
      <c r="AA242" s="401"/>
      <c r="AB242" s="402"/>
    </row>
    <row r="243" spans="15:28" ht="9.9499999999999993" customHeight="1" x14ac:dyDescent="0.15">
      <c r="O243" s="398">
        <v>43475</v>
      </c>
      <c r="P243" s="399">
        <f t="shared" si="35"/>
        <v>43475</v>
      </c>
      <c r="Q243" s="400"/>
      <c r="R243" s="400"/>
      <c r="S243" s="400"/>
      <c r="T243" s="400"/>
      <c r="U243" s="400"/>
      <c r="V243" s="400"/>
      <c r="W243" s="400"/>
      <c r="X243" s="401">
        <v>4.2000000000000003E-2</v>
      </c>
      <c r="Y243" s="401">
        <v>3.4000000000000002E-2</v>
      </c>
      <c r="Z243" s="401">
        <v>4.2999999999999997E-2</v>
      </c>
      <c r="AA243" s="401">
        <v>4.8000000000000001E-2</v>
      </c>
      <c r="AB243" s="402"/>
    </row>
    <row r="244" spans="15:28" ht="9.9499999999999993" customHeight="1" x14ac:dyDescent="0.15">
      <c r="O244" s="398">
        <v>43482</v>
      </c>
      <c r="P244" s="399">
        <f t="shared" si="35"/>
        <v>43482</v>
      </c>
      <c r="Q244" s="400"/>
      <c r="R244" s="400"/>
      <c r="S244" s="400"/>
      <c r="T244" s="400"/>
      <c r="U244" s="400">
        <v>130</v>
      </c>
      <c r="V244" s="400">
        <v>81</v>
      </c>
      <c r="W244" s="400"/>
      <c r="X244" s="401">
        <v>4.2000000000000003E-2</v>
      </c>
      <c r="Y244" s="401">
        <v>3.6999999999999998E-2</v>
      </c>
      <c r="Z244" s="401">
        <v>4.2000000000000003E-2</v>
      </c>
      <c r="AA244" s="401">
        <v>4.2000000000000003E-2</v>
      </c>
      <c r="AB244" s="402"/>
    </row>
    <row r="245" spans="15:28" ht="9.9499999999999993" customHeight="1" x14ac:dyDescent="0.15">
      <c r="O245" s="398">
        <v>43489</v>
      </c>
      <c r="P245" s="399">
        <f t="shared" si="35"/>
        <v>43489</v>
      </c>
      <c r="Q245" s="400"/>
      <c r="R245" s="400"/>
      <c r="S245" s="400"/>
      <c r="T245" s="400"/>
      <c r="U245" s="400"/>
      <c r="V245" s="400"/>
      <c r="W245" s="400"/>
      <c r="X245" s="401">
        <v>5.3999999999999999E-2</v>
      </c>
      <c r="Y245" s="401">
        <v>4.5999999999999999E-2</v>
      </c>
      <c r="Z245" s="401">
        <v>6.3E-2</v>
      </c>
      <c r="AA245" s="401">
        <v>7.8E-2</v>
      </c>
      <c r="AB245" s="402"/>
    </row>
    <row r="246" spans="15:28" ht="9.9499999999999993" customHeight="1" x14ac:dyDescent="0.15">
      <c r="O246" s="398">
        <v>43496</v>
      </c>
      <c r="P246" s="399">
        <f t="shared" si="35"/>
        <v>43496</v>
      </c>
      <c r="Q246" s="400"/>
      <c r="R246" s="400"/>
      <c r="S246" s="400"/>
      <c r="T246" s="400"/>
      <c r="U246" s="400"/>
      <c r="V246" s="400"/>
      <c r="W246" s="400"/>
      <c r="X246" s="401">
        <v>4.2000000000000003E-2</v>
      </c>
      <c r="Y246" s="401">
        <v>3.6999999999999998E-2</v>
      </c>
      <c r="Z246" s="401">
        <v>3.3000000000000002E-2</v>
      </c>
      <c r="AA246" s="401">
        <v>3.5999999999999997E-2</v>
      </c>
      <c r="AB246" s="402"/>
    </row>
    <row r="247" spans="15:28" ht="9.9499999999999993" customHeight="1" x14ac:dyDescent="0.15">
      <c r="O247" s="398">
        <v>43501</v>
      </c>
      <c r="P247" s="399">
        <f t="shared" si="35"/>
        <v>43501</v>
      </c>
      <c r="Q247" s="400"/>
      <c r="R247" s="400"/>
      <c r="S247" s="400"/>
      <c r="T247" s="400"/>
      <c r="U247" s="400"/>
      <c r="V247" s="400"/>
      <c r="W247" s="400" t="s">
        <v>110</v>
      </c>
      <c r="X247" s="401"/>
      <c r="Y247" s="401"/>
      <c r="Z247" s="401"/>
      <c r="AA247" s="401"/>
      <c r="AB247" s="402"/>
    </row>
    <row r="248" spans="15:28" ht="9.9499999999999993" customHeight="1" x14ac:dyDescent="0.15">
      <c r="O248" s="398">
        <v>43503</v>
      </c>
      <c r="P248" s="399">
        <f t="shared" si="35"/>
        <v>43503</v>
      </c>
      <c r="Q248" s="400"/>
      <c r="R248" s="400"/>
      <c r="S248" s="400"/>
      <c r="T248" s="400"/>
      <c r="U248" s="400"/>
      <c r="V248" s="400"/>
      <c r="W248" s="400"/>
      <c r="X248" s="401">
        <v>3.5999999999999997E-2</v>
      </c>
      <c r="Y248" s="401">
        <v>0.04</v>
      </c>
      <c r="Z248" s="401">
        <v>4.1000000000000002E-2</v>
      </c>
      <c r="AA248" s="401">
        <v>3.5999999999999997E-2</v>
      </c>
      <c r="AB248" s="402"/>
    </row>
    <row r="249" spans="15:28" ht="9.9499999999999993" customHeight="1" x14ac:dyDescent="0.15">
      <c r="O249" s="398">
        <v>43510</v>
      </c>
      <c r="P249" s="399">
        <f t="shared" si="35"/>
        <v>43510</v>
      </c>
      <c r="Q249" s="400"/>
      <c r="R249" s="400"/>
      <c r="S249" s="400"/>
      <c r="T249" s="400"/>
      <c r="U249" s="400"/>
      <c r="V249" s="400"/>
      <c r="W249" s="400"/>
      <c r="X249" s="401">
        <v>4.2000000000000003E-2</v>
      </c>
      <c r="Y249" s="401">
        <v>3.5000000000000003E-2</v>
      </c>
      <c r="Z249" s="401">
        <v>3.4000000000000002E-2</v>
      </c>
      <c r="AA249" s="401">
        <v>4.2000000000000003E-2</v>
      </c>
      <c r="AB249" s="402"/>
    </row>
    <row r="250" spans="15:28" ht="9.9499999999999993" customHeight="1" x14ac:dyDescent="0.15">
      <c r="O250" s="398">
        <v>43515</v>
      </c>
      <c r="P250" s="399">
        <f t="shared" si="35"/>
        <v>43515</v>
      </c>
      <c r="Q250" s="400"/>
      <c r="R250" s="400"/>
      <c r="S250" s="400"/>
      <c r="T250" s="400"/>
      <c r="U250" s="400">
        <v>66</v>
      </c>
      <c r="V250" s="400">
        <v>19</v>
      </c>
      <c r="W250" s="400"/>
      <c r="X250" s="401"/>
      <c r="Y250" s="401"/>
      <c r="Z250" s="401"/>
      <c r="AA250" s="401"/>
      <c r="AB250" s="402"/>
    </row>
    <row r="251" spans="15:28" ht="9.9499999999999993" customHeight="1" x14ac:dyDescent="0.15">
      <c r="O251" s="398">
        <v>43517</v>
      </c>
      <c r="P251" s="399">
        <f t="shared" si="35"/>
        <v>43517</v>
      </c>
      <c r="Q251" s="400"/>
      <c r="R251" s="400"/>
      <c r="S251" s="400"/>
      <c r="T251" s="400"/>
      <c r="U251" s="400"/>
      <c r="V251" s="400"/>
      <c r="W251" s="400"/>
      <c r="X251" s="401">
        <v>4.2000000000000003E-2</v>
      </c>
      <c r="Y251" s="401">
        <v>3.9E-2</v>
      </c>
      <c r="Z251" s="401">
        <v>4.2999999999999997E-2</v>
      </c>
      <c r="AA251" s="401">
        <v>0.03</v>
      </c>
      <c r="AB251" s="402"/>
    </row>
    <row r="252" spans="15:28" ht="9.9499999999999993" customHeight="1" x14ac:dyDescent="0.15">
      <c r="O252" s="398">
        <v>43524</v>
      </c>
      <c r="P252" s="399">
        <f t="shared" si="35"/>
        <v>43524</v>
      </c>
      <c r="Q252" s="400"/>
      <c r="R252" s="400"/>
      <c r="S252" s="400"/>
      <c r="T252" s="400"/>
      <c r="U252" s="400"/>
      <c r="V252" s="400"/>
      <c r="W252" s="400"/>
      <c r="X252" s="401">
        <v>4.2000000000000003E-2</v>
      </c>
      <c r="Y252" s="401">
        <v>4.1000000000000002E-2</v>
      </c>
      <c r="Z252" s="401">
        <v>4.4999999999999998E-2</v>
      </c>
      <c r="AA252" s="401">
        <v>3.5999999999999997E-2</v>
      </c>
      <c r="AB252" s="402"/>
    </row>
    <row r="253" spans="15:28" ht="9.9499999999999993" customHeight="1" x14ac:dyDescent="0.15">
      <c r="O253" s="398">
        <v>43529</v>
      </c>
      <c r="P253" s="399">
        <f t="shared" si="35"/>
        <v>43529</v>
      </c>
      <c r="Q253" s="400"/>
      <c r="R253" s="400"/>
      <c r="S253" s="400"/>
      <c r="T253" s="400"/>
      <c r="U253" s="400"/>
      <c r="V253" s="400"/>
      <c r="W253" s="400">
        <v>0.9</v>
      </c>
      <c r="X253" s="401"/>
      <c r="Y253" s="401"/>
      <c r="Z253" s="401"/>
      <c r="AA253" s="401"/>
      <c r="AB253" s="402"/>
    </row>
    <row r="254" spans="15:28" ht="9.9499999999999993" customHeight="1" x14ac:dyDescent="0.15">
      <c r="O254" s="398">
        <v>43531</v>
      </c>
      <c r="P254" s="399">
        <f t="shared" si="35"/>
        <v>43531</v>
      </c>
      <c r="Q254" s="400"/>
      <c r="R254" s="400"/>
      <c r="S254" s="400"/>
      <c r="T254" s="400"/>
      <c r="U254" s="400"/>
      <c r="V254" s="400"/>
      <c r="W254" s="400"/>
      <c r="X254" s="401">
        <v>0.06</v>
      </c>
      <c r="Y254" s="401">
        <v>4.4999999999999998E-2</v>
      </c>
      <c r="Z254" s="401">
        <v>3.5999999999999997E-2</v>
      </c>
      <c r="AA254" s="401">
        <v>6.6000000000000003E-2</v>
      </c>
      <c r="AB254" s="402"/>
    </row>
    <row r="255" spans="15:28" ht="9.9499999999999993" customHeight="1" x14ac:dyDescent="0.15">
      <c r="O255" s="398">
        <v>43538</v>
      </c>
      <c r="P255" s="399">
        <f t="shared" si="35"/>
        <v>43538</v>
      </c>
      <c r="Q255" s="400"/>
      <c r="R255" s="400"/>
      <c r="S255" s="400"/>
      <c r="T255" s="400"/>
      <c r="U255" s="400"/>
      <c r="V255" s="400"/>
      <c r="W255" s="400"/>
      <c r="X255" s="401">
        <v>5.3999999999999999E-2</v>
      </c>
      <c r="Y255" s="401">
        <v>0.04</v>
      </c>
      <c r="Z255" s="401">
        <v>4.4999999999999998E-2</v>
      </c>
      <c r="AA255" s="401">
        <v>4.8000000000000001E-2</v>
      </c>
      <c r="AB255" s="402"/>
    </row>
    <row r="256" spans="15:28" ht="9.9499999999999993" customHeight="1" x14ac:dyDescent="0.15">
      <c r="O256" s="398">
        <v>43543</v>
      </c>
      <c r="P256" s="399">
        <f t="shared" si="35"/>
        <v>43543</v>
      </c>
      <c r="Q256" s="400"/>
      <c r="R256" s="400"/>
      <c r="S256" s="400"/>
      <c r="T256" s="400"/>
      <c r="U256" s="400">
        <v>51</v>
      </c>
      <c r="V256" s="400" t="s">
        <v>110</v>
      </c>
      <c r="W256" s="400"/>
      <c r="X256" s="401"/>
      <c r="Y256" s="401"/>
      <c r="Z256" s="401"/>
      <c r="AA256" s="401"/>
      <c r="AB256" s="402"/>
    </row>
    <row r="257" spans="15:28" ht="9.9499999999999993" customHeight="1" x14ac:dyDescent="0.15">
      <c r="O257" s="398">
        <v>43546</v>
      </c>
      <c r="P257" s="399">
        <f t="shared" si="35"/>
        <v>43546</v>
      </c>
      <c r="Q257" s="400"/>
      <c r="R257" s="400"/>
      <c r="S257" s="400"/>
      <c r="T257" s="400"/>
      <c r="U257" s="400"/>
      <c r="V257" s="400"/>
      <c r="W257" s="400"/>
      <c r="X257" s="401">
        <v>4.8000000000000001E-2</v>
      </c>
      <c r="Y257" s="401">
        <v>4.2999999999999997E-2</v>
      </c>
      <c r="Z257" s="401">
        <v>0.04</v>
      </c>
      <c r="AA257" s="401">
        <v>4.2000000000000003E-2</v>
      </c>
      <c r="AB257" s="402"/>
    </row>
    <row r="258" spans="15:28" ht="9.9499999999999993" customHeight="1" x14ac:dyDescent="0.15">
      <c r="O258" s="398">
        <v>43552</v>
      </c>
      <c r="P258" s="399">
        <f t="shared" si="35"/>
        <v>43552</v>
      </c>
      <c r="Q258" s="400"/>
      <c r="R258" s="400"/>
      <c r="S258" s="400"/>
      <c r="T258" s="400"/>
      <c r="U258" s="400"/>
      <c r="V258" s="400"/>
      <c r="W258" s="400"/>
      <c r="X258" s="401">
        <v>4.8000000000000001E-2</v>
      </c>
      <c r="Y258" s="401">
        <v>4.2999999999999997E-2</v>
      </c>
      <c r="Z258" s="401">
        <v>3.2000000000000001E-2</v>
      </c>
      <c r="AA258" s="401">
        <v>5.3999999999999999E-2</v>
      </c>
      <c r="AB258" s="402"/>
    </row>
    <row r="259" spans="15:28" ht="9.9499999999999993" customHeight="1" x14ac:dyDescent="0.15">
      <c r="O259" s="398"/>
      <c r="P259" s="398"/>
      <c r="Q259" s="421"/>
      <c r="R259" s="421"/>
      <c r="S259" s="421"/>
      <c r="T259" s="421"/>
      <c r="U259" s="421"/>
      <c r="V259" s="421"/>
      <c r="W259" s="421"/>
      <c r="X259" s="401"/>
      <c r="Y259" s="401"/>
      <c r="Z259" s="401"/>
      <c r="AA259" s="401"/>
      <c r="AB259" s="402"/>
    </row>
    <row r="260" spans="15:28" ht="9.9499999999999993" customHeight="1" x14ac:dyDescent="0.15">
      <c r="O260" s="398"/>
      <c r="P260" s="398"/>
      <c r="Q260" s="421"/>
      <c r="R260" s="421"/>
      <c r="S260" s="421"/>
      <c r="T260" s="421"/>
      <c r="U260" s="421"/>
      <c r="V260" s="421"/>
      <c r="W260" s="421"/>
      <c r="X260" s="401"/>
      <c r="Y260" s="401"/>
      <c r="Z260" s="401"/>
      <c r="AA260" s="401"/>
      <c r="AB260" s="402"/>
    </row>
    <row r="261" spans="15:28" ht="9.9499999999999993" customHeight="1" x14ac:dyDescent="0.15">
      <c r="O261" s="427" t="s">
        <v>64</v>
      </c>
      <c r="P261" s="398"/>
      <c r="Q261" s="400">
        <f>SUM(Q82:Q258)/1000</f>
        <v>15.74</v>
      </c>
      <c r="R261" s="400"/>
      <c r="S261" s="400">
        <f>SUM(S82:S258)/1000</f>
        <v>9.4</v>
      </c>
      <c r="T261" s="400"/>
      <c r="U261" s="400"/>
      <c r="V261" s="400"/>
      <c r="W261" s="400"/>
      <c r="X261" s="401"/>
      <c r="Y261" s="401"/>
      <c r="Z261" s="401"/>
      <c r="AA261" s="401"/>
      <c r="AB261" s="428"/>
    </row>
    <row r="262" spans="15:28" ht="9.9499999999999993" customHeight="1" x14ac:dyDescent="0.15">
      <c r="O262" s="398"/>
      <c r="P262" s="398"/>
      <c r="Q262" s="429" t="s">
        <v>817</v>
      </c>
      <c r="R262" s="421"/>
      <c r="S262" s="429" t="s">
        <v>818</v>
      </c>
      <c r="T262" s="421"/>
      <c r="U262" s="421"/>
      <c r="V262" s="421"/>
      <c r="W262" s="421"/>
      <c r="X262" s="400"/>
      <c r="Y262" s="400"/>
      <c r="Z262" s="400"/>
      <c r="AA262" s="400"/>
      <c r="AB262" s="402"/>
    </row>
    <row r="263" spans="15:28" ht="9.9499999999999993" customHeight="1" x14ac:dyDescent="0.15">
      <c r="O263" s="398"/>
      <c r="P263" s="398"/>
      <c r="Q263" s="421"/>
      <c r="R263" s="421"/>
      <c r="S263" s="421"/>
      <c r="T263" s="421"/>
      <c r="U263" s="421"/>
      <c r="V263" s="421"/>
      <c r="W263" s="421"/>
      <c r="X263" s="400"/>
      <c r="Y263" s="400"/>
      <c r="Z263" s="400"/>
      <c r="AA263" s="400"/>
      <c r="AB263" s="402"/>
    </row>
    <row r="264" spans="15:28" ht="9.9499999999999993" customHeight="1" x14ac:dyDescent="0.15"/>
    <row r="265" spans="15:28" ht="9.9499999999999993" customHeight="1" x14ac:dyDescent="0.15">
      <c r="O265" s="398"/>
      <c r="P265" s="398"/>
      <c r="Q265" s="421"/>
      <c r="R265" s="421"/>
      <c r="S265" s="421"/>
      <c r="T265" s="421"/>
      <c r="U265" s="421"/>
      <c r="V265" s="421"/>
      <c r="W265" s="421"/>
      <c r="X265" s="400"/>
      <c r="Y265" s="400"/>
      <c r="Z265" s="400"/>
      <c r="AA265" s="400"/>
      <c r="AB265" s="402"/>
    </row>
    <row r="266" spans="15:28" ht="10.5" customHeight="1" x14ac:dyDescent="0.15"/>
    <row r="267" spans="15:28" ht="10.5" customHeight="1" x14ac:dyDescent="0.15"/>
    <row r="268" spans="15:28" ht="10.5" customHeight="1" x14ac:dyDescent="0.15"/>
    <row r="269" spans="15:28" ht="10.5" customHeight="1" x14ac:dyDescent="0.15"/>
    <row r="270" spans="15:28" ht="10.5" customHeight="1" x14ac:dyDescent="0.15"/>
    <row r="271" spans="15:28" ht="10.5" customHeight="1" x14ac:dyDescent="0.15"/>
    <row r="272" spans="15:28" ht="10.5" customHeight="1" x14ac:dyDescent="0.15"/>
    <row r="273" ht="10.5" customHeight="1" x14ac:dyDescent="0.15"/>
    <row r="274" ht="10.5" customHeight="1" x14ac:dyDescent="0.15"/>
    <row r="275" ht="10.5" customHeight="1" x14ac:dyDescent="0.15"/>
    <row r="276" ht="10.5" customHeight="1" x14ac:dyDescent="0.15"/>
    <row r="277" ht="10.5" customHeight="1" x14ac:dyDescent="0.15"/>
    <row r="278" ht="10.5" customHeight="1" x14ac:dyDescent="0.15"/>
    <row r="279" ht="10.5" customHeight="1" x14ac:dyDescent="0.15"/>
    <row r="280" ht="10.5" customHeight="1" x14ac:dyDescent="0.15"/>
    <row r="281" ht="10.5" customHeight="1" x14ac:dyDescent="0.15"/>
    <row r="282" ht="10.5" customHeight="1" x14ac:dyDescent="0.15"/>
    <row r="283" ht="10.5" customHeight="1" x14ac:dyDescent="0.15"/>
  </sheetData>
  <mergeCells count="28">
    <mergeCell ref="BH151:BH156"/>
    <mergeCell ref="BI151:BI156"/>
    <mergeCell ref="BC151:BC156"/>
    <mergeCell ref="BD151:BD156"/>
    <mergeCell ref="BE151:BE156"/>
    <mergeCell ref="BF151:BF156"/>
    <mergeCell ref="BG151:BG156"/>
    <mergeCell ref="AX151:AX156"/>
    <mergeCell ref="AY151:AY156"/>
    <mergeCell ref="AZ151:AZ156"/>
    <mergeCell ref="BA151:BA156"/>
    <mergeCell ref="BB151:BB156"/>
    <mergeCell ref="BG124:BG127"/>
    <mergeCell ref="BH124:BH127"/>
    <mergeCell ref="BI124:BI127"/>
    <mergeCell ref="BJ124:BJ127"/>
    <mergeCell ref="AL151:AL156"/>
    <mergeCell ref="AM151:AM156"/>
    <mergeCell ref="AN151:AN156"/>
    <mergeCell ref="AO151:AO156"/>
    <mergeCell ref="AP151:AP156"/>
    <mergeCell ref="AQ151:AQ156"/>
    <mergeCell ref="AR151:AR156"/>
    <mergeCell ref="AS151:AS156"/>
    <mergeCell ref="AT151:AT156"/>
    <mergeCell ref="AU151:AU156"/>
    <mergeCell ref="AV151:AV156"/>
    <mergeCell ref="AW151:AW156"/>
  </mergeCells>
  <phoneticPr fontId="8"/>
  <hyperlinks>
    <hyperlink ref="AM80" r:id="rId1"/>
    <hyperlink ref="AM2" r:id="rId2"/>
  </hyperlinks>
  <pageMargins left="0.7" right="0.7" top="0.75" bottom="0.75" header="0.3" footer="0.3"/>
  <pageSetup paperSize="9" orientation="portrait" horizontalDpi="0" verticalDpi="0" r:id="rId3"/>
  <drawing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O105"/>
  <sheetViews>
    <sheetView zoomScale="80" zoomScaleNormal="80" workbookViewId="0">
      <selection activeCell="X27" sqref="X27"/>
    </sheetView>
  </sheetViews>
  <sheetFormatPr defaultRowHeight="12" customHeight="1" x14ac:dyDescent="0.15"/>
  <cols>
    <col min="1" max="1" width="2.375" style="247" customWidth="1"/>
    <col min="2" max="2" width="11" style="247" customWidth="1"/>
    <col min="3" max="3" width="6.625" style="247" customWidth="1"/>
    <col min="4" max="4" width="10.375" style="247" customWidth="1"/>
    <col min="5" max="11" width="6.625" style="247" customWidth="1"/>
    <col min="12" max="12" width="3.875" style="370" customWidth="1"/>
    <col min="13" max="18" width="6.625" style="247" customWidth="1"/>
    <col min="19" max="32" width="6" style="247" customWidth="1"/>
    <col min="33" max="16384" width="9" style="247"/>
  </cols>
  <sheetData>
    <row r="2" spans="2:15" ht="12" customHeight="1" x14ac:dyDescent="0.15">
      <c r="B2" s="368" t="s">
        <v>239</v>
      </c>
      <c r="C2" s="368" t="s">
        <v>225</v>
      </c>
      <c r="D2" s="368" t="s">
        <v>240</v>
      </c>
      <c r="E2" s="368" t="s">
        <v>264</v>
      </c>
      <c r="F2" s="368"/>
      <c r="G2" s="369">
        <v>43241</v>
      </c>
      <c r="H2" s="369">
        <v>43242</v>
      </c>
      <c r="I2" s="369">
        <v>43243</v>
      </c>
      <c r="J2" s="369">
        <v>43244</v>
      </c>
      <c r="K2" s="369">
        <v>43245</v>
      </c>
      <c r="L2" s="32"/>
      <c r="M2" s="370" t="s">
        <v>671</v>
      </c>
    </row>
    <row r="3" spans="2:15" ht="12" customHeight="1" x14ac:dyDescent="0.15">
      <c r="E3" s="371">
        <f>SUM(G3:K3)</f>
        <v>4690</v>
      </c>
      <c r="F3" s="372" t="s">
        <v>672</v>
      </c>
      <c r="G3" s="373">
        <v>890</v>
      </c>
      <c r="H3" s="374">
        <v>990</v>
      </c>
      <c r="I3" s="374">
        <v>930</v>
      </c>
      <c r="J3" s="374">
        <v>980</v>
      </c>
      <c r="K3" s="374">
        <v>900</v>
      </c>
      <c r="L3" s="375"/>
    </row>
    <row r="4" spans="2:15" ht="12" customHeight="1" x14ac:dyDescent="0.15">
      <c r="M4" s="247" t="s">
        <v>673</v>
      </c>
      <c r="O4" s="247" t="s">
        <v>271</v>
      </c>
    </row>
    <row r="5" spans="2:15" ht="12" customHeight="1" x14ac:dyDescent="0.15">
      <c r="B5" s="247" t="s">
        <v>674</v>
      </c>
      <c r="D5" s="376" t="s">
        <v>307</v>
      </c>
      <c r="E5" s="377" t="s">
        <v>322</v>
      </c>
      <c r="F5" s="369">
        <v>43241</v>
      </c>
      <c r="G5" s="369">
        <v>43264</v>
      </c>
      <c r="M5" s="247" t="s">
        <v>305</v>
      </c>
      <c r="O5" s="247" t="s">
        <v>401</v>
      </c>
    </row>
    <row r="6" spans="2:15" ht="12" customHeight="1" x14ac:dyDescent="0.15">
      <c r="D6" s="376" t="s">
        <v>675</v>
      </c>
      <c r="E6" s="247">
        <v>110</v>
      </c>
      <c r="F6" s="106">
        <v>373</v>
      </c>
      <c r="G6" s="106">
        <v>95</v>
      </c>
    </row>
    <row r="7" spans="2:15" ht="12" customHeight="1" x14ac:dyDescent="0.15">
      <c r="D7" s="376" t="s">
        <v>315</v>
      </c>
      <c r="E7" s="247">
        <v>32</v>
      </c>
      <c r="F7" s="106">
        <v>110</v>
      </c>
      <c r="G7" s="106">
        <v>34</v>
      </c>
      <c r="M7" s="378" t="s">
        <v>309</v>
      </c>
    </row>
    <row r="8" spans="2:15" ht="12" customHeight="1" x14ac:dyDescent="0.15">
      <c r="B8" s="247" t="s">
        <v>320</v>
      </c>
      <c r="D8" s="376" t="s">
        <v>307</v>
      </c>
      <c r="E8" s="377" t="s">
        <v>322</v>
      </c>
      <c r="F8" s="369">
        <v>43276</v>
      </c>
      <c r="G8" s="369">
        <v>43269</v>
      </c>
      <c r="M8" s="247" t="s">
        <v>676</v>
      </c>
    </row>
    <row r="9" spans="2:15" ht="12" customHeight="1" x14ac:dyDescent="0.15">
      <c r="D9" s="376" t="s">
        <v>283</v>
      </c>
      <c r="E9" s="106" t="s">
        <v>110</v>
      </c>
      <c r="F9" s="106" t="s">
        <v>110</v>
      </c>
      <c r="G9" s="106" t="s">
        <v>110</v>
      </c>
      <c r="M9" s="247" t="s">
        <v>321</v>
      </c>
    </row>
    <row r="10" spans="2:15" ht="12" customHeight="1" x14ac:dyDescent="0.15">
      <c r="D10" s="376" t="s">
        <v>287</v>
      </c>
      <c r="E10" s="106" t="s">
        <v>110</v>
      </c>
      <c r="F10" s="106" t="s">
        <v>110</v>
      </c>
      <c r="G10" s="106" t="s">
        <v>110</v>
      </c>
    </row>
    <row r="11" spans="2:15" ht="12" customHeight="1" x14ac:dyDescent="0.15">
      <c r="B11" s="247" t="s">
        <v>677</v>
      </c>
      <c r="D11" s="376" t="s">
        <v>678</v>
      </c>
      <c r="E11" s="369">
        <v>43222</v>
      </c>
      <c r="F11" s="369">
        <v>43245</v>
      </c>
      <c r="G11" s="369">
        <v>43256</v>
      </c>
      <c r="H11" s="369" t="s">
        <v>679</v>
      </c>
      <c r="M11" s="247" t="s">
        <v>680</v>
      </c>
    </row>
    <row r="12" spans="2:15" ht="12" customHeight="1" x14ac:dyDescent="0.15">
      <c r="D12" s="376" t="s">
        <v>347</v>
      </c>
      <c r="E12" s="106" t="s">
        <v>110</v>
      </c>
      <c r="F12" s="106" t="s">
        <v>110</v>
      </c>
      <c r="G12" s="106" t="s">
        <v>110</v>
      </c>
      <c r="H12" s="30" t="s">
        <v>110</v>
      </c>
      <c r="M12" s="247" t="s">
        <v>681</v>
      </c>
    </row>
    <row r="13" spans="2:15" ht="12" customHeight="1" x14ac:dyDescent="0.15">
      <c r="D13" s="376" t="s">
        <v>376</v>
      </c>
      <c r="E13" s="106" t="s">
        <v>110</v>
      </c>
      <c r="F13" s="106" t="s">
        <v>110</v>
      </c>
      <c r="G13" s="106" t="s">
        <v>110</v>
      </c>
      <c r="H13" s="30" t="s">
        <v>110</v>
      </c>
    </row>
    <row r="14" spans="2:15" ht="12" customHeight="1" x14ac:dyDescent="0.15">
      <c r="D14" s="376" t="s">
        <v>353</v>
      </c>
      <c r="E14" s="106" t="s">
        <v>110</v>
      </c>
      <c r="F14" s="106">
        <v>0.7</v>
      </c>
      <c r="G14" s="106">
        <v>0.9</v>
      </c>
      <c r="H14" s="106" t="s">
        <v>682</v>
      </c>
    </row>
    <row r="15" spans="2:15" ht="12" customHeight="1" x14ac:dyDescent="0.15">
      <c r="D15" s="376" t="s">
        <v>357</v>
      </c>
      <c r="E15" s="106" t="s">
        <v>110</v>
      </c>
      <c r="F15" s="106" t="s">
        <v>110</v>
      </c>
      <c r="G15" s="106" t="s">
        <v>110</v>
      </c>
      <c r="H15" s="30" t="s">
        <v>110</v>
      </c>
    </row>
    <row r="17" spans="2:15" ht="12" customHeight="1" x14ac:dyDescent="0.15">
      <c r="B17" s="368" t="s">
        <v>388</v>
      </c>
      <c r="C17" s="368" t="s">
        <v>223</v>
      </c>
      <c r="D17" s="368" t="s">
        <v>240</v>
      </c>
      <c r="E17" s="368" t="s">
        <v>389</v>
      </c>
      <c r="F17" s="368"/>
      <c r="G17" s="369">
        <v>43269</v>
      </c>
      <c r="H17" s="369">
        <v>43270</v>
      </c>
      <c r="I17" s="369">
        <v>43271</v>
      </c>
      <c r="J17" s="369">
        <v>43272</v>
      </c>
      <c r="K17" s="369">
        <v>43273</v>
      </c>
      <c r="L17" s="32"/>
      <c r="M17" s="247" t="s">
        <v>683</v>
      </c>
    </row>
    <row r="18" spans="2:15" ht="12" customHeight="1" x14ac:dyDescent="0.15">
      <c r="E18" s="371">
        <f>SUM(G18:K18)</f>
        <v>4750</v>
      </c>
      <c r="F18" s="372" t="s">
        <v>684</v>
      </c>
      <c r="G18" s="374">
        <v>990</v>
      </c>
      <c r="H18" s="374">
        <v>980</v>
      </c>
      <c r="I18" s="374">
        <v>970</v>
      </c>
      <c r="J18" s="374">
        <v>940</v>
      </c>
      <c r="K18" s="374">
        <v>870</v>
      </c>
      <c r="L18" s="375"/>
    </row>
    <row r="19" spans="2:15" ht="12" customHeight="1" x14ac:dyDescent="0.15">
      <c r="M19" s="247" t="s">
        <v>673</v>
      </c>
      <c r="O19" s="247" t="s">
        <v>271</v>
      </c>
    </row>
    <row r="20" spans="2:15" ht="12" customHeight="1" x14ac:dyDescent="0.15">
      <c r="B20" s="247" t="s">
        <v>685</v>
      </c>
      <c r="D20" s="376" t="s">
        <v>307</v>
      </c>
      <c r="E20" s="377" t="s">
        <v>322</v>
      </c>
      <c r="F20" s="369">
        <v>43269</v>
      </c>
      <c r="G20" s="369">
        <v>43298</v>
      </c>
      <c r="M20" s="247" t="s">
        <v>305</v>
      </c>
      <c r="O20" s="247" t="s">
        <v>401</v>
      </c>
    </row>
    <row r="21" spans="2:15" ht="12" customHeight="1" x14ac:dyDescent="0.15">
      <c r="D21" s="376" t="s">
        <v>422</v>
      </c>
      <c r="E21" s="247">
        <v>110</v>
      </c>
      <c r="F21" s="247">
        <v>160</v>
      </c>
      <c r="G21" s="247">
        <v>110</v>
      </c>
    </row>
    <row r="22" spans="2:15" ht="12" customHeight="1" x14ac:dyDescent="0.15">
      <c r="D22" s="376" t="s">
        <v>686</v>
      </c>
      <c r="E22" s="247">
        <v>32</v>
      </c>
      <c r="F22" s="247">
        <v>54</v>
      </c>
      <c r="G22" s="247">
        <v>47</v>
      </c>
      <c r="M22" s="378" t="s">
        <v>309</v>
      </c>
    </row>
    <row r="23" spans="2:15" ht="12" customHeight="1" x14ac:dyDescent="0.15">
      <c r="B23" s="247" t="s">
        <v>424</v>
      </c>
      <c r="D23" s="376" t="s">
        <v>307</v>
      </c>
      <c r="E23" s="377" t="s">
        <v>322</v>
      </c>
      <c r="F23" s="369">
        <v>43269</v>
      </c>
      <c r="G23" s="369">
        <v>43273</v>
      </c>
      <c r="H23" s="369">
        <v>43298</v>
      </c>
      <c r="M23" s="247" t="s">
        <v>687</v>
      </c>
    </row>
    <row r="24" spans="2:15" ht="12" customHeight="1" x14ac:dyDescent="0.15">
      <c r="D24" s="376" t="s">
        <v>283</v>
      </c>
      <c r="E24" s="106" t="s">
        <v>110</v>
      </c>
      <c r="F24" s="106" t="s">
        <v>110</v>
      </c>
      <c r="G24" s="106" t="s">
        <v>110</v>
      </c>
      <c r="H24" s="106" t="s">
        <v>110</v>
      </c>
      <c r="M24" s="247" t="s">
        <v>321</v>
      </c>
    </row>
    <row r="25" spans="2:15" ht="12" customHeight="1" x14ac:dyDescent="0.15">
      <c r="D25" s="376" t="s">
        <v>287</v>
      </c>
      <c r="E25" s="106" t="s">
        <v>110</v>
      </c>
      <c r="F25" s="106" t="s">
        <v>110</v>
      </c>
      <c r="G25" s="106" t="s">
        <v>110</v>
      </c>
      <c r="H25" s="106" t="s">
        <v>110</v>
      </c>
    </row>
    <row r="26" spans="2:15" ht="12" customHeight="1" x14ac:dyDescent="0.15">
      <c r="B26" s="247" t="s">
        <v>688</v>
      </c>
      <c r="D26" s="376" t="s">
        <v>689</v>
      </c>
      <c r="E26" s="369">
        <v>43222</v>
      </c>
      <c r="F26" s="369">
        <v>43273</v>
      </c>
      <c r="G26" s="369">
        <v>43286</v>
      </c>
      <c r="H26" s="369" t="s">
        <v>679</v>
      </c>
      <c r="M26" s="247" t="s">
        <v>690</v>
      </c>
    </row>
    <row r="27" spans="2:15" ht="12" customHeight="1" x14ac:dyDescent="0.15">
      <c r="D27" s="376" t="s">
        <v>447</v>
      </c>
      <c r="E27" s="106" t="s">
        <v>110</v>
      </c>
      <c r="F27" s="106" t="s">
        <v>110</v>
      </c>
      <c r="G27" s="106" t="s">
        <v>110</v>
      </c>
      <c r="H27" s="30" t="s">
        <v>110</v>
      </c>
      <c r="M27" s="247" t="s">
        <v>681</v>
      </c>
    </row>
    <row r="28" spans="2:15" ht="12" customHeight="1" x14ac:dyDescent="0.15">
      <c r="D28" s="376" t="s">
        <v>448</v>
      </c>
      <c r="E28" s="106" t="s">
        <v>110</v>
      </c>
      <c r="F28" s="106" t="s">
        <v>110</v>
      </c>
      <c r="G28" s="106" t="s">
        <v>110</v>
      </c>
      <c r="H28" s="30" t="s">
        <v>110</v>
      </c>
    </row>
    <row r="29" spans="2:15" ht="12" customHeight="1" x14ac:dyDescent="0.15">
      <c r="D29" s="376" t="s">
        <v>353</v>
      </c>
      <c r="E29" s="106" t="s">
        <v>110</v>
      </c>
      <c r="F29" s="106" t="s">
        <v>110</v>
      </c>
      <c r="G29" s="106">
        <v>0.7</v>
      </c>
      <c r="H29" s="106" t="s">
        <v>691</v>
      </c>
    </row>
    <row r="30" spans="2:15" ht="12" customHeight="1" x14ac:dyDescent="0.15">
      <c r="D30" s="376" t="s">
        <v>357</v>
      </c>
      <c r="E30" s="106" t="s">
        <v>110</v>
      </c>
      <c r="F30" s="106" t="s">
        <v>110</v>
      </c>
      <c r="G30" s="106" t="s">
        <v>110</v>
      </c>
      <c r="H30" s="30" t="s">
        <v>110</v>
      </c>
    </row>
    <row r="32" spans="2:15" ht="12" customHeight="1" x14ac:dyDescent="0.15">
      <c r="B32" s="368" t="s">
        <v>457</v>
      </c>
      <c r="C32" s="368" t="s">
        <v>220</v>
      </c>
      <c r="D32" s="368" t="s">
        <v>458</v>
      </c>
      <c r="E32" s="368" t="s">
        <v>460</v>
      </c>
      <c r="F32" s="368"/>
      <c r="G32" s="369">
        <v>43304</v>
      </c>
      <c r="H32" s="369">
        <v>43305</v>
      </c>
      <c r="I32" s="369">
        <v>43306</v>
      </c>
      <c r="J32" s="369">
        <v>43307</v>
      </c>
      <c r="K32" s="369">
        <v>43308</v>
      </c>
      <c r="L32" s="32"/>
      <c r="M32" s="247" t="s">
        <v>692</v>
      </c>
    </row>
    <row r="33" spans="2:13" ht="12" customHeight="1" x14ac:dyDescent="0.15">
      <c r="E33" s="371">
        <f>SUM(G33:K33)</f>
        <v>4630</v>
      </c>
      <c r="F33" s="372" t="s">
        <v>684</v>
      </c>
      <c r="G33" s="374">
        <v>950</v>
      </c>
      <c r="H33" s="374">
        <v>940</v>
      </c>
      <c r="I33" s="374">
        <v>920</v>
      </c>
      <c r="J33" s="374">
        <v>950</v>
      </c>
      <c r="K33" s="374">
        <v>870</v>
      </c>
      <c r="L33" s="375"/>
    </row>
    <row r="35" spans="2:13" ht="12" customHeight="1" x14ac:dyDescent="0.15">
      <c r="B35" s="247" t="s">
        <v>693</v>
      </c>
      <c r="D35" s="376" t="s">
        <v>307</v>
      </c>
      <c r="E35" s="377" t="s">
        <v>322</v>
      </c>
      <c r="F35" s="369">
        <v>43309</v>
      </c>
      <c r="G35" s="369">
        <v>43328</v>
      </c>
      <c r="H35" s="379"/>
      <c r="M35" s="247" t="s">
        <v>694</v>
      </c>
    </row>
    <row r="36" spans="2:13" ht="12" customHeight="1" x14ac:dyDescent="0.15">
      <c r="D36" s="376" t="s">
        <v>695</v>
      </c>
      <c r="E36" s="247">
        <v>110</v>
      </c>
      <c r="F36" s="247">
        <v>349</v>
      </c>
      <c r="G36" s="247">
        <v>160</v>
      </c>
    </row>
    <row r="37" spans="2:13" ht="12" customHeight="1" x14ac:dyDescent="0.15">
      <c r="D37" s="376" t="s">
        <v>686</v>
      </c>
      <c r="E37" s="247">
        <v>32</v>
      </c>
      <c r="F37" s="247">
        <v>74</v>
      </c>
      <c r="G37" s="247">
        <v>59</v>
      </c>
    </row>
    <row r="38" spans="2:13" ht="12" customHeight="1" x14ac:dyDescent="0.15">
      <c r="B38" s="247" t="s">
        <v>320</v>
      </c>
      <c r="D38" s="376" t="s">
        <v>307</v>
      </c>
      <c r="E38" s="377" t="s">
        <v>322</v>
      </c>
      <c r="F38" s="369">
        <v>43328</v>
      </c>
      <c r="G38" s="369">
        <v>43328</v>
      </c>
      <c r="M38" s="247" t="s">
        <v>696</v>
      </c>
    </row>
    <row r="39" spans="2:13" ht="12" customHeight="1" x14ac:dyDescent="0.15">
      <c r="D39" s="376" t="s">
        <v>283</v>
      </c>
      <c r="E39" s="106" t="s">
        <v>110</v>
      </c>
      <c r="F39" s="106" t="s">
        <v>110</v>
      </c>
      <c r="G39" s="106" t="s">
        <v>110</v>
      </c>
    </row>
    <row r="40" spans="2:13" ht="12" customHeight="1" x14ac:dyDescent="0.15">
      <c r="D40" s="376" t="s">
        <v>287</v>
      </c>
      <c r="E40" s="106" t="s">
        <v>110</v>
      </c>
      <c r="F40" s="106" t="s">
        <v>110</v>
      </c>
      <c r="G40" s="106" t="s">
        <v>110</v>
      </c>
    </row>
    <row r="41" spans="2:13" ht="12" customHeight="1" x14ac:dyDescent="0.15">
      <c r="B41" s="247" t="s">
        <v>697</v>
      </c>
      <c r="D41" s="376" t="s">
        <v>689</v>
      </c>
      <c r="E41" s="369">
        <v>43222</v>
      </c>
      <c r="F41" s="369">
        <v>43308</v>
      </c>
      <c r="G41" s="369">
        <v>43315</v>
      </c>
      <c r="H41" s="369" t="s">
        <v>679</v>
      </c>
      <c r="I41" s="30"/>
    </row>
    <row r="42" spans="2:13" ht="12" customHeight="1" x14ac:dyDescent="0.15">
      <c r="D42" s="376" t="s">
        <v>347</v>
      </c>
      <c r="E42" s="106" t="s">
        <v>110</v>
      </c>
      <c r="F42" s="106" t="s">
        <v>110</v>
      </c>
      <c r="G42" s="106" t="s">
        <v>110</v>
      </c>
      <c r="H42" s="30" t="s">
        <v>110</v>
      </c>
      <c r="I42" s="30"/>
      <c r="M42" s="247" t="s">
        <v>681</v>
      </c>
    </row>
    <row r="43" spans="2:13" ht="12" customHeight="1" x14ac:dyDescent="0.15">
      <c r="D43" s="376" t="s">
        <v>376</v>
      </c>
      <c r="E43" s="106" t="s">
        <v>110</v>
      </c>
      <c r="F43" s="106" t="s">
        <v>110</v>
      </c>
      <c r="G43" s="106" t="s">
        <v>110</v>
      </c>
      <c r="H43" s="30" t="s">
        <v>110</v>
      </c>
      <c r="I43" s="30"/>
    </row>
    <row r="44" spans="2:13" ht="12" customHeight="1" x14ac:dyDescent="0.15">
      <c r="D44" s="376" t="s">
        <v>353</v>
      </c>
      <c r="E44" s="106" t="s">
        <v>110</v>
      </c>
      <c r="F44" s="106">
        <v>0.9</v>
      </c>
      <c r="G44" s="106" t="s">
        <v>110</v>
      </c>
      <c r="H44" s="106" t="s">
        <v>691</v>
      </c>
      <c r="I44" s="30"/>
    </row>
    <row r="45" spans="2:13" ht="12" customHeight="1" x14ac:dyDescent="0.15">
      <c r="D45" s="376" t="s">
        <v>357</v>
      </c>
      <c r="E45" s="106" t="s">
        <v>110</v>
      </c>
      <c r="F45" s="106" t="s">
        <v>110</v>
      </c>
      <c r="G45" s="106" t="s">
        <v>110</v>
      </c>
      <c r="H45" s="30" t="s">
        <v>110</v>
      </c>
      <c r="I45" s="30"/>
    </row>
    <row r="47" spans="2:13" ht="12" customHeight="1" x14ac:dyDescent="0.15">
      <c r="B47" s="368" t="s">
        <v>503</v>
      </c>
      <c r="C47" s="368" t="s">
        <v>225</v>
      </c>
      <c r="D47" s="368" t="s">
        <v>240</v>
      </c>
      <c r="E47" s="368" t="s">
        <v>698</v>
      </c>
      <c r="F47" s="368"/>
      <c r="G47" s="369">
        <v>43332</v>
      </c>
      <c r="H47" s="369">
        <v>43333</v>
      </c>
      <c r="I47" s="369">
        <v>43334</v>
      </c>
      <c r="J47" s="369">
        <v>43335</v>
      </c>
      <c r="K47" s="369">
        <v>43336</v>
      </c>
      <c r="L47" s="32"/>
      <c r="M47" s="370" t="s">
        <v>699</v>
      </c>
    </row>
    <row r="48" spans="2:13" ht="12" customHeight="1" x14ac:dyDescent="0.15">
      <c r="E48" s="371">
        <f>SUM(G48:K48)</f>
        <v>2430</v>
      </c>
      <c r="F48" s="372" t="s">
        <v>684</v>
      </c>
      <c r="G48" s="374">
        <v>740</v>
      </c>
      <c r="H48" s="374">
        <v>870</v>
      </c>
      <c r="I48" s="374">
        <v>820</v>
      </c>
      <c r="J48" s="374"/>
      <c r="K48" s="374"/>
      <c r="L48" s="375"/>
    </row>
    <row r="50" spans="2:13" ht="12" customHeight="1" x14ac:dyDescent="0.15">
      <c r="B50" s="247" t="s">
        <v>693</v>
      </c>
      <c r="D50" s="376" t="s">
        <v>307</v>
      </c>
      <c r="E50" s="377" t="s">
        <v>322</v>
      </c>
      <c r="F50" s="369">
        <v>43336</v>
      </c>
      <c r="G50" s="369">
        <v>43356</v>
      </c>
      <c r="H50" s="379"/>
      <c r="M50" s="247" t="s">
        <v>700</v>
      </c>
    </row>
    <row r="51" spans="2:13" ht="12" customHeight="1" x14ac:dyDescent="0.15">
      <c r="D51" s="376" t="s">
        <v>695</v>
      </c>
      <c r="E51" s="247">
        <v>110</v>
      </c>
      <c r="F51" s="247">
        <v>210</v>
      </c>
      <c r="G51" s="247">
        <v>176</v>
      </c>
    </row>
    <row r="52" spans="2:13" ht="12" customHeight="1" x14ac:dyDescent="0.15">
      <c r="D52" s="376" t="s">
        <v>686</v>
      </c>
      <c r="E52" s="247">
        <v>32</v>
      </c>
      <c r="F52" s="247">
        <v>56</v>
      </c>
      <c r="G52" s="247">
        <v>33</v>
      </c>
    </row>
    <row r="53" spans="2:13" ht="12" customHeight="1" x14ac:dyDescent="0.15">
      <c r="B53" s="247" t="s">
        <v>701</v>
      </c>
      <c r="D53" s="376" t="s">
        <v>307</v>
      </c>
      <c r="E53" s="377" t="s">
        <v>322</v>
      </c>
      <c r="F53" s="369">
        <v>43700</v>
      </c>
      <c r="G53" s="369">
        <v>43722</v>
      </c>
      <c r="M53" s="247" t="s">
        <v>702</v>
      </c>
    </row>
    <row r="54" spans="2:13" ht="12" customHeight="1" x14ac:dyDescent="0.15">
      <c r="D54" s="376" t="s">
        <v>283</v>
      </c>
      <c r="E54" s="106" t="s">
        <v>110</v>
      </c>
      <c r="F54" s="106" t="s">
        <v>110</v>
      </c>
      <c r="G54" s="106" t="s">
        <v>110</v>
      </c>
    </row>
    <row r="55" spans="2:13" ht="12" customHeight="1" x14ac:dyDescent="0.15">
      <c r="D55" s="376" t="s">
        <v>287</v>
      </c>
      <c r="E55" s="106" t="s">
        <v>110</v>
      </c>
      <c r="F55" s="106" t="s">
        <v>110</v>
      </c>
      <c r="G55" s="106" t="s">
        <v>110</v>
      </c>
    </row>
    <row r="56" spans="2:13" ht="12" customHeight="1" x14ac:dyDescent="0.15">
      <c r="B56" s="247" t="s">
        <v>697</v>
      </c>
      <c r="D56" s="376" t="s">
        <v>689</v>
      </c>
      <c r="E56" s="369">
        <v>43222</v>
      </c>
      <c r="F56" s="369">
        <v>43336</v>
      </c>
      <c r="G56" s="369">
        <v>43348</v>
      </c>
      <c r="H56" s="369" t="s">
        <v>679</v>
      </c>
      <c r="I56" s="369"/>
    </row>
    <row r="57" spans="2:13" ht="12" customHeight="1" x14ac:dyDescent="0.15">
      <c r="D57" s="376" t="s">
        <v>347</v>
      </c>
      <c r="E57" s="106" t="s">
        <v>110</v>
      </c>
      <c r="F57" s="106" t="s">
        <v>110</v>
      </c>
      <c r="G57" s="106" t="s">
        <v>110</v>
      </c>
      <c r="H57" s="30" t="s">
        <v>110</v>
      </c>
      <c r="I57" s="30"/>
      <c r="M57" s="247" t="s">
        <v>681</v>
      </c>
    </row>
    <row r="58" spans="2:13" ht="12" customHeight="1" x14ac:dyDescent="0.15">
      <c r="D58" s="376" t="s">
        <v>376</v>
      </c>
      <c r="E58" s="106" t="s">
        <v>110</v>
      </c>
      <c r="F58" s="106" t="s">
        <v>110</v>
      </c>
      <c r="G58" s="106" t="s">
        <v>110</v>
      </c>
      <c r="H58" s="30" t="s">
        <v>110</v>
      </c>
      <c r="I58" s="30"/>
    </row>
    <row r="59" spans="2:13" ht="12" customHeight="1" x14ac:dyDescent="0.15">
      <c r="D59" s="376" t="s">
        <v>353</v>
      </c>
      <c r="E59" s="106" t="s">
        <v>110</v>
      </c>
      <c r="F59" s="380">
        <v>0.9</v>
      </c>
      <c r="G59" s="380">
        <v>1</v>
      </c>
      <c r="H59" s="106" t="s">
        <v>691</v>
      </c>
      <c r="I59" s="30"/>
    </row>
    <row r="60" spans="2:13" ht="12" customHeight="1" x14ac:dyDescent="0.15">
      <c r="D60" s="376" t="s">
        <v>357</v>
      </c>
      <c r="E60" s="106" t="s">
        <v>110</v>
      </c>
      <c r="F60" s="106" t="s">
        <v>110</v>
      </c>
      <c r="G60" s="106" t="s">
        <v>110</v>
      </c>
      <c r="H60" s="30" t="s">
        <v>110</v>
      </c>
      <c r="I60" s="30"/>
    </row>
    <row r="62" spans="2:13" ht="12" customHeight="1" x14ac:dyDescent="0.15">
      <c r="B62" s="368" t="s">
        <v>537</v>
      </c>
      <c r="C62" s="368" t="s">
        <v>223</v>
      </c>
      <c r="D62" s="368" t="s">
        <v>240</v>
      </c>
      <c r="E62" s="368" t="s">
        <v>703</v>
      </c>
      <c r="F62" s="368"/>
      <c r="G62" s="369">
        <v>43360</v>
      </c>
      <c r="H62" s="369">
        <v>43361</v>
      </c>
      <c r="I62" s="369">
        <v>43362</v>
      </c>
      <c r="J62" s="369">
        <v>43363</v>
      </c>
      <c r="K62" s="369">
        <v>43364</v>
      </c>
      <c r="L62" s="32"/>
      <c r="M62" s="247" t="s">
        <v>704</v>
      </c>
    </row>
    <row r="63" spans="2:13" ht="12" customHeight="1" x14ac:dyDescent="0.15">
      <c r="E63" s="371">
        <f>SUM(G63:K63)</f>
        <v>3870</v>
      </c>
      <c r="F63" s="372" t="s">
        <v>672</v>
      </c>
      <c r="G63" s="374">
        <v>550</v>
      </c>
      <c r="H63" s="374">
        <v>840</v>
      </c>
      <c r="I63" s="374">
        <v>760</v>
      </c>
      <c r="J63" s="374">
        <v>860</v>
      </c>
      <c r="K63" s="374">
        <v>860</v>
      </c>
      <c r="L63" s="375"/>
    </row>
    <row r="65" spans="2:13" ht="12" customHeight="1" x14ac:dyDescent="0.15">
      <c r="B65" s="247" t="s">
        <v>674</v>
      </c>
      <c r="D65" s="376" t="s">
        <v>307</v>
      </c>
      <c r="E65" s="377" t="s">
        <v>322</v>
      </c>
      <c r="F65" s="369">
        <v>43365</v>
      </c>
      <c r="G65" s="369">
        <v>43389</v>
      </c>
      <c r="H65" s="369">
        <v>43393</v>
      </c>
      <c r="M65" s="247" t="s">
        <v>705</v>
      </c>
    </row>
    <row r="66" spans="2:13" ht="12" customHeight="1" x14ac:dyDescent="0.15">
      <c r="D66" s="376" t="s">
        <v>706</v>
      </c>
      <c r="E66" s="247">
        <v>110</v>
      </c>
      <c r="F66" s="247">
        <v>253</v>
      </c>
      <c r="G66" s="247">
        <v>208</v>
      </c>
    </row>
    <row r="67" spans="2:13" ht="12" customHeight="1" x14ac:dyDescent="0.15">
      <c r="D67" s="376" t="s">
        <v>707</v>
      </c>
      <c r="E67" s="247">
        <v>32</v>
      </c>
      <c r="F67" s="247">
        <v>56</v>
      </c>
      <c r="H67" s="247">
        <v>49</v>
      </c>
    </row>
    <row r="68" spans="2:13" ht="12" customHeight="1" x14ac:dyDescent="0.15">
      <c r="B68" s="247" t="s">
        <v>708</v>
      </c>
      <c r="D68" s="376" t="s">
        <v>307</v>
      </c>
      <c r="E68" s="377" t="s">
        <v>322</v>
      </c>
      <c r="F68" s="369">
        <v>43364</v>
      </c>
      <c r="G68" s="369">
        <v>43393</v>
      </c>
      <c r="H68" s="369">
        <v>43389</v>
      </c>
      <c r="J68" s="370"/>
    </row>
    <row r="69" spans="2:13" ht="12" customHeight="1" x14ac:dyDescent="0.15">
      <c r="D69" s="376" t="s">
        <v>283</v>
      </c>
      <c r="E69" s="106" t="s">
        <v>110</v>
      </c>
      <c r="F69" s="106" t="s">
        <v>110</v>
      </c>
      <c r="G69" s="106" t="s">
        <v>110</v>
      </c>
      <c r="J69" s="370"/>
      <c r="M69" s="247" t="s">
        <v>709</v>
      </c>
    </row>
    <row r="70" spans="2:13" ht="12" customHeight="1" x14ac:dyDescent="0.15">
      <c r="D70" s="376" t="s">
        <v>287</v>
      </c>
      <c r="E70" s="106" t="s">
        <v>110</v>
      </c>
      <c r="F70" s="106" t="s">
        <v>110</v>
      </c>
      <c r="H70" s="106" t="s">
        <v>110</v>
      </c>
      <c r="J70" s="370"/>
      <c r="M70" s="247" t="s">
        <v>710</v>
      </c>
    </row>
    <row r="71" spans="2:13" ht="12" customHeight="1" x14ac:dyDescent="0.15">
      <c r="B71" s="247" t="s">
        <v>711</v>
      </c>
      <c r="D71" s="376" t="s">
        <v>712</v>
      </c>
      <c r="E71" s="369" t="s">
        <v>713</v>
      </c>
      <c r="F71" s="369">
        <v>43364</v>
      </c>
      <c r="G71" s="369">
        <v>43378</v>
      </c>
      <c r="H71" s="369" t="s">
        <v>679</v>
      </c>
      <c r="I71" s="30"/>
    </row>
    <row r="72" spans="2:13" ht="12" customHeight="1" x14ac:dyDescent="0.15">
      <c r="D72" s="376" t="s">
        <v>447</v>
      </c>
      <c r="E72" s="106" t="s">
        <v>110</v>
      </c>
      <c r="F72" s="106" t="s">
        <v>110</v>
      </c>
      <c r="G72" s="106" t="s">
        <v>110</v>
      </c>
      <c r="H72" s="30" t="s">
        <v>110</v>
      </c>
      <c r="I72" s="30"/>
      <c r="M72" s="247" t="s">
        <v>681</v>
      </c>
    </row>
    <row r="73" spans="2:13" ht="12" customHeight="1" x14ac:dyDescent="0.15">
      <c r="D73" s="376" t="s">
        <v>448</v>
      </c>
      <c r="E73" s="106" t="s">
        <v>110</v>
      </c>
      <c r="F73" s="106" t="s">
        <v>110</v>
      </c>
      <c r="G73" s="106" t="s">
        <v>110</v>
      </c>
      <c r="H73" s="30" t="s">
        <v>110</v>
      </c>
      <c r="I73" s="30"/>
    </row>
    <row r="74" spans="2:13" ht="12" customHeight="1" x14ac:dyDescent="0.15">
      <c r="D74" s="376" t="s">
        <v>353</v>
      </c>
      <c r="E74" s="106" t="s">
        <v>110</v>
      </c>
      <c r="F74" s="380">
        <v>0.8</v>
      </c>
      <c r="G74" s="380">
        <v>1</v>
      </c>
      <c r="H74" s="106" t="s">
        <v>682</v>
      </c>
      <c r="I74" s="30"/>
    </row>
    <row r="75" spans="2:13" ht="12" customHeight="1" x14ac:dyDescent="0.15">
      <c r="D75" s="376" t="s">
        <v>357</v>
      </c>
      <c r="E75" s="106" t="s">
        <v>110</v>
      </c>
      <c r="F75" s="106" t="s">
        <v>110</v>
      </c>
      <c r="G75" s="106" t="s">
        <v>110</v>
      </c>
      <c r="H75" s="30" t="s">
        <v>110</v>
      </c>
      <c r="I75" s="30"/>
    </row>
    <row r="77" spans="2:13" ht="12" customHeight="1" x14ac:dyDescent="0.15">
      <c r="B77" s="368" t="s">
        <v>714</v>
      </c>
      <c r="C77" s="368" t="s">
        <v>569</v>
      </c>
      <c r="D77" s="368" t="s">
        <v>570</v>
      </c>
      <c r="E77" s="368" t="s">
        <v>715</v>
      </c>
      <c r="F77" s="368"/>
      <c r="G77" s="369">
        <v>43395</v>
      </c>
      <c r="H77" s="369">
        <v>43396</v>
      </c>
      <c r="I77" s="369">
        <v>43397</v>
      </c>
      <c r="J77" s="369">
        <v>43398</v>
      </c>
      <c r="K77" s="369">
        <v>43399</v>
      </c>
      <c r="L77" s="32"/>
      <c r="M77" s="247" t="s">
        <v>716</v>
      </c>
    </row>
    <row r="78" spans="2:13" ht="12" customHeight="1" x14ac:dyDescent="0.15">
      <c r="E78" s="371">
        <f>SUM(G78:K78)</f>
        <v>4770</v>
      </c>
      <c r="F78" s="372" t="s">
        <v>672</v>
      </c>
      <c r="G78" s="374">
        <v>940</v>
      </c>
      <c r="H78" s="374">
        <v>970</v>
      </c>
      <c r="I78" s="374">
        <v>980</v>
      </c>
      <c r="J78" s="374">
        <v>950</v>
      </c>
      <c r="K78" s="374">
        <v>930</v>
      </c>
      <c r="L78" s="375"/>
    </row>
    <row r="80" spans="2:13" ht="12" customHeight="1" x14ac:dyDescent="0.15">
      <c r="B80" s="247" t="s">
        <v>674</v>
      </c>
      <c r="D80" s="376" t="s">
        <v>583</v>
      </c>
      <c r="E80" s="377" t="s">
        <v>322</v>
      </c>
      <c r="F80" s="369">
        <v>43399</v>
      </c>
      <c r="G80" s="369">
        <v>43424</v>
      </c>
      <c r="M80" s="247" t="s">
        <v>705</v>
      </c>
    </row>
    <row r="81" spans="2:13" ht="12" customHeight="1" x14ac:dyDescent="0.15">
      <c r="D81" s="376" t="s">
        <v>706</v>
      </c>
      <c r="E81" s="247">
        <v>110</v>
      </c>
      <c r="F81" s="247">
        <v>419</v>
      </c>
      <c r="G81" s="247">
        <v>165</v>
      </c>
    </row>
    <row r="82" spans="2:13" ht="12" customHeight="1" x14ac:dyDescent="0.15">
      <c r="D82" s="376" t="s">
        <v>707</v>
      </c>
      <c r="E82" s="247">
        <v>32</v>
      </c>
      <c r="F82" s="247">
        <v>98</v>
      </c>
      <c r="G82" s="247">
        <v>58</v>
      </c>
    </row>
    <row r="83" spans="2:13" ht="12" customHeight="1" x14ac:dyDescent="0.15">
      <c r="B83" s="247" t="s">
        <v>708</v>
      </c>
      <c r="D83" s="376" t="s">
        <v>307</v>
      </c>
      <c r="E83" s="377" t="s">
        <v>322</v>
      </c>
      <c r="F83" s="369">
        <v>43399</v>
      </c>
      <c r="G83" s="369">
        <v>43424</v>
      </c>
      <c r="M83" s="247" t="s">
        <v>717</v>
      </c>
    </row>
    <row r="84" spans="2:13" ht="12" customHeight="1" x14ac:dyDescent="0.15">
      <c r="D84" s="376" t="s">
        <v>283</v>
      </c>
      <c r="E84" s="106" t="s">
        <v>110</v>
      </c>
      <c r="F84" s="106" t="s">
        <v>110</v>
      </c>
      <c r="G84" s="106" t="s">
        <v>110</v>
      </c>
    </row>
    <row r="85" spans="2:13" ht="12" customHeight="1" x14ac:dyDescent="0.15">
      <c r="D85" s="376" t="s">
        <v>287</v>
      </c>
      <c r="E85" s="106" t="s">
        <v>110</v>
      </c>
      <c r="F85" s="106" t="s">
        <v>110</v>
      </c>
      <c r="G85" s="106" t="s">
        <v>110</v>
      </c>
    </row>
    <row r="86" spans="2:13" ht="12" customHeight="1" x14ac:dyDescent="0.15">
      <c r="B86" s="247" t="s">
        <v>711</v>
      </c>
      <c r="D86" s="376" t="s">
        <v>712</v>
      </c>
      <c r="E86" s="369">
        <v>43222</v>
      </c>
      <c r="F86" s="369">
        <v>43399</v>
      </c>
      <c r="G86" s="369">
        <v>43409</v>
      </c>
      <c r="H86" s="369" t="s">
        <v>679</v>
      </c>
    </row>
    <row r="87" spans="2:13" ht="12" customHeight="1" x14ac:dyDescent="0.15">
      <c r="D87" s="376" t="s">
        <v>447</v>
      </c>
      <c r="E87" s="106" t="s">
        <v>110</v>
      </c>
      <c r="F87" s="106" t="s">
        <v>110</v>
      </c>
      <c r="G87" s="106" t="s">
        <v>110</v>
      </c>
      <c r="H87" s="30" t="s">
        <v>110</v>
      </c>
      <c r="M87" s="247" t="s">
        <v>681</v>
      </c>
    </row>
    <row r="88" spans="2:13" ht="12" customHeight="1" x14ac:dyDescent="0.15">
      <c r="D88" s="376" t="s">
        <v>448</v>
      </c>
      <c r="E88" s="106" t="s">
        <v>110</v>
      </c>
      <c r="F88" s="106" t="s">
        <v>110</v>
      </c>
      <c r="G88" s="106" t="s">
        <v>110</v>
      </c>
      <c r="H88" s="30" t="s">
        <v>110</v>
      </c>
    </row>
    <row r="89" spans="2:13" ht="12" customHeight="1" x14ac:dyDescent="0.15">
      <c r="D89" s="376" t="s">
        <v>353</v>
      </c>
      <c r="E89" s="106" t="s">
        <v>110</v>
      </c>
      <c r="F89" s="380">
        <v>0.9</v>
      </c>
      <c r="G89" s="106" t="s">
        <v>110</v>
      </c>
      <c r="H89" s="106" t="s">
        <v>682</v>
      </c>
    </row>
    <row r="90" spans="2:13" ht="12" customHeight="1" x14ac:dyDescent="0.15">
      <c r="D90" s="376" t="s">
        <v>357</v>
      </c>
      <c r="E90" s="106" t="s">
        <v>110</v>
      </c>
      <c r="F90" s="106" t="s">
        <v>110</v>
      </c>
      <c r="G90" s="106" t="s">
        <v>110</v>
      </c>
      <c r="H90" s="30" t="s">
        <v>110</v>
      </c>
    </row>
    <row r="91" spans="2:13" ht="12" customHeight="1" x14ac:dyDescent="0.15">
      <c r="E91" s="381"/>
      <c r="F91" s="381"/>
      <c r="G91" s="106"/>
      <c r="H91" s="106"/>
    </row>
    <row r="92" spans="2:13" ht="12" customHeight="1" x14ac:dyDescent="0.15">
      <c r="B92" s="368" t="s">
        <v>718</v>
      </c>
      <c r="C92" s="368"/>
      <c r="D92" s="368"/>
      <c r="E92" s="368"/>
      <c r="F92" s="368"/>
      <c r="G92" s="369"/>
      <c r="H92" s="369"/>
      <c r="I92" s="369"/>
      <c r="J92" s="369"/>
      <c r="K92" s="369"/>
      <c r="L92" s="32"/>
    </row>
    <row r="93" spans="2:13" ht="12" customHeight="1" x14ac:dyDescent="0.15">
      <c r="G93" s="374"/>
      <c r="H93" s="374"/>
      <c r="I93" s="374"/>
      <c r="J93" s="374"/>
      <c r="K93" s="374"/>
      <c r="L93" s="375"/>
    </row>
    <row r="95" spans="2:13" ht="12" customHeight="1" x14ac:dyDescent="0.15">
      <c r="B95" s="247" t="s">
        <v>674</v>
      </c>
      <c r="D95" s="376" t="s">
        <v>307</v>
      </c>
      <c r="E95" s="369">
        <v>43209</v>
      </c>
      <c r="F95" s="369">
        <v>43454</v>
      </c>
      <c r="G95" s="369">
        <v>43482</v>
      </c>
      <c r="H95" s="369">
        <v>43515</v>
      </c>
      <c r="I95" s="369">
        <v>43543</v>
      </c>
    </row>
    <row r="96" spans="2:13" ht="12" customHeight="1" x14ac:dyDescent="0.15">
      <c r="D96" s="376" t="s">
        <v>706</v>
      </c>
      <c r="E96" s="247">
        <v>110</v>
      </c>
      <c r="F96" s="247">
        <v>170</v>
      </c>
      <c r="G96" s="247">
        <v>130</v>
      </c>
      <c r="H96" s="247">
        <v>66</v>
      </c>
      <c r="I96" s="247">
        <v>51</v>
      </c>
    </row>
    <row r="97" spans="2:13" ht="12" customHeight="1" x14ac:dyDescent="0.15">
      <c r="D97" s="376" t="s">
        <v>707</v>
      </c>
      <c r="E97" s="247">
        <v>32</v>
      </c>
      <c r="F97" s="247">
        <v>45</v>
      </c>
      <c r="G97" s="247">
        <v>81</v>
      </c>
      <c r="H97" s="247">
        <v>19</v>
      </c>
      <c r="I97" s="247" t="s">
        <v>110</v>
      </c>
    </row>
    <row r="98" spans="2:13" ht="12" customHeight="1" x14ac:dyDescent="0.15">
      <c r="B98" s="247" t="s">
        <v>708</v>
      </c>
      <c r="D98" s="376" t="s">
        <v>307</v>
      </c>
      <c r="E98" s="369">
        <v>43210</v>
      </c>
      <c r="F98" s="369">
        <v>43455</v>
      </c>
      <c r="G98" s="369">
        <v>43481</v>
      </c>
      <c r="H98" s="369">
        <v>43509</v>
      </c>
      <c r="I98" s="382">
        <v>43542</v>
      </c>
      <c r="J98" s="382">
        <v>43549</v>
      </c>
    </row>
    <row r="99" spans="2:13" ht="12" customHeight="1" x14ac:dyDescent="0.15">
      <c r="D99" s="376" t="s">
        <v>647</v>
      </c>
      <c r="E99" s="106" t="s">
        <v>110</v>
      </c>
      <c r="F99" s="106" t="s">
        <v>110</v>
      </c>
      <c r="G99" s="106" t="s">
        <v>110</v>
      </c>
      <c r="H99" s="106" t="s">
        <v>110</v>
      </c>
      <c r="I99" s="106" t="s">
        <v>110</v>
      </c>
      <c r="J99" s="106" t="s">
        <v>110</v>
      </c>
    </row>
    <row r="100" spans="2:13" ht="12" customHeight="1" x14ac:dyDescent="0.15">
      <c r="D100" s="376" t="s">
        <v>648</v>
      </c>
      <c r="E100" s="106" t="s">
        <v>110</v>
      </c>
      <c r="F100" s="106" t="s">
        <v>110</v>
      </c>
      <c r="G100" s="106" t="s">
        <v>110</v>
      </c>
      <c r="H100" s="106" t="s">
        <v>110</v>
      </c>
      <c r="I100" s="106" t="s">
        <v>110</v>
      </c>
      <c r="J100" s="106" t="s">
        <v>110</v>
      </c>
    </row>
    <row r="101" spans="2:13" ht="12" customHeight="1" x14ac:dyDescent="0.15">
      <c r="B101" s="247" t="s">
        <v>711</v>
      </c>
      <c r="D101" s="376" t="s">
        <v>712</v>
      </c>
      <c r="E101" s="369">
        <v>43222</v>
      </c>
      <c r="F101" s="369">
        <v>43439</v>
      </c>
      <c r="G101" s="369">
        <v>43472</v>
      </c>
      <c r="H101" s="369">
        <v>43501</v>
      </c>
      <c r="I101" s="369">
        <v>43529</v>
      </c>
      <c r="J101" s="369" t="s">
        <v>679</v>
      </c>
    </row>
    <row r="102" spans="2:13" ht="12" customHeight="1" x14ac:dyDescent="0.15">
      <c r="D102" s="376" t="s">
        <v>347</v>
      </c>
      <c r="E102" s="106" t="s">
        <v>110</v>
      </c>
      <c r="F102" s="106" t="s">
        <v>110</v>
      </c>
      <c r="G102" s="106" t="s">
        <v>110</v>
      </c>
      <c r="H102" s="30" t="s">
        <v>110</v>
      </c>
      <c r="I102" s="106" t="s">
        <v>110</v>
      </c>
      <c r="J102" s="30" t="s">
        <v>110</v>
      </c>
      <c r="M102" s="247" t="s">
        <v>681</v>
      </c>
    </row>
    <row r="103" spans="2:13" ht="12" customHeight="1" x14ac:dyDescent="0.15">
      <c r="D103" s="376" t="s">
        <v>376</v>
      </c>
      <c r="E103" s="106" t="s">
        <v>110</v>
      </c>
      <c r="F103" s="106" t="s">
        <v>110</v>
      </c>
      <c r="G103" s="106" t="s">
        <v>110</v>
      </c>
      <c r="H103" s="30" t="s">
        <v>719</v>
      </c>
      <c r="I103" s="106" t="s">
        <v>110</v>
      </c>
      <c r="J103" s="30" t="s">
        <v>110</v>
      </c>
    </row>
    <row r="104" spans="2:13" ht="12" customHeight="1" x14ac:dyDescent="0.15">
      <c r="D104" s="376" t="s">
        <v>353</v>
      </c>
      <c r="E104" s="106" t="s">
        <v>110</v>
      </c>
      <c r="F104" s="106" t="s">
        <v>110</v>
      </c>
      <c r="G104" s="106" t="s">
        <v>719</v>
      </c>
      <c r="H104" s="30" t="s">
        <v>719</v>
      </c>
      <c r="I104" s="380">
        <v>0.9</v>
      </c>
      <c r="J104" s="106" t="s">
        <v>720</v>
      </c>
    </row>
    <row r="105" spans="2:13" ht="12" customHeight="1" x14ac:dyDescent="0.15">
      <c r="D105" s="376" t="s">
        <v>357</v>
      </c>
      <c r="E105" s="106" t="s">
        <v>110</v>
      </c>
      <c r="F105" s="106" t="s">
        <v>110</v>
      </c>
      <c r="G105" s="106" t="s">
        <v>110</v>
      </c>
      <c r="H105" s="30" t="s">
        <v>110</v>
      </c>
      <c r="I105" s="106" t="s">
        <v>110</v>
      </c>
      <c r="J105" s="30" t="s">
        <v>110</v>
      </c>
    </row>
  </sheetData>
  <phoneticPr fontId="8"/>
  <pageMargins left="0.7" right="0.7" top="0.75" bottom="0.75" header="0.3" footer="0.3"/>
  <pageSetup paperSize="9" orientation="portrait" horizontalDpi="0"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J105"/>
  <sheetViews>
    <sheetView zoomScale="80" zoomScaleNormal="80" workbookViewId="0">
      <selection activeCell="R55" sqref="R55"/>
    </sheetView>
  </sheetViews>
  <sheetFormatPr defaultRowHeight="12" x14ac:dyDescent="0.15"/>
  <cols>
    <col min="1" max="1" width="2.125" style="247" customWidth="1"/>
    <col min="2" max="2" width="10.375" style="247" customWidth="1"/>
    <col min="3" max="9" width="6.625" style="247" customWidth="1"/>
    <col min="10" max="10" width="3.875" style="370" customWidth="1"/>
    <col min="11" max="23" width="6" style="247" customWidth="1"/>
    <col min="24" max="16384" width="9" style="247"/>
  </cols>
  <sheetData>
    <row r="2" spans="2:10" ht="12" customHeight="1" x14ac:dyDescent="0.15">
      <c r="B2" s="368" t="s">
        <v>240</v>
      </c>
      <c r="C2" s="368">
        <v>300</v>
      </c>
      <c r="D2" s="368" t="s">
        <v>721</v>
      </c>
      <c r="E2" s="369">
        <v>43241</v>
      </c>
      <c r="F2" s="369">
        <v>43242</v>
      </c>
      <c r="G2" s="369">
        <v>43243</v>
      </c>
      <c r="H2" s="369">
        <v>43244</v>
      </c>
      <c r="I2" s="369">
        <v>43245</v>
      </c>
      <c r="J2" s="32"/>
    </row>
    <row r="3" spans="2:10" ht="12" customHeight="1" x14ac:dyDescent="0.15">
      <c r="B3" s="383" t="s">
        <v>722</v>
      </c>
      <c r="C3" s="371">
        <v>4690</v>
      </c>
      <c r="D3" s="372" t="s">
        <v>672</v>
      </c>
      <c r="E3" s="373">
        <v>890</v>
      </c>
      <c r="F3" s="374">
        <v>990</v>
      </c>
      <c r="G3" s="374">
        <v>930</v>
      </c>
      <c r="H3" s="374">
        <v>980</v>
      </c>
      <c r="I3" s="374">
        <v>900</v>
      </c>
      <c r="J3" s="375"/>
    </row>
    <row r="4" spans="2:10" ht="12" customHeight="1" x14ac:dyDescent="0.15"/>
    <row r="5" spans="2:10" ht="12" customHeight="1" x14ac:dyDescent="0.15">
      <c r="B5" s="376" t="s">
        <v>307</v>
      </c>
      <c r="E5" s="369">
        <v>43209</v>
      </c>
      <c r="F5" s="369">
        <v>43241</v>
      </c>
      <c r="G5" s="369">
        <v>43264</v>
      </c>
    </row>
    <row r="6" spans="2:10" ht="12" customHeight="1" x14ac:dyDescent="0.15">
      <c r="B6" s="376" t="s">
        <v>675</v>
      </c>
      <c r="E6" s="247">
        <v>110</v>
      </c>
      <c r="F6" s="106">
        <v>373</v>
      </c>
      <c r="G6" s="106">
        <v>95</v>
      </c>
    </row>
    <row r="7" spans="2:10" ht="12" customHeight="1" x14ac:dyDescent="0.15">
      <c r="B7" s="376" t="s">
        <v>315</v>
      </c>
      <c r="E7" s="247">
        <v>32</v>
      </c>
      <c r="F7" s="106">
        <v>110</v>
      </c>
      <c r="G7" s="106">
        <v>34</v>
      </c>
    </row>
    <row r="8" spans="2:10" ht="12" customHeight="1" x14ac:dyDescent="0.15">
      <c r="B8" s="376" t="s">
        <v>307</v>
      </c>
      <c r="E8" s="369">
        <v>43210</v>
      </c>
      <c r="F8" s="369">
        <v>43276</v>
      </c>
      <c r="G8" s="369" t="s">
        <v>723</v>
      </c>
    </row>
    <row r="9" spans="2:10" ht="12" customHeight="1" x14ac:dyDescent="0.15">
      <c r="B9" s="376" t="s">
        <v>724</v>
      </c>
      <c r="E9" s="106" t="s">
        <v>110</v>
      </c>
      <c r="F9" s="106" t="s">
        <v>110</v>
      </c>
      <c r="G9" s="106" t="s">
        <v>110</v>
      </c>
    </row>
    <row r="10" spans="2:10" ht="12" customHeight="1" x14ac:dyDescent="0.15">
      <c r="B10" s="376" t="s">
        <v>725</v>
      </c>
      <c r="E10" s="106" t="s">
        <v>110</v>
      </c>
      <c r="F10" s="106" t="s">
        <v>110</v>
      </c>
      <c r="G10" s="106" t="s">
        <v>110</v>
      </c>
    </row>
    <row r="11" spans="2:10" ht="12" customHeight="1" x14ac:dyDescent="0.15">
      <c r="B11" s="376" t="s">
        <v>678</v>
      </c>
      <c r="E11" s="369">
        <v>43222</v>
      </c>
      <c r="F11" s="369">
        <v>43245</v>
      </c>
      <c r="G11" s="369">
        <v>43256</v>
      </c>
      <c r="H11" s="369">
        <v>41805</v>
      </c>
    </row>
    <row r="12" spans="2:10" ht="12" customHeight="1" x14ac:dyDescent="0.15">
      <c r="B12" s="376" t="s">
        <v>726</v>
      </c>
      <c r="E12" s="106" t="s">
        <v>110</v>
      </c>
      <c r="F12" s="106" t="s">
        <v>110</v>
      </c>
      <c r="G12" s="106" t="s">
        <v>110</v>
      </c>
      <c r="H12" s="30" t="s">
        <v>110</v>
      </c>
    </row>
    <row r="13" spans="2:10" ht="12" customHeight="1" x14ac:dyDescent="0.15">
      <c r="B13" s="376" t="s">
        <v>727</v>
      </c>
      <c r="E13" s="106" t="s">
        <v>110</v>
      </c>
      <c r="F13" s="106" t="s">
        <v>110</v>
      </c>
      <c r="G13" s="106" t="s">
        <v>110</v>
      </c>
      <c r="H13" s="30" t="s">
        <v>110</v>
      </c>
    </row>
    <row r="14" spans="2:10" ht="12" customHeight="1" x14ac:dyDescent="0.15">
      <c r="B14" s="376" t="s">
        <v>353</v>
      </c>
      <c r="E14" s="106" t="s">
        <v>110</v>
      </c>
      <c r="F14" s="106">
        <v>0.7</v>
      </c>
      <c r="G14" s="106">
        <v>0.9</v>
      </c>
      <c r="H14" s="106">
        <v>3.1</v>
      </c>
    </row>
    <row r="15" spans="2:10" ht="12" customHeight="1" x14ac:dyDescent="0.15">
      <c r="B15" s="376" t="s">
        <v>357</v>
      </c>
      <c r="E15" s="106" t="s">
        <v>110</v>
      </c>
      <c r="F15" s="106" t="s">
        <v>110</v>
      </c>
      <c r="G15" s="106" t="s">
        <v>110</v>
      </c>
      <c r="H15" s="30" t="s">
        <v>110</v>
      </c>
    </row>
    <row r="17" spans="2:10" ht="12" customHeight="1" x14ac:dyDescent="0.15">
      <c r="B17" s="368" t="s">
        <v>240</v>
      </c>
      <c r="C17" s="368">
        <v>700</v>
      </c>
      <c r="D17" s="368" t="s">
        <v>721</v>
      </c>
      <c r="E17" s="369">
        <v>43269</v>
      </c>
      <c r="F17" s="369">
        <v>43270</v>
      </c>
      <c r="G17" s="369">
        <v>43271</v>
      </c>
      <c r="H17" s="369">
        <v>43272</v>
      </c>
      <c r="I17" s="369">
        <v>43273</v>
      </c>
      <c r="J17" s="32"/>
    </row>
    <row r="18" spans="2:10" ht="12" customHeight="1" x14ac:dyDescent="0.15">
      <c r="B18" s="383" t="s">
        <v>728</v>
      </c>
      <c r="C18" s="371">
        <v>4750</v>
      </c>
      <c r="D18" s="372" t="s">
        <v>672</v>
      </c>
      <c r="E18" s="374">
        <v>990</v>
      </c>
      <c r="F18" s="374">
        <v>980</v>
      </c>
      <c r="G18" s="374">
        <v>970</v>
      </c>
      <c r="H18" s="374">
        <v>940</v>
      </c>
      <c r="I18" s="374">
        <v>870</v>
      </c>
      <c r="J18" s="375"/>
    </row>
    <row r="19" spans="2:10" ht="12" customHeight="1" x14ac:dyDescent="0.15"/>
    <row r="20" spans="2:10" ht="12" customHeight="1" x14ac:dyDescent="0.15">
      <c r="B20" s="376" t="s">
        <v>307</v>
      </c>
      <c r="E20" s="369">
        <v>43209</v>
      </c>
      <c r="F20" s="369">
        <v>43269</v>
      </c>
      <c r="G20" s="369">
        <v>43298</v>
      </c>
    </row>
    <row r="21" spans="2:10" ht="12" customHeight="1" x14ac:dyDescent="0.15">
      <c r="B21" s="376" t="s">
        <v>422</v>
      </c>
      <c r="E21" s="247">
        <v>110</v>
      </c>
      <c r="F21" s="247">
        <v>160</v>
      </c>
      <c r="G21" s="247">
        <v>110</v>
      </c>
    </row>
    <row r="22" spans="2:10" ht="12" customHeight="1" x14ac:dyDescent="0.15">
      <c r="B22" s="376" t="s">
        <v>707</v>
      </c>
      <c r="E22" s="247">
        <v>32</v>
      </c>
      <c r="F22" s="247">
        <v>54</v>
      </c>
      <c r="G22" s="247">
        <v>47</v>
      </c>
    </row>
    <row r="23" spans="2:10" ht="12" customHeight="1" x14ac:dyDescent="0.15">
      <c r="B23" s="376" t="s">
        <v>307</v>
      </c>
      <c r="E23" s="369">
        <v>43210</v>
      </c>
      <c r="F23" s="369">
        <v>43269</v>
      </c>
      <c r="G23" s="369">
        <v>43273</v>
      </c>
      <c r="H23" s="369">
        <v>43298</v>
      </c>
    </row>
    <row r="24" spans="2:10" ht="12" customHeight="1" x14ac:dyDescent="0.15">
      <c r="B24" s="376" t="s">
        <v>724</v>
      </c>
      <c r="E24" s="106" t="s">
        <v>110</v>
      </c>
      <c r="F24" s="106" t="s">
        <v>110</v>
      </c>
      <c r="G24" s="106" t="s">
        <v>110</v>
      </c>
      <c r="H24" s="106" t="s">
        <v>110</v>
      </c>
    </row>
    <row r="25" spans="2:10" ht="12" customHeight="1" x14ac:dyDescent="0.15">
      <c r="B25" s="376" t="s">
        <v>725</v>
      </c>
      <c r="E25" s="106" t="s">
        <v>110</v>
      </c>
      <c r="F25" s="106" t="s">
        <v>110</v>
      </c>
      <c r="G25" s="106" t="s">
        <v>110</v>
      </c>
      <c r="H25" s="106" t="s">
        <v>110</v>
      </c>
    </row>
    <row r="26" spans="2:10" ht="12" customHeight="1" x14ac:dyDescent="0.15">
      <c r="B26" s="376" t="s">
        <v>712</v>
      </c>
      <c r="E26" s="369">
        <v>43222</v>
      </c>
      <c r="F26" s="369">
        <v>43273</v>
      </c>
      <c r="G26" s="369">
        <v>43286</v>
      </c>
      <c r="H26" s="369">
        <v>41805</v>
      </c>
    </row>
    <row r="27" spans="2:10" ht="12" customHeight="1" x14ac:dyDescent="0.15">
      <c r="B27" s="376" t="s">
        <v>726</v>
      </c>
      <c r="E27" s="106" t="s">
        <v>110</v>
      </c>
      <c r="F27" s="106" t="s">
        <v>110</v>
      </c>
      <c r="G27" s="106" t="s">
        <v>110</v>
      </c>
      <c r="H27" s="30" t="s">
        <v>110</v>
      </c>
    </row>
    <row r="28" spans="2:10" ht="12" customHeight="1" x14ac:dyDescent="0.15">
      <c r="B28" s="376" t="s">
        <v>727</v>
      </c>
      <c r="E28" s="106" t="s">
        <v>110</v>
      </c>
      <c r="F28" s="106" t="s">
        <v>110</v>
      </c>
      <c r="G28" s="106" t="s">
        <v>110</v>
      </c>
      <c r="H28" s="30" t="s">
        <v>110</v>
      </c>
    </row>
    <row r="29" spans="2:10" ht="12" customHeight="1" x14ac:dyDescent="0.15">
      <c r="B29" s="376" t="s">
        <v>353</v>
      </c>
      <c r="E29" s="106" t="s">
        <v>110</v>
      </c>
      <c r="F29" s="106" t="s">
        <v>110</v>
      </c>
      <c r="G29" s="106">
        <v>0.7</v>
      </c>
      <c r="H29" s="106">
        <v>3.1</v>
      </c>
    </row>
    <row r="30" spans="2:10" ht="12" customHeight="1" x14ac:dyDescent="0.15">
      <c r="B30" s="376" t="s">
        <v>357</v>
      </c>
      <c r="E30" s="106" t="s">
        <v>110</v>
      </c>
      <c r="F30" s="106" t="s">
        <v>110</v>
      </c>
      <c r="G30" s="106" t="s">
        <v>110</v>
      </c>
      <c r="H30" s="30" t="s">
        <v>110</v>
      </c>
    </row>
    <row r="32" spans="2:10" ht="12" customHeight="1" x14ac:dyDescent="0.15">
      <c r="B32" s="368" t="s">
        <v>458</v>
      </c>
      <c r="C32" s="368">
        <v>1500</v>
      </c>
      <c r="D32" s="368" t="s">
        <v>721</v>
      </c>
      <c r="E32" s="369">
        <v>43304</v>
      </c>
      <c r="F32" s="369">
        <v>43305</v>
      </c>
      <c r="G32" s="369">
        <v>43306</v>
      </c>
      <c r="H32" s="369">
        <v>43307</v>
      </c>
      <c r="I32" s="369">
        <v>43308</v>
      </c>
      <c r="J32" s="32"/>
    </row>
    <row r="33" spans="2:10" ht="12" customHeight="1" x14ac:dyDescent="0.15">
      <c r="B33" s="383" t="s">
        <v>729</v>
      </c>
      <c r="C33" s="371">
        <v>4630</v>
      </c>
      <c r="D33" s="372" t="s">
        <v>672</v>
      </c>
      <c r="E33" s="374">
        <v>950</v>
      </c>
      <c r="F33" s="374">
        <v>940</v>
      </c>
      <c r="G33" s="374">
        <v>920</v>
      </c>
      <c r="H33" s="374">
        <v>950</v>
      </c>
      <c r="I33" s="374">
        <v>870</v>
      </c>
      <c r="J33" s="375"/>
    </row>
    <row r="35" spans="2:10" ht="12" customHeight="1" x14ac:dyDescent="0.15">
      <c r="B35" s="376" t="s">
        <v>307</v>
      </c>
      <c r="E35" s="369">
        <v>43209</v>
      </c>
      <c r="F35" s="369">
        <v>43309</v>
      </c>
      <c r="G35" s="369">
        <v>43328</v>
      </c>
      <c r="H35" s="379"/>
    </row>
    <row r="36" spans="2:10" ht="12" customHeight="1" x14ac:dyDescent="0.15">
      <c r="B36" s="376" t="s">
        <v>706</v>
      </c>
      <c r="E36" s="247">
        <v>110</v>
      </c>
      <c r="F36" s="247">
        <v>349</v>
      </c>
      <c r="G36" s="247">
        <v>160</v>
      </c>
    </row>
    <row r="37" spans="2:10" ht="12" customHeight="1" x14ac:dyDescent="0.15">
      <c r="B37" s="376" t="s">
        <v>707</v>
      </c>
      <c r="E37" s="247">
        <v>32</v>
      </c>
      <c r="F37" s="247">
        <v>74</v>
      </c>
      <c r="G37" s="247">
        <v>59</v>
      </c>
    </row>
    <row r="38" spans="2:10" ht="12" customHeight="1" x14ac:dyDescent="0.15">
      <c r="B38" s="376" t="s">
        <v>307</v>
      </c>
      <c r="E38" s="369">
        <v>43210</v>
      </c>
      <c r="F38" s="369">
        <v>43328</v>
      </c>
      <c r="G38" s="369">
        <v>43328</v>
      </c>
    </row>
    <row r="39" spans="2:10" ht="12" customHeight="1" x14ac:dyDescent="0.15">
      <c r="B39" s="376" t="s">
        <v>724</v>
      </c>
      <c r="E39" s="106" t="s">
        <v>110</v>
      </c>
      <c r="F39" s="106" t="s">
        <v>110</v>
      </c>
      <c r="G39" s="106" t="s">
        <v>110</v>
      </c>
    </row>
    <row r="40" spans="2:10" ht="12" customHeight="1" x14ac:dyDescent="0.15">
      <c r="B40" s="376" t="s">
        <v>725</v>
      </c>
      <c r="E40" s="106" t="s">
        <v>110</v>
      </c>
      <c r="F40" s="106" t="s">
        <v>110</v>
      </c>
      <c r="G40" s="106" t="s">
        <v>110</v>
      </c>
    </row>
    <row r="41" spans="2:10" ht="12" customHeight="1" x14ac:dyDescent="0.15">
      <c r="B41" s="376" t="s">
        <v>712</v>
      </c>
      <c r="E41" s="369">
        <v>43222</v>
      </c>
      <c r="F41" s="369">
        <v>43308</v>
      </c>
      <c r="G41" s="369">
        <v>43315</v>
      </c>
      <c r="H41" s="369">
        <v>41805</v>
      </c>
    </row>
    <row r="42" spans="2:10" ht="12" customHeight="1" x14ac:dyDescent="0.15">
      <c r="B42" s="376" t="s">
        <v>726</v>
      </c>
      <c r="E42" s="106" t="s">
        <v>110</v>
      </c>
      <c r="F42" s="106" t="s">
        <v>110</v>
      </c>
      <c r="G42" s="106" t="s">
        <v>110</v>
      </c>
      <c r="H42" s="30" t="s">
        <v>110</v>
      </c>
    </row>
    <row r="43" spans="2:10" ht="12" customHeight="1" x14ac:dyDescent="0.15">
      <c r="B43" s="376" t="s">
        <v>727</v>
      </c>
      <c r="E43" s="106" t="s">
        <v>110</v>
      </c>
      <c r="F43" s="106" t="s">
        <v>110</v>
      </c>
      <c r="G43" s="106" t="s">
        <v>110</v>
      </c>
      <c r="H43" s="30" t="s">
        <v>110</v>
      </c>
    </row>
    <row r="44" spans="2:10" ht="12" customHeight="1" x14ac:dyDescent="0.15">
      <c r="B44" s="376" t="s">
        <v>353</v>
      </c>
      <c r="E44" s="106" t="s">
        <v>110</v>
      </c>
      <c r="F44" s="106">
        <v>0.9</v>
      </c>
      <c r="G44" s="106" t="s">
        <v>110</v>
      </c>
      <c r="H44" s="106">
        <v>3.1</v>
      </c>
    </row>
    <row r="45" spans="2:10" ht="12" customHeight="1" x14ac:dyDescent="0.15">
      <c r="B45" s="376" t="s">
        <v>357</v>
      </c>
      <c r="E45" s="106" t="s">
        <v>110</v>
      </c>
      <c r="F45" s="106" t="s">
        <v>110</v>
      </c>
      <c r="G45" s="106" t="s">
        <v>110</v>
      </c>
      <c r="H45" s="30" t="s">
        <v>110</v>
      </c>
    </row>
    <row r="47" spans="2:10" ht="12" customHeight="1" x14ac:dyDescent="0.15">
      <c r="B47" s="368" t="s">
        <v>240</v>
      </c>
      <c r="C47" s="368">
        <v>300</v>
      </c>
      <c r="D47" s="368" t="s">
        <v>721</v>
      </c>
      <c r="E47" s="369">
        <v>43332</v>
      </c>
      <c r="F47" s="369">
        <v>43333</v>
      </c>
      <c r="G47" s="369">
        <v>43334</v>
      </c>
      <c r="H47" s="369">
        <v>43335</v>
      </c>
      <c r="I47" s="369">
        <v>43336</v>
      </c>
      <c r="J47" s="32"/>
    </row>
    <row r="48" spans="2:10" ht="12" customHeight="1" x14ac:dyDescent="0.15">
      <c r="B48" s="383" t="s">
        <v>730</v>
      </c>
      <c r="C48" s="371">
        <v>2430</v>
      </c>
      <c r="D48" s="372" t="s">
        <v>672</v>
      </c>
      <c r="E48" s="374">
        <v>740</v>
      </c>
      <c r="F48" s="374">
        <v>870</v>
      </c>
      <c r="G48" s="374">
        <v>820</v>
      </c>
      <c r="H48" s="374"/>
      <c r="I48" s="374"/>
      <c r="J48" s="375"/>
    </row>
    <row r="50" spans="2:10" ht="12" customHeight="1" x14ac:dyDescent="0.15">
      <c r="B50" s="376" t="s">
        <v>307</v>
      </c>
      <c r="E50" s="369">
        <v>43209</v>
      </c>
      <c r="F50" s="369">
        <v>43336</v>
      </c>
      <c r="G50" s="369">
        <v>43356</v>
      </c>
      <c r="H50" s="379"/>
    </row>
    <row r="51" spans="2:10" ht="12" customHeight="1" x14ac:dyDescent="0.15">
      <c r="B51" s="376" t="s">
        <v>706</v>
      </c>
      <c r="E51" s="247">
        <v>110</v>
      </c>
      <c r="F51" s="247">
        <v>210</v>
      </c>
      <c r="G51" s="247">
        <v>176</v>
      </c>
    </row>
    <row r="52" spans="2:10" ht="12" customHeight="1" x14ac:dyDescent="0.15">
      <c r="B52" s="376" t="s">
        <v>707</v>
      </c>
      <c r="E52" s="247">
        <v>32</v>
      </c>
      <c r="F52" s="247">
        <v>56</v>
      </c>
      <c r="G52" s="247">
        <v>33</v>
      </c>
    </row>
    <row r="53" spans="2:10" ht="12" customHeight="1" x14ac:dyDescent="0.15">
      <c r="B53" s="376" t="s">
        <v>307</v>
      </c>
      <c r="E53" s="369">
        <v>43210</v>
      </c>
      <c r="F53" s="369">
        <v>43700</v>
      </c>
      <c r="G53" s="369">
        <v>43722</v>
      </c>
    </row>
    <row r="54" spans="2:10" ht="12" customHeight="1" x14ac:dyDescent="0.15">
      <c r="B54" s="376" t="s">
        <v>724</v>
      </c>
      <c r="E54" s="106" t="s">
        <v>110</v>
      </c>
      <c r="F54" s="106" t="s">
        <v>110</v>
      </c>
      <c r="G54" s="106" t="s">
        <v>110</v>
      </c>
    </row>
    <row r="55" spans="2:10" ht="12" customHeight="1" x14ac:dyDescent="0.15">
      <c r="B55" s="376" t="s">
        <v>725</v>
      </c>
      <c r="E55" s="106" t="s">
        <v>110</v>
      </c>
      <c r="F55" s="106" t="s">
        <v>110</v>
      </c>
      <c r="G55" s="106" t="s">
        <v>110</v>
      </c>
    </row>
    <row r="56" spans="2:10" ht="12" customHeight="1" x14ac:dyDescent="0.15">
      <c r="B56" s="376" t="s">
        <v>712</v>
      </c>
      <c r="E56" s="369">
        <v>43222</v>
      </c>
      <c r="F56" s="369">
        <v>43336</v>
      </c>
      <c r="G56" s="369">
        <v>43348</v>
      </c>
      <c r="H56" s="369">
        <v>41805</v>
      </c>
    </row>
    <row r="57" spans="2:10" ht="12" customHeight="1" x14ac:dyDescent="0.15">
      <c r="B57" s="376" t="s">
        <v>726</v>
      </c>
      <c r="E57" s="106" t="s">
        <v>110</v>
      </c>
      <c r="F57" s="106" t="s">
        <v>110</v>
      </c>
      <c r="G57" s="106" t="s">
        <v>110</v>
      </c>
      <c r="H57" s="30" t="s">
        <v>110</v>
      </c>
    </row>
    <row r="58" spans="2:10" ht="12" customHeight="1" x14ac:dyDescent="0.15">
      <c r="B58" s="376" t="s">
        <v>727</v>
      </c>
      <c r="E58" s="106" t="s">
        <v>110</v>
      </c>
      <c r="F58" s="106" t="s">
        <v>110</v>
      </c>
      <c r="G58" s="106" t="s">
        <v>110</v>
      </c>
      <c r="H58" s="30" t="s">
        <v>110</v>
      </c>
    </row>
    <row r="59" spans="2:10" ht="12" customHeight="1" x14ac:dyDescent="0.15">
      <c r="B59" s="376" t="s">
        <v>353</v>
      </c>
      <c r="E59" s="106" t="s">
        <v>110</v>
      </c>
      <c r="F59" s="106">
        <v>0.9</v>
      </c>
      <c r="G59" s="106">
        <v>1</v>
      </c>
      <c r="H59" s="106">
        <v>3.1</v>
      </c>
    </row>
    <row r="60" spans="2:10" ht="12" customHeight="1" x14ac:dyDescent="0.15">
      <c r="B60" s="376" t="s">
        <v>357</v>
      </c>
      <c r="E60" s="106" t="s">
        <v>110</v>
      </c>
      <c r="F60" s="106" t="s">
        <v>110</v>
      </c>
      <c r="G60" s="106" t="s">
        <v>110</v>
      </c>
      <c r="H60" s="30" t="s">
        <v>110</v>
      </c>
    </row>
    <row r="62" spans="2:10" ht="12" customHeight="1" x14ac:dyDescent="0.15">
      <c r="B62" s="368" t="s">
        <v>240</v>
      </c>
      <c r="C62" s="368">
        <v>700</v>
      </c>
      <c r="D62" s="368" t="s">
        <v>721</v>
      </c>
      <c r="E62" s="369">
        <v>43360</v>
      </c>
      <c r="F62" s="369">
        <v>43361</v>
      </c>
      <c r="G62" s="369">
        <v>43362</v>
      </c>
      <c r="H62" s="369">
        <v>43363</v>
      </c>
      <c r="I62" s="369">
        <v>43364</v>
      </c>
      <c r="J62" s="32"/>
    </row>
    <row r="63" spans="2:10" ht="12" customHeight="1" x14ac:dyDescent="0.15">
      <c r="B63" s="383" t="s">
        <v>731</v>
      </c>
      <c r="C63" s="371">
        <v>3870</v>
      </c>
      <c r="D63" s="372" t="s">
        <v>672</v>
      </c>
      <c r="E63" s="374">
        <v>550</v>
      </c>
      <c r="F63" s="374">
        <v>840</v>
      </c>
      <c r="G63" s="374">
        <v>760</v>
      </c>
      <c r="H63" s="374">
        <v>860</v>
      </c>
      <c r="I63" s="374">
        <v>860</v>
      </c>
      <c r="J63" s="375"/>
    </row>
    <row r="65" spans="2:10" ht="12" customHeight="1" x14ac:dyDescent="0.15">
      <c r="B65" s="376" t="s">
        <v>307</v>
      </c>
      <c r="E65" s="369">
        <v>43209</v>
      </c>
      <c r="F65" s="369">
        <v>43365</v>
      </c>
      <c r="G65" s="369">
        <v>43389</v>
      </c>
      <c r="H65" s="369">
        <v>43393</v>
      </c>
    </row>
    <row r="66" spans="2:10" ht="12" customHeight="1" x14ac:dyDescent="0.15">
      <c r="B66" s="376" t="s">
        <v>706</v>
      </c>
      <c r="E66" s="247">
        <v>110</v>
      </c>
      <c r="F66" s="247">
        <v>253</v>
      </c>
      <c r="G66" s="247">
        <v>208</v>
      </c>
    </row>
    <row r="67" spans="2:10" ht="12" customHeight="1" x14ac:dyDescent="0.15">
      <c r="B67" s="376" t="s">
        <v>707</v>
      </c>
      <c r="E67" s="247">
        <v>32</v>
      </c>
      <c r="F67" s="247">
        <v>56</v>
      </c>
      <c r="H67" s="247">
        <v>49</v>
      </c>
    </row>
    <row r="68" spans="2:10" ht="12" customHeight="1" x14ac:dyDescent="0.15">
      <c r="B68" s="376" t="s">
        <v>307</v>
      </c>
      <c r="E68" s="369">
        <v>43210</v>
      </c>
      <c r="F68" s="369">
        <v>43364</v>
      </c>
      <c r="G68" s="369">
        <v>43393</v>
      </c>
      <c r="H68" s="369">
        <v>43389</v>
      </c>
    </row>
    <row r="69" spans="2:10" ht="12" customHeight="1" x14ac:dyDescent="0.15">
      <c r="B69" s="376" t="s">
        <v>724</v>
      </c>
      <c r="E69" s="106" t="s">
        <v>110</v>
      </c>
      <c r="F69" s="106" t="s">
        <v>110</v>
      </c>
      <c r="G69" s="106" t="s">
        <v>110</v>
      </c>
    </row>
    <row r="70" spans="2:10" ht="12" customHeight="1" x14ac:dyDescent="0.15">
      <c r="B70" s="376" t="s">
        <v>725</v>
      </c>
      <c r="E70" s="106" t="s">
        <v>110</v>
      </c>
      <c r="F70" s="106" t="s">
        <v>110</v>
      </c>
      <c r="H70" s="106" t="s">
        <v>110</v>
      </c>
    </row>
    <row r="71" spans="2:10" ht="12" customHeight="1" x14ac:dyDescent="0.15">
      <c r="B71" s="376" t="s">
        <v>712</v>
      </c>
      <c r="E71" s="369" t="s">
        <v>713</v>
      </c>
      <c r="F71" s="369">
        <v>43364</v>
      </c>
      <c r="G71" s="369">
        <v>43378</v>
      </c>
      <c r="H71" s="369">
        <v>41805</v>
      </c>
    </row>
    <row r="72" spans="2:10" ht="12" customHeight="1" x14ac:dyDescent="0.15">
      <c r="B72" s="376" t="s">
        <v>726</v>
      </c>
      <c r="E72" s="106" t="s">
        <v>110</v>
      </c>
      <c r="F72" s="106" t="s">
        <v>110</v>
      </c>
      <c r="G72" s="106" t="s">
        <v>110</v>
      </c>
      <c r="H72" s="30" t="s">
        <v>110</v>
      </c>
    </row>
    <row r="73" spans="2:10" ht="12" customHeight="1" x14ac:dyDescent="0.15">
      <c r="B73" s="376" t="s">
        <v>727</v>
      </c>
      <c r="E73" s="106" t="s">
        <v>110</v>
      </c>
      <c r="F73" s="106" t="s">
        <v>110</v>
      </c>
      <c r="G73" s="106" t="s">
        <v>110</v>
      </c>
      <c r="H73" s="30" t="s">
        <v>110</v>
      </c>
    </row>
    <row r="74" spans="2:10" ht="12" customHeight="1" x14ac:dyDescent="0.15">
      <c r="B74" s="376" t="s">
        <v>353</v>
      </c>
      <c r="E74" s="106" t="s">
        <v>110</v>
      </c>
      <c r="F74" s="106">
        <v>0.8</v>
      </c>
      <c r="G74" s="106">
        <v>1</v>
      </c>
      <c r="H74" s="106">
        <v>3.1</v>
      </c>
    </row>
    <row r="75" spans="2:10" ht="12" customHeight="1" x14ac:dyDescent="0.15">
      <c r="B75" s="376" t="s">
        <v>357</v>
      </c>
      <c r="E75" s="106" t="s">
        <v>110</v>
      </c>
      <c r="F75" s="106" t="s">
        <v>110</v>
      </c>
      <c r="G75" s="106" t="s">
        <v>110</v>
      </c>
      <c r="H75" s="30" t="s">
        <v>110</v>
      </c>
    </row>
    <row r="77" spans="2:10" ht="12" customHeight="1" x14ac:dyDescent="0.15">
      <c r="B77" s="368" t="s">
        <v>570</v>
      </c>
      <c r="C77" s="368">
        <v>1500</v>
      </c>
      <c r="D77" s="368" t="s">
        <v>721</v>
      </c>
      <c r="E77" s="369">
        <v>43395</v>
      </c>
      <c r="F77" s="369">
        <v>43396</v>
      </c>
      <c r="G77" s="369">
        <v>43397</v>
      </c>
      <c r="H77" s="369">
        <v>43398</v>
      </c>
      <c r="I77" s="369">
        <v>43399</v>
      </c>
      <c r="J77" s="32"/>
    </row>
    <row r="78" spans="2:10" ht="12" customHeight="1" x14ac:dyDescent="0.15">
      <c r="B78" s="383" t="s">
        <v>732</v>
      </c>
      <c r="C78" s="371">
        <v>4770</v>
      </c>
      <c r="D78" s="372" t="s">
        <v>672</v>
      </c>
      <c r="E78" s="374">
        <v>940</v>
      </c>
      <c r="F78" s="374">
        <v>970</v>
      </c>
      <c r="G78" s="374">
        <v>980</v>
      </c>
      <c r="H78" s="374">
        <v>950</v>
      </c>
      <c r="I78" s="374">
        <v>930</v>
      </c>
      <c r="J78" s="375"/>
    </row>
    <row r="80" spans="2:10" ht="12" customHeight="1" x14ac:dyDescent="0.15">
      <c r="B80" s="376" t="s">
        <v>583</v>
      </c>
      <c r="E80" s="369">
        <v>43209</v>
      </c>
      <c r="F80" s="369">
        <v>43399</v>
      </c>
      <c r="G80" s="369">
        <v>43424</v>
      </c>
    </row>
    <row r="81" spans="2:10" ht="12" customHeight="1" x14ac:dyDescent="0.15">
      <c r="B81" s="376" t="s">
        <v>706</v>
      </c>
      <c r="E81" s="247">
        <v>110</v>
      </c>
      <c r="F81" s="247">
        <v>419</v>
      </c>
      <c r="G81" s="247">
        <v>165</v>
      </c>
    </row>
    <row r="82" spans="2:10" ht="12" customHeight="1" x14ac:dyDescent="0.15">
      <c r="B82" s="376" t="s">
        <v>707</v>
      </c>
      <c r="E82" s="247">
        <v>32</v>
      </c>
      <c r="F82" s="247">
        <v>98</v>
      </c>
      <c r="G82" s="247">
        <v>58</v>
      </c>
    </row>
    <row r="83" spans="2:10" ht="12" customHeight="1" x14ac:dyDescent="0.15">
      <c r="B83" s="376" t="s">
        <v>307</v>
      </c>
      <c r="E83" s="369">
        <v>43210</v>
      </c>
      <c r="F83" s="369">
        <v>43399</v>
      </c>
      <c r="G83" s="369">
        <v>43424</v>
      </c>
    </row>
    <row r="84" spans="2:10" ht="12" customHeight="1" x14ac:dyDescent="0.15">
      <c r="B84" s="376" t="s">
        <v>724</v>
      </c>
      <c r="E84" s="106" t="s">
        <v>110</v>
      </c>
      <c r="F84" s="106" t="s">
        <v>110</v>
      </c>
      <c r="G84" s="106" t="s">
        <v>110</v>
      </c>
    </row>
    <row r="85" spans="2:10" ht="12" customHeight="1" x14ac:dyDescent="0.15">
      <c r="B85" s="376" t="s">
        <v>725</v>
      </c>
      <c r="E85" s="106" t="s">
        <v>110</v>
      </c>
      <c r="F85" s="106" t="s">
        <v>110</v>
      </c>
      <c r="G85" s="106" t="s">
        <v>110</v>
      </c>
    </row>
    <row r="86" spans="2:10" ht="12" customHeight="1" x14ac:dyDescent="0.15">
      <c r="B86" s="376" t="s">
        <v>712</v>
      </c>
      <c r="E86" s="369">
        <v>43222</v>
      </c>
      <c r="F86" s="369">
        <v>43399</v>
      </c>
      <c r="G86" s="369">
        <v>43409</v>
      </c>
      <c r="H86" s="369">
        <v>41805</v>
      </c>
    </row>
    <row r="87" spans="2:10" ht="12" customHeight="1" x14ac:dyDescent="0.15">
      <c r="B87" s="376" t="s">
        <v>726</v>
      </c>
      <c r="E87" s="106" t="s">
        <v>110</v>
      </c>
      <c r="F87" s="106" t="s">
        <v>110</v>
      </c>
      <c r="G87" s="106" t="s">
        <v>110</v>
      </c>
      <c r="H87" s="30" t="s">
        <v>110</v>
      </c>
    </row>
    <row r="88" spans="2:10" ht="12" customHeight="1" x14ac:dyDescent="0.15">
      <c r="B88" s="376" t="s">
        <v>727</v>
      </c>
      <c r="E88" s="106" t="s">
        <v>110</v>
      </c>
      <c r="F88" s="106" t="s">
        <v>110</v>
      </c>
      <c r="G88" s="106" t="s">
        <v>110</v>
      </c>
      <c r="H88" s="30" t="s">
        <v>110</v>
      </c>
    </row>
    <row r="89" spans="2:10" ht="12" customHeight="1" x14ac:dyDescent="0.15">
      <c r="B89" s="376" t="s">
        <v>353</v>
      </c>
      <c r="E89" s="106" t="s">
        <v>110</v>
      </c>
      <c r="F89" s="106">
        <v>0.9</v>
      </c>
      <c r="G89" s="106" t="s">
        <v>110</v>
      </c>
      <c r="H89" s="106">
        <v>3.1</v>
      </c>
    </row>
    <row r="90" spans="2:10" ht="12" customHeight="1" x14ac:dyDescent="0.15">
      <c r="B90" s="376" t="s">
        <v>357</v>
      </c>
      <c r="E90" s="106" t="s">
        <v>110</v>
      </c>
      <c r="F90" s="106" t="s">
        <v>110</v>
      </c>
      <c r="G90" s="106" t="s">
        <v>110</v>
      </c>
      <c r="H90" s="30" t="s">
        <v>110</v>
      </c>
    </row>
    <row r="91" spans="2:10" ht="12" customHeight="1" x14ac:dyDescent="0.15">
      <c r="C91" s="381"/>
      <c r="D91" s="381"/>
      <c r="E91" s="106"/>
      <c r="F91" s="106"/>
    </row>
    <row r="92" spans="2:10" ht="12" customHeight="1" x14ac:dyDescent="0.15">
      <c r="B92" s="368" t="s">
        <v>733</v>
      </c>
      <c r="C92" s="368" t="s">
        <v>734</v>
      </c>
      <c r="D92" s="368" t="s">
        <v>721</v>
      </c>
      <c r="E92" s="369"/>
      <c r="F92" s="369"/>
      <c r="G92" s="369"/>
      <c r="H92" s="369"/>
      <c r="I92" s="369"/>
      <c r="J92" s="32"/>
    </row>
    <row r="93" spans="2:10" ht="12" customHeight="1" x14ac:dyDescent="0.15">
      <c r="B93" s="383" t="s">
        <v>735</v>
      </c>
      <c r="C93" s="247">
        <v>0</v>
      </c>
      <c r="E93" s="374"/>
      <c r="F93" s="374"/>
      <c r="G93" s="374"/>
      <c r="H93" s="374"/>
      <c r="I93" s="374"/>
      <c r="J93" s="375"/>
    </row>
    <row r="95" spans="2:10" ht="12" customHeight="1" x14ac:dyDescent="0.15">
      <c r="B95" s="376" t="s">
        <v>307</v>
      </c>
      <c r="E95" s="369">
        <v>43209</v>
      </c>
      <c r="F95" s="369">
        <v>43454</v>
      </c>
      <c r="G95" s="369">
        <v>43482</v>
      </c>
      <c r="H95" s="369">
        <v>43515</v>
      </c>
      <c r="I95" s="369">
        <v>43543</v>
      </c>
      <c r="J95" s="247"/>
    </row>
    <row r="96" spans="2:10" ht="12" customHeight="1" x14ac:dyDescent="0.15">
      <c r="B96" s="376" t="s">
        <v>706</v>
      </c>
      <c r="E96" s="247">
        <v>110</v>
      </c>
      <c r="F96" s="247">
        <v>170</v>
      </c>
      <c r="G96" s="247">
        <v>130</v>
      </c>
      <c r="H96" s="247">
        <v>66</v>
      </c>
      <c r="I96" s="247">
        <v>51</v>
      </c>
      <c r="J96" s="247"/>
    </row>
    <row r="97" spans="2:10" ht="12" customHeight="1" x14ac:dyDescent="0.15">
      <c r="B97" s="376" t="s">
        <v>707</v>
      </c>
      <c r="E97" s="247">
        <v>32</v>
      </c>
      <c r="F97" s="247">
        <v>45</v>
      </c>
      <c r="G97" s="247">
        <v>81</v>
      </c>
      <c r="H97" s="247">
        <v>19</v>
      </c>
      <c r="I97" s="247" t="s">
        <v>110</v>
      </c>
      <c r="J97" s="247"/>
    </row>
    <row r="98" spans="2:10" ht="12" customHeight="1" x14ac:dyDescent="0.15">
      <c r="B98" s="376" t="s">
        <v>307</v>
      </c>
      <c r="E98" s="369">
        <v>43210</v>
      </c>
      <c r="F98" s="369">
        <v>43455</v>
      </c>
      <c r="G98" s="369">
        <v>43481</v>
      </c>
      <c r="H98" s="369">
        <v>43509</v>
      </c>
      <c r="I98" s="382">
        <v>43542</v>
      </c>
      <c r="J98" s="382">
        <v>43549</v>
      </c>
    </row>
    <row r="99" spans="2:10" ht="12" customHeight="1" x14ac:dyDescent="0.15">
      <c r="B99" s="376" t="s">
        <v>647</v>
      </c>
      <c r="E99" s="106" t="s">
        <v>110</v>
      </c>
      <c r="F99" s="106" t="s">
        <v>110</v>
      </c>
      <c r="G99" s="106" t="s">
        <v>110</v>
      </c>
      <c r="H99" s="106" t="s">
        <v>110</v>
      </c>
      <c r="I99" s="106" t="s">
        <v>110</v>
      </c>
      <c r="J99" s="106" t="s">
        <v>110</v>
      </c>
    </row>
    <row r="100" spans="2:10" ht="12" customHeight="1" x14ac:dyDescent="0.15">
      <c r="B100" s="376" t="s">
        <v>648</v>
      </c>
      <c r="E100" s="106" t="s">
        <v>110</v>
      </c>
      <c r="F100" s="106" t="s">
        <v>110</v>
      </c>
      <c r="G100" s="106" t="s">
        <v>110</v>
      </c>
      <c r="H100" s="106" t="s">
        <v>110</v>
      </c>
      <c r="I100" s="106" t="s">
        <v>110</v>
      </c>
      <c r="J100" s="106" t="s">
        <v>110</v>
      </c>
    </row>
    <row r="101" spans="2:10" ht="12" customHeight="1" x14ac:dyDescent="0.15">
      <c r="B101" s="376" t="s">
        <v>712</v>
      </c>
      <c r="E101" s="369">
        <v>43222</v>
      </c>
      <c r="F101" s="369">
        <v>43439</v>
      </c>
      <c r="G101" s="369">
        <v>43472</v>
      </c>
      <c r="H101" s="369">
        <v>43501</v>
      </c>
      <c r="I101" s="369">
        <v>43529</v>
      </c>
      <c r="J101" s="369">
        <v>41805</v>
      </c>
    </row>
    <row r="102" spans="2:10" ht="12" customHeight="1" x14ac:dyDescent="0.15">
      <c r="B102" s="376" t="s">
        <v>726</v>
      </c>
      <c r="E102" s="106" t="s">
        <v>110</v>
      </c>
      <c r="F102" s="106" t="s">
        <v>110</v>
      </c>
      <c r="G102" s="106" t="s">
        <v>110</v>
      </c>
      <c r="H102" s="30" t="s">
        <v>110</v>
      </c>
      <c r="I102" s="106" t="s">
        <v>110</v>
      </c>
      <c r="J102" s="30" t="s">
        <v>110</v>
      </c>
    </row>
    <row r="103" spans="2:10" ht="12" customHeight="1" x14ac:dyDescent="0.15">
      <c r="B103" s="376" t="s">
        <v>727</v>
      </c>
      <c r="E103" s="106" t="s">
        <v>110</v>
      </c>
      <c r="F103" s="106" t="s">
        <v>110</v>
      </c>
      <c r="G103" s="106" t="s">
        <v>110</v>
      </c>
      <c r="H103" s="30" t="s">
        <v>736</v>
      </c>
      <c r="I103" s="106" t="s">
        <v>110</v>
      </c>
      <c r="J103" s="30" t="s">
        <v>110</v>
      </c>
    </row>
    <row r="104" spans="2:10" ht="12" customHeight="1" x14ac:dyDescent="0.15">
      <c r="B104" s="376" t="s">
        <v>353</v>
      </c>
      <c r="E104" s="106" t="s">
        <v>110</v>
      </c>
      <c r="F104" s="106" t="s">
        <v>110</v>
      </c>
      <c r="G104" s="106" t="s">
        <v>736</v>
      </c>
      <c r="H104" s="30" t="s">
        <v>736</v>
      </c>
      <c r="I104" s="106">
        <v>0.9</v>
      </c>
      <c r="J104" s="106">
        <v>3.1</v>
      </c>
    </row>
    <row r="105" spans="2:10" ht="12" customHeight="1" x14ac:dyDescent="0.15">
      <c r="B105" s="376" t="s">
        <v>357</v>
      </c>
      <c r="E105" s="106" t="s">
        <v>110</v>
      </c>
      <c r="F105" s="106" t="s">
        <v>110</v>
      </c>
      <c r="G105" s="106" t="s">
        <v>110</v>
      </c>
      <c r="H105" s="30" t="s">
        <v>110</v>
      </c>
      <c r="I105" s="106" t="s">
        <v>110</v>
      </c>
      <c r="J105" s="30" t="s">
        <v>110</v>
      </c>
    </row>
  </sheetData>
  <phoneticPr fontId="8"/>
  <pageMargins left="0.7" right="0.7" top="0.75" bottom="0.75" header="0.3" footer="0.3"/>
  <pageSetup paperSize="9" orientation="portrait" horizontalDpi="0"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X356"/>
  <sheetViews>
    <sheetView zoomScale="75" zoomScaleNormal="75" workbookViewId="0">
      <selection activeCell="W6" sqref="W6"/>
    </sheetView>
  </sheetViews>
  <sheetFormatPr defaultColWidth="4.625" defaultRowHeight="9.9499999999999993" customHeight="1" x14ac:dyDescent="0.15"/>
  <cols>
    <col min="1" max="1" width="2.875" style="1" customWidth="1"/>
    <col min="2" max="2" width="6.75" style="1" customWidth="1"/>
    <col min="3" max="4" width="5.375" style="1"/>
    <col min="5" max="5" width="13.625" style="1" customWidth="1"/>
    <col min="6" max="6" width="5.5" style="1" customWidth="1"/>
    <col min="7" max="7" width="6" style="1" customWidth="1"/>
    <col min="8" max="9" width="5.375" style="1"/>
    <col min="10" max="11" width="5.375" style="1" customWidth="1"/>
    <col min="12" max="12" width="5.375" style="1"/>
    <col min="13" max="13" width="5.625" style="1" customWidth="1"/>
    <col min="14" max="17" width="5.375" style="1"/>
    <col min="18" max="18" width="5.875" style="1" customWidth="1"/>
    <col min="19" max="22" width="5.375" style="1"/>
    <col min="23" max="23" width="5.5" style="1" customWidth="1"/>
    <col min="24" max="27" width="5.375" style="1"/>
    <col min="28" max="28" width="5.5" style="1" customWidth="1"/>
    <col min="29" max="40" width="5.375" style="1"/>
    <col min="41" max="41" width="6.375" style="1" customWidth="1"/>
    <col min="42" max="16384" width="4.625" style="1"/>
  </cols>
  <sheetData>
    <row r="1" spans="1:50" ht="9.9499999999999993" customHeight="1" x14ac:dyDescent="0.15">
      <c r="A1" s="257"/>
      <c r="B1" s="257"/>
      <c r="C1" s="257"/>
      <c r="D1" s="257"/>
      <c r="E1" s="257"/>
      <c r="F1" s="257"/>
      <c r="G1" s="257"/>
      <c r="H1" s="257"/>
      <c r="I1" s="257"/>
      <c r="J1" s="257"/>
      <c r="K1" s="257"/>
      <c r="L1" s="257"/>
      <c r="M1" s="257"/>
      <c r="N1" s="257"/>
      <c r="O1" s="257"/>
      <c r="P1" s="257"/>
      <c r="Q1" s="257"/>
      <c r="R1" s="257"/>
      <c r="S1" s="257"/>
      <c r="U1" s="257"/>
      <c r="V1" s="257"/>
      <c r="W1" s="257"/>
      <c r="X1" s="257"/>
      <c r="Y1" s="257"/>
      <c r="Z1" s="257"/>
      <c r="AA1" s="257"/>
    </row>
    <row r="2" spans="1:50" ht="9.9499999999999993" customHeight="1" x14ac:dyDescent="0.15">
      <c r="A2" s="257"/>
      <c r="B2" s="258" t="s">
        <v>226</v>
      </c>
      <c r="C2" s="258"/>
      <c r="D2" s="258"/>
      <c r="E2" s="258" t="s">
        <v>227</v>
      </c>
      <c r="F2" s="258"/>
      <c r="G2" s="258"/>
      <c r="H2" s="258"/>
      <c r="I2" s="258"/>
      <c r="J2" s="258"/>
      <c r="K2" s="258"/>
      <c r="L2" s="258"/>
      <c r="M2" s="258"/>
      <c r="N2" s="258" t="s">
        <v>228</v>
      </c>
      <c r="O2" s="258"/>
      <c r="P2" s="258"/>
      <c r="Q2" s="258"/>
      <c r="R2" s="258"/>
      <c r="S2" s="258"/>
      <c r="T2" s="258"/>
      <c r="U2" s="258"/>
      <c r="V2" s="258"/>
      <c r="W2" s="8"/>
      <c r="X2" s="8"/>
      <c r="Y2" s="8"/>
      <c r="Z2" s="8"/>
      <c r="AA2" s="8"/>
    </row>
    <row r="3" spans="1:50" ht="9.9499999999999993" customHeight="1" x14ac:dyDescent="0.15">
      <c r="A3" s="257"/>
      <c r="B3" s="257" t="s">
        <v>229</v>
      </c>
      <c r="C3" s="257"/>
      <c r="D3" s="257"/>
      <c r="E3" s="257"/>
      <c r="F3" s="257"/>
      <c r="G3" s="257"/>
      <c r="H3" s="257"/>
      <c r="I3" s="257"/>
      <c r="J3" s="257"/>
      <c r="K3" s="257"/>
      <c r="L3" s="257"/>
      <c r="M3" s="257" t="s">
        <v>230</v>
      </c>
      <c r="N3" s="257"/>
      <c r="O3" s="257"/>
      <c r="P3" s="257"/>
      <c r="Q3" s="257"/>
      <c r="R3" s="257"/>
      <c r="S3" s="257"/>
      <c r="T3" s="8"/>
      <c r="U3" s="8"/>
      <c r="V3" s="8"/>
      <c r="W3" s="8"/>
      <c r="X3" s="8"/>
      <c r="Y3" s="8"/>
      <c r="Z3" s="8"/>
      <c r="AA3" s="8"/>
      <c r="AB3" s="257"/>
      <c r="AC3" s="257"/>
      <c r="AD3" s="257"/>
      <c r="AE3" s="257"/>
      <c r="AF3" s="257"/>
      <c r="AG3" s="257"/>
      <c r="AH3" s="257"/>
      <c r="AI3" s="257"/>
      <c r="AJ3" s="257"/>
      <c r="AK3" s="257"/>
      <c r="AL3" s="257"/>
      <c r="AM3" s="257"/>
      <c r="AN3" s="257"/>
      <c r="AO3" s="257"/>
      <c r="AP3" s="257"/>
      <c r="AQ3" s="257"/>
      <c r="AR3" s="257"/>
      <c r="AS3" s="257"/>
      <c r="AT3" s="257"/>
      <c r="AU3" s="257"/>
      <c r="AV3" s="257"/>
      <c r="AW3" s="257"/>
      <c r="AX3" s="257"/>
    </row>
    <row r="4" spans="1:50" ht="9.9499999999999993" customHeight="1" x14ac:dyDescent="0.15">
      <c r="B4" s="3" t="s">
        <v>231</v>
      </c>
      <c r="C4" s="3" t="s">
        <v>232</v>
      </c>
      <c r="D4" s="3" t="s">
        <v>233</v>
      </c>
      <c r="E4" s="3" t="s">
        <v>234</v>
      </c>
      <c r="F4" s="3" t="s">
        <v>235</v>
      </c>
      <c r="G4" s="259" t="s">
        <v>236</v>
      </c>
      <c r="H4" s="260"/>
      <c r="I4" s="260"/>
      <c r="J4" s="260"/>
      <c r="K4" s="261"/>
      <c r="L4" s="262"/>
      <c r="M4" s="3" t="s">
        <v>237</v>
      </c>
      <c r="N4" s="263">
        <v>43241</v>
      </c>
      <c r="O4" s="263">
        <v>43242</v>
      </c>
      <c r="P4" s="263">
        <v>43243</v>
      </c>
      <c r="Q4" s="263">
        <v>43244</v>
      </c>
      <c r="R4" s="263">
        <v>43245</v>
      </c>
      <c r="S4" s="8"/>
      <c r="T4" s="8"/>
      <c r="U4" s="8"/>
      <c r="V4" s="8"/>
      <c r="W4" s="8"/>
      <c r="X4" s="8"/>
      <c r="Y4" s="8"/>
      <c r="Z4" s="8"/>
      <c r="AA4" s="8"/>
      <c r="AP4" s="257"/>
      <c r="AQ4" s="257"/>
    </row>
    <row r="5" spans="1:50" ht="9.9499999999999993" customHeight="1" x14ac:dyDescent="0.15">
      <c r="B5" s="5"/>
      <c r="C5" s="5"/>
      <c r="D5" s="5"/>
      <c r="E5" s="5"/>
      <c r="F5" s="5"/>
      <c r="G5" s="263">
        <v>43241</v>
      </c>
      <c r="H5" s="263">
        <v>43242</v>
      </c>
      <c r="I5" s="263">
        <v>43243</v>
      </c>
      <c r="J5" s="263">
        <v>43244</v>
      </c>
      <c r="K5" s="263">
        <v>43245</v>
      </c>
      <c r="L5" s="5"/>
      <c r="M5" s="7"/>
      <c r="N5" s="264">
        <v>43241</v>
      </c>
      <c r="O5" s="264">
        <v>43242</v>
      </c>
      <c r="P5" s="264">
        <v>43243</v>
      </c>
      <c r="Q5" s="264">
        <v>43244</v>
      </c>
      <c r="R5" s="264">
        <v>43245</v>
      </c>
      <c r="S5" s="8"/>
      <c r="T5" s="8"/>
      <c r="U5" s="8"/>
      <c r="V5" s="8"/>
      <c r="W5" s="8"/>
      <c r="X5" s="8"/>
      <c r="Y5" s="8"/>
      <c r="Z5" s="8"/>
      <c r="AA5" s="8"/>
      <c r="AP5" s="257"/>
      <c r="AQ5" s="257"/>
    </row>
    <row r="6" spans="1:50" ht="9.9499999999999993" customHeight="1" x14ac:dyDescent="0.15">
      <c r="B6" s="7"/>
      <c r="C6" s="7"/>
      <c r="D6" s="7"/>
      <c r="E6" s="7"/>
      <c r="F6" s="5"/>
      <c r="G6" s="264">
        <v>43241</v>
      </c>
      <c r="H6" s="264">
        <v>43242</v>
      </c>
      <c r="I6" s="264">
        <v>43243</v>
      </c>
      <c r="J6" s="264">
        <v>43244</v>
      </c>
      <c r="K6" s="264">
        <v>43245</v>
      </c>
      <c r="L6" s="5"/>
      <c r="M6" s="2" t="s">
        <v>238</v>
      </c>
      <c r="N6" s="265">
        <v>4.5999999999999999E-2</v>
      </c>
      <c r="O6" s="265">
        <v>4.8000000000000001E-2</v>
      </c>
      <c r="P6" s="265">
        <v>4.9000000000000002E-2</v>
      </c>
      <c r="Q6" s="265">
        <v>0.04</v>
      </c>
      <c r="R6" s="265">
        <v>4.5999999999999999E-2</v>
      </c>
      <c r="S6" s="8"/>
      <c r="T6" s="8"/>
      <c r="U6" s="8"/>
      <c r="V6" s="8"/>
      <c r="W6" s="8"/>
      <c r="X6" s="8"/>
      <c r="Y6" s="8"/>
      <c r="Z6" s="8"/>
      <c r="AA6" s="8"/>
    </row>
    <row r="7" spans="1:50" ht="9.9499999999999993" customHeight="1" x14ac:dyDescent="0.15">
      <c r="B7" s="3" t="s">
        <v>239</v>
      </c>
      <c r="C7" s="266" t="s">
        <v>225</v>
      </c>
      <c r="D7" s="266" t="s">
        <v>240</v>
      </c>
      <c r="E7" s="267" t="s">
        <v>241</v>
      </c>
      <c r="F7" s="268"/>
      <c r="G7" s="269">
        <v>890</v>
      </c>
      <c r="H7" s="269">
        <v>990</v>
      </c>
      <c r="I7" s="269">
        <v>930</v>
      </c>
      <c r="J7" s="269">
        <v>980</v>
      </c>
      <c r="K7" s="269">
        <v>900</v>
      </c>
      <c r="L7" s="5"/>
      <c r="M7" s="2" t="s">
        <v>242</v>
      </c>
      <c r="N7" s="265">
        <v>4.8000000000000001E-2</v>
      </c>
      <c r="O7" s="265">
        <v>5.0999999999999997E-2</v>
      </c>
      <c r="P7" s="265">
        <v>5.2999999999999999E-2</v>
      </c>
      <c r="Q7" s="265">
        <v>5.3999999999999999E-2</v>
      </c>
      <c r="R7" s="265">
        <v>0.05</v>
      </c>
      <c r="S7" s="8"/>
      <c r="T7" s="8"/>
      <c r="U7" s="8"/>
      <c r="V7" s="8"/>
      <c r="W7" s="8"/>
      <c r="X7" s="8"/>
      <c r="Y7" s="8"/>
      <c r="Z7" s="8"/>
      <c r="AA7" s="8"/>
    </row>
    <row r="8" spans="1:50" ht="9.9499999999999993" customHeight="1" x14ac:dyDescent="0.15">
      <c r="B8" s="7"/>
      <c r="C8" s="7"/>
      <c r="D8" s="7"/>
      <c r="E8" s="7"/>
      <c r="F8" s="7"/>
      <c r="G8" s="270"/>
      <c r="H8" s="270"/>
      <c r="I8" s="270"/>
      <c r="J8" s="270"/>
      <c r="K8" s="271">
        <f>SUM(G7:K7)</f>
        <v>4690</v>
      </c>
      <c r="L8" s="272"/>
      <c r="M8" s="2" t="s">
        <v>243</v>
      </c>
      <c r="N8" s="265">
        <v>4.5999999999999999E-2</v>
      </c>
      <c r="O8" s="265">
        <v>5.1999999999999998E-2</v>
      </c>
      <c r="P8" s="265">
        <v>5.6000000000000001E-2</v>
      </c>
      <c r="Q8" s="265">
        <v>5.5E-2</v>
      </c>
      <c r="R8" s="265">
        <v>5.2999999999999999E-2</v>
      </c>
      <c r="S8" s="8"/>
      <c r="T8" s="8"/>
      <c r="U8" s="8"/>
      <c r="V8" s="8"/>
      <c r="W8" s="8"/>
      <c r="X8" s="8"/>
      <c r="Y8" s="8"/>
      <c r="Z8" s="8"/>
      <c r="AA8" s="8"/>
      <c r="AH8" s="273" t="s">
        <v>244</v>
      </c>
      <c r="AI8" s="8"/>
      <c r="AJ8" s="8"/>
      <c r="AK8" s="8"/>
      <c r="AL8" s="8"/>
      <c r="AM8" s="8"/>
      <c r="AN8" s="8"/>
      <c r="AO8" s="8"/>
      <c r="AP8" s="8"/>
      <c r="AQ8" s="8"/>
      <c r="AR8" s="8"/>
      <c r="AS8" s="8"/>
    </row>
    <row r="9" spans="1:50" ht="9.9499999999999993" customHeight="1" x14ac:dyDescent="0.15">
      <c r="B9" s="8"/>
      <c r="C9" s="8"/>
      <c r="D9" s="8"/>
      <c r="E9" s="8"/>
      <c r="F9" s="8"/>
      <c r="G9" s="8"/>
      <c r="H9" s="8"/>
      <c r="I9" s="8"/>
      <c r="J9" s="8"/>
      <c r="K9" s="8"/>
      <c r="L9" s="8"/>
      <c r="M9" s="2" t="s">
        <v>245</v>
      </c>
      <c r="N9" s="265">
        <v>4.5999999999999999E-2</v>
      </c>
      <c r="O9" s="265">
        <v>4.8000000000000001E-2</v>
      </c>
      <c r="P9" s="265">
        <v>4.7E-2</v>
      </c>
      <c r="Q9" s="265">
        <v>4.7E-2</v>
      </c>
      <c r="R9" s="265">
        <v>4.9000000000000002E-2</v>
      </c>
      <c r="S9" s="8"/>
      <c r="T9" s="8"/>
      <c r="U9" s="8"/>
      <c r="V9" s="8"/>
      <c r="W9" s="8"/>
      <c r="X9" s="8"/>
      <c r="Y9" s="8"/>
      <c r="Z9" s="8"/>
      <c r="AA9" s="8"/>
      <c r="AH9" s="273" t="s">
        <v>246</v>
      </c>
      <c r="AI9" s="8"/>
      <c r="AJ9" s="8"/>
      <c r="AK9" s="8"/>
      <c r="AL9" s="8"/>
      <c r="AM9" s="8"/>
      <c r="AN9" s="8"/>
      <c r="AO9" s="8"/>
      <c r="AP9" s="8"/>
      <c r="AQ9" s="8"/>
      <c r="AR9" s="8"/>
      <c r="AS9" s="8"/>
    </row>
    <row r="10" spans="1:50" ht="9.9499999999999993" customHeight="1" x14ac:dyDescent="0.15">
      <c r="B10" s="8" t="s">
        <v>247</v>
      </c>
      <c r="C10" s="8"/>
      <c r="D10" s="8"/>
      <c r="E10" s="8"/>
      <c r="F10" s="8"/>
      <c r="G10" s="8"/>
      <c r="H10" s="8"/>
      <c r="I10" s="8"/>
      <c r="J10" s="8"/>
      <c r="K10" s="8"/>
      <c r="L10" s="8"/>
      <c r="M10" s="274"/>
      <c r="N10" s="274"/>
      <c r="O10" s="274"/>
      <c r="P10" s="274"/>
      <c r="Q10" s="274"/>
      <c r="R10" s="274"/>
      <c r="S10" s="9"/>
      <c r="T10" s="9"/>
      <c r="U10" s="9"/>
      <c r="V10" s="9"/>
      <c r="W10" s="9"/>
      <c r="X10" s="9"/>
      <c r="Y10" s="9"/>
      <c r="Z10" s="9"/>
      <c r="AA10" s="275"/>
      <c r="AH10" s="273" t="s">
        <v>248</v>
      </c>
      <c r="AI10" s="8"/>
      <c r="AJ10" s="8"/>
      <c r="AK10" s="8"/>
      <c r="AL10" s="8"/>
      <c r="AM10" s="8"/>
      <c r="AN10" s="8"/>
      <c r="AO10" s="8"/>
      <c r="AP10" s="8"/>
      <c r="AQ10" s="8"/>
      <c r="AR10" s="8"/>
      <c r="AS10" s="8"/>
    </row>
    <row r="11" spans="1:50" ht="9.9499999999999993" customHeight="1" x14ac:dyDescent="0.15">
      <c r="B11" s="16"/>
      <c r="C11" s="3" t="s">
        <v>249</v>
      </c>
      <c r="D11" s="586" t="s">
        <v>250</v>
      </c>
      <c r="E11" s="276" t="s">
        <v>251</v>
      </c>
      <c r="F11" s="3" t="s">
        <v>252</v>
      </c>
      <c r="G11" s="259"/>
      <c r="H11" s="260"/>
      <c r="I11" s="260"/>
      <c r="J11" s="260"/>
      <c r="K11" s="260"/>
      <c r="L11" s="260"/>
      <c r="M11" s="260"/>
      <c r="N11" s="260"/>
      <c r="O11" s="260"/>
      <c r="P11" s="260" t="s">
        <v>253</v>
      </c>
      <c r="Q11" s="277"/>
      <c r="R11" s="260"/>
      <c r="S11" s="260"/>
      <c r="T11" s="260"/>
      <c r="U11" s="260"/>
      <c r="V11" s="260"/>
      <c r="W11" s="260"/>
      <c r="X11" s="260"/>
      <c r="Y11" s="260"/>
      <c r="Z11" s="260"/>
      <c r="AA11" s="261"/>
      <c r="AH11" s="278"/>
      <c r="AI11" s="9"/>
      <c r="AJ11" s="9"/>
      <c r="AK11" s="9"/>
      <c r="AL11" s="9"/>
      <c r="AM11" s="9"/>
      <c r="AN11" s="9"/>
      <c r="AO11" s="9"/>
      <c r="AP11" s="9"/>
      <c r="AQ11" s="9"/>
      <c r="AR11" s="8"/>
      <c r="AS11" s="279"/>
    </row>
    <row r="12" spans="1:50" ht="9.9499999999999993" customHeight="1" x14ac:dyDescent="0.15">
      <c r="B12" s="5"/>
      <c r="C12" s="5"/>
      <c r="D12" s="587"/>
      <c r="E12" s="5"/>
      <c r="F12" s="588" t="s">
        <v>254</v>
      </c>
      <c r="G12" s="259" t="s">
        <v>255</v>
      </c>
      <c r="H12" s="260"/>
      <c r="I12" s="260"/>
      <c r="J12" s="260"/>
      <c r="K12" s="260"/>
      <c r="L12" s="261"/>
      <c r="M12" s="10" t="s">
        <v>256</v>
      </c>
      <c r="N12" s="280"/>
      <c r="O12" s="280"/>
      <c r="P12" s="280"/>
      <c r="Q12" s="281"/>
      <c r="R12" s="282" t="s">
        <v>257</v>
      </c>
      <c r="S12" s="280"/>
      <c r="T12" s="280"/>
      <c r="U12" s="280"/>
      <c r="V12" s="281"/>
      <c r="W12" s="282" t="s">
        <v>258</v>
      </c>
      <c r="X12" s="280"/>
      <c r="Y12" s="280"/>
      <c r="Z12" s="280"/>
      <c r="AA12" s="281"/>
      <c r="AH12" s="259" t="s">
        <v>259</v>
      </c>
      <c r="AI12" s="260"/>
      <c r="AJ12" s="261"/>
      <c r="AK12" s="259" t="s">
        <v>260</v>
      </c>
      <c r="AL12" s="261"/>
      <c r="AM12" s="2" t="s">
        <v>233</v>
      </c>
      <c r="AN12" s="259" t="s">
        <v>261</v>
      </c>
      <c r="AO12" s="261"/>
      <c r="AP12" s="259" t="s">
        <v>262</v>
      </c>
      <c r="AQ12" s="261"/>
      <c r="AR12" s="283"/>
      <c r="AS12" s="284"/>
    </row>
    <row r="13" spans="1:50" ht="9.9499999999999993" customHeight="1" x14ac:dyDescent="0.15">
      <c r="B13" s="5"/>
      <c r="C13" s="5"/>
      <c r="D13" s="587"/>
      <c r="E13" s="5"/>
      <c r="F13" s="589"/>
      <c r="G13" s="10" t="s">
        <v>263</v>
      </c>
      <c r="H13" s="280"/>
      <c r="I13" s="280"/>
      <c r="J13" s="280"/>
      <c r="K13" s="280"/>
      <c r="L13" s="280"/>
      <c r="M13" s="10"/>
      <c r="N13" s="280"/>
      <c r="O13" s="280"/>
      <c r="P13" s="280"/>
      <c r="Q13" s="281"/>
      <c r="R13" s="282"/>
      <c r="S13" s="280"/>
      <c r="T13" s="280"/>
      <c r="U13" s="280"/>
      <c r="V13" s="281"/>
      <c r="W13" s="280"/>
      <c r="X13" s="280"/>
      <c r="Y13" s="280"/>
      <c r="Z13" s="280"/>
      <c r="AA13" s="281"/>
      <c r="AH13" s="259" t="s">
        <v>239</v>
      </c>
      <c r="AI13" s="260"/>
      <c r="AJ13" s="261"/>
      <c r="AK13" s="259" t="s">
        <v>225</v>
      </c>
      <c r="AL13" s="261"/>
      <c r="AM13" s="2" t="s">
        <v>240</v>
      </c>
      <c r="AN13" s="259" t="s">
        <v>264</v>
      </c>
      <c r="AO13" s="261"/>
      <c r="AP13" s="259" t="s">
        <v>265</v>
      </c>
      <c r="AQ13" s="261"/>
      <c r="AR13" s="285"/>
      <c r="AS13" s="286"/>
    </row>
    <row r="14" spans="1:50" ht="9.9499999999999993" customHeight="1" x14ac:dyDescent="0.15">
      <c r="B14" s="5"/>
      <c r="C14" s="5"/>
      <c r="D14" s="5"/>
      <c r="E14" s="5"/>
      <c r="F14" s="589"/>
      <c r="G14" s="13"/>
      <c r="H14" s="273" t="s">
        <v>266</v>
      </c>
      <c r="I14" s="15"/>
      <c r="J14" s="15"/>
      <c r="K14" s="15"/>
      <c r="L14" s="8"/>
      <c r="M14" s="287" t="s">
        <v>267</v>
      </c>
      <c r="N14" s="8"/>
      <c r="O14" s="8"/>
      <c r="P14" s="8"/>
      <c r="Q14" s="14"/>
      <c r="R14" s="8"/>
      <c r="S14" s="8"/>
      <c r="T14" s="8"/>
      <c r="U14" s="8"/>
      <c r="V14" s="14"/>
      <c r="W14" s="8"/>
      <c r="X14" s="8"/>
      <c r="Y14" s="8"/>
      <c r="Z14" s="8"/>
      <c r="AA14" s="14"/>
      <c r="AH14" s="288" t="s">
        <v>268</v>
      </c>
      <c r="AI14" s="260"/>
      <c r="AJ14" s="260"/>
      <c r="AK14" s="260"/>
      <c r="AL14" s="260"/>
      <c r="AM14" s="260"/>
      <c r="AN14" s="260"/>
      <c r="AO14" s="260"/>
      <c r="AP14" s="260"/>
      <c r="AQ14" s="260"/>
      <c r="AR14" s="260"/>
      <c r="AS14" s="289"/>
    </row>
    <row r="15" spans="1:50" ht="9.9499999999999993" customHeight="1" x14ac:dyDescent="0.15">
      <c r="B15" s="590" t="s">
        <v>269</v>
      </c>
      <c r="C15" s="290">
        <v>0.23</v>
      </c>
      <c r="D15" s="592" t="s">
        <v>270</v>
      </c>
      <c r="E15" s="3" t="s">
        <v>237</v>
      </c>
      <c r="F15" s="263">
        <v>43234</v>
      </c>
      <c r="G15" s="263">
        <v>43241</v>
      </c>
      <c r="H15" s="263">
        <v>43242</v>
      </c>
      <c r="I15" s="263">
        <v>43243</v>
      </c>
      <c r="J15" s="263">
        <v>43244</v>
      </c>
      <c r="K15" s="263">
        <v>43245</v>
      </c>
      <c r="L15" s="263">
        <v>43246</v>
      </c>
      <c r="M15" s="263">
        <v>43248</v>
      </c>
      <c r="N15" s="263">
        <v>43249</v>
      </c>
      <c r="O15" s="263">
        <v>43250</v>
      </c>
      <c r="P15" s="263">
        <v>43251</v>
      </c>
      <c r="Q15" s="263">
        <v>43252</v>
      </c>
      <c r="R15" s="263">
        <v>43253</v>
      </c>
      <c r="S15" s="263">
        <v>43254</v>
      </c>
      <c r="T15" s="263">
        <v>43255</v>
      </c>
      <c r="U15" s="263">
        <v>43256</v>
      </c>
      <c r="V15" s="263">
        <v>43257</v>
      </c>
      <c r="W15" s="263">
        <v>43258</v>
      </c>
      <c r="X15" s="263">
        <v>43259</v>
      </c>
      <c r="Y15" s="263">
        <v>43260</v>
      </c>
      <c r="Z15" s="263">
        <v>43261</v>
      </c>
      <c r="AA15" s="263">
        <v>43262</v>
      </c>
      <c r="AH15" s="291"/>
      <c r="AI15" s="260"/>
      <c r="AJ15" s="260"/>
      <c r="AK15" s="261"/>
      <c r="AL15" s="259" t="s">
        <v>271</v>
      </c>
      <c r="AM15" s="260"/>
      <c r="AN15" s="261"/>
      <c r="AO15" s="259" t="s">
        <v>272</v>
      </c>
      <c r="AP15" s="261"/>
      <c r="AQ15" s="259" t="s">
        <v>273</v>
      </c>
      <c r="AR15" s="2" t="s">
        <v>274</v>
      </c>
      <c r="AS15" s="2" t="s">
        <v>275</v>
      </c>
    </row>
    <row r="16" spans="1:50" ht="9.9499999999999993" customHeight="1" x14ac:dyDescent="0.15">
      <c r="B16" s="591"/>
      <c r="C16" s="292"/>
      <c r="D16" s="593"/>
      <c r="E16" s="7"/>
      <c r="F16" s="293" t="s">
        <v>276</v>
      </c>
      <c r="G16" s="293" t="s">
        <v>276</v>
      </c>
      <c r="H16" s="293" t="s">
        <v>277</v>
      </c>
      <c r="I16" s="293" t="s">
        <v>278</v>
      </c>
      <c r="J16" s="293" t="s">
        <v>279</v>
      </c>
      <c r="K16" s="293" t="s">
        <v>280</v>
      </c>
      <c r="L16" s="293" t="s">
        <v>281</v>
      </c>
      <c r="M16" s="293" t="s">
        <v>276</v>
      </c>
      <c r="N16" s="293" t="s">
        <v>277</v>
      </c>
      <c r="O16" s="293" t="s">
        <v>278</v>
      </c>
      <c r="P16" s="293" t="s">
        <v>279</v>
      </c>
      <c r="Q16" s="293" t="s">
        <v>280</v>
      </c>
      <c r="R16" s="293" t="s">
        <v>276</v>
      </c>
      <c r="S16" s="293" t="s">
        <v>277</v>
      </c>
      <c r="T16" s="293" t="s">
        <v>278</v>
      </c>
      <c r="U16" s="293" t="s">
        <v>279</v>
      </c>
      <c r="V16" s="293" t="s">
        <v>280</v>
      </c>
      <c r="W16" s="293" t="s">
        <v>276</v>
      </c>
      <c r="X16" s="293" t="s">
        <v>277</v>
      </c>
      <c r="Y16" s="293" t="s">
        <v>278</v>
      </c>
      <c r="Z16" s="293" t="s">
        <v>279</v>
      </c>
      <c r="AA16" s="293" t="s">
        <v>280</v>
      </c>
      <c r="AH16" s="10" t="s">
        <v>282</v>
      </c>
      <c r="AI16" s="281"/>
      <c r="AJ16" s="10" t="s">
        <v>283</v>
      </c>
      <c r="AK16" s="281"/>
      <c r="AL16" s="594" t="s">
        <v>284</v>
      </c>
      <c r="AM16" s="595"/>
      <c r="AN16" s="596"/>
      <c r="AO16" s="294">
        <v>43245</v>
      </c>
      <c r="AP16" s="281"/>
      <c r="AQ16" s="10" t="s">
        <v>110</v>
      </c>
      <c r="AR16" s="3" t="s">
        <v>110</v>
      </c>
      <c r="AS16" s="3" t="s">
        <v>110</v>
      </c>
    </row>
    <row r="17" spans="1:50" ht="9.9499999999999993" customHeight="1" x14ac:dyDescent="0.15">
      <c r="B17" s="591"/>
      <c r="C17" s="292"/>
      <c r="D17" s="593"/>
      <c r="E17" s="2" t="s">
        <v>285</v>
      </c>
      <c r="F17" s="265">
        <v>4.8000000000000001E-2</v>
      </c>
      <c r="G17" s="265">
        <v>4.2000000000000003E-2</v>
      </c>
      <c r="H17" s="265">
        <v>4.2000000000000003E-2</v>
      </c>
      <c r="I17" s="265">
        <v>5.3999999999999999E-2</v>
      </c>
      <c r="J17" s="265">
        <v>4.8000000000000001E-2</v>
      </c>
      <c r="K17" s="265">
        <v>4.8000000000000001E-2</v>
      </c>
      <c r="L17" s="265">
        <v>4.8000000000000001E-2</v>
      </c>
      <c r="M17" s="265">
        <v>4.8000000000000001E-2</v>
      </c>
      <c r="N17" s="265">
        <v>4.8000000000000001E-2</v>
      </c>
      <c r="O17" s="265">
        <v>5.3999999999999999E-2</v>
      </c>
      <c r="P17" s="265">
        <v>4.2000000000000003E-2</v>
      </c>
      <c r="Q17" s="265">
        <v>3.5999999999999997E-2</v>
      </c>
      <c r="R17" s="265">
        <v>4.8000000000000001E-2</v>
      </c>
      <c r="S17" s="265">
        <v>4.2000000000000003E-2</v>
      </c>
      <c r="T17" s="265">
        <v>3.5999999999999997E-2</v>
      </c>
      <c r="U17" s="265">
        <v>4.8000000000000001E-2</v>
      </c>
      <c r="V17" s="265">
        <v>4.9000000000000002E-2</v>
      </c>
      <c r="W17" s="265">
        <v>3.5999999999999997E-2</v>
      </c>
      <c r="X17" s="265">
        <v>4.2000000000000003E-2</v>
      </c>
      <c r="Y17" s="265">
        <v>4.2000000000000003E-2</v>
      </c>
      <c r="Z17" s="265">
        <v>5.3999999999999999E-2</v>
      </c>
      <c r="AA17" s="265">
        <v>4.2000000000000003E-2</v>
      </c>
      <c r="AH17" s="13"/>
      <c r="AI17" s="14"/>
      <c r="AJ17" s="11"/>
      <c r="AK17" s="12"/>
      <c r="AL17" s="597"/>
      <c r="AM17" s="598"/>
      <c r="AN17" s="599"/>
      <c r="AO17" s="11"/>
      <c r="AP17" s="12"/>
      <c r="AQ17" s="11"/>
      <c r="AR17" s="7"/>
      <c r="AS17" s="7"/>
    </row>
    <row r="18" spans="1:50" ht="9.9499999999999993" customHeight="1" x14ac:dyDescent="0.15">
      <c r="B18" s="591"/>
      <c r="C18" s="292"/>
      <c r="D18" s="593"/>
      <c r="E18" s="2" t="s">
        <v>286</v>
      </c>
      <c r="F18" s="265">
        <v>3.2000000000000001E-2</v>
      </c>
      <c r="G18" s="265">
        <v>0.04</v>
      </c>
      <c r="H18" s="265">
        <v>4.5999999999999999E-2</v>
      </c>
      <c r="I18" s="265">
        <v>4.1000000000000002E-2</v>
      </c>
      <c r="J18" s="265">
        <v>4.2999999999999997E-2</v>
      </c>
      <c r="K18" s="265">
        <v>4.1000000000000002E-2</v>
      </c>
      <c r="L18" s="265">
        <v>4.2000000000000003E-2</v>
      </c>
      <c r="M18" s="265">
        <v>0.04</v>
      </c>
      <c r="N18" s="265">
        <v>4.1000000000000002E-2</v>
      </c>
      <c r="O18" s="265">
        <v>4.4999999999999998E-2</v>
      </c>
      <c r="P18" s="265">
        <v>4.3999999999999997E-2</v>
      </c>
      <c r="Q18" s="265">
        <v>4.4999999999999998E-2</v>
      </c>
      <c r="R18" s="265">
        <v>4.2000000000000003E-2</v>
      </c>
      <c r="S18" s="265">
        <v>4.2999999999999997E-2</v>
      </c>
      <c r="T18" s="265">
        <v>4.2000000000000003E-2</v>
      </c>
      <c r="U18" s="265">
        <v>0.04</v>
      </c>
      <c r="V18" s="265">
        <v>4.1000000000000002E-2</v>
      </c>
      <c r="W18" s="265">
        <v>4.2999999999999997E-2</v>
      </c>
      <c r="X18" s="265">
        <v>4.2999999999999997E-2</v>
      </c>
      <c r="Y18" s="265">
        <v>3.9E-2</v>
      </c>
      <c r="Z18" s="265">
        <v>0.04</v>
      </c>
      <c r="AA18" s="265">
        <v>0.04</v>
      </c>
      <c r="AH18" s="11"/>
      <c r="AI18" s="12"/>
      <c r="AJ18" s="259" t="s">
        <v>287</v>
      </c>
      <c r="AK18" s="261"/>
      <c r="AL18" s="11" t="s">
        <v>288</v>
      </c>
      <c r="AM18" s="9"/>
      <c r="AN18" s="12"/>
      <c r="AO18" s="295">
        <v>43245</v>
      </c>
      <c r="AP18" s="261"/>
      <c r="AQ18" s="259" t="s">
        <v>110</v>
      </c>
      <c r="AR18" s="2" t="s">
        <v>110</v>
      </c>
      <c r="AS18" s="2" t="s">
        <v>110</v>
      </c>
    </row>
    <row r="19" spans="1:50" ht="9.9499999999999993" customHeight="1" x14ac:dyDescent="0.15">
      <c r="B19" s="591"/>
      <c r="C19" s="292"/>
      <c r="D19" s="5"/>
      <c r="E19" s="2" t="s">
        <v>289</v>
      </c>
      <c r="F19" s="265">
        <v>4.2999999999999997E-2</v>
      </c>
      <c r="G19" s="265">
        <v>4.2999999999999997E-2</v>
      </c>
      <c r="H19" s="265">
        <v>3.9E-2</v>
      </c>
      <c r="I19" s="265">
        <v>4.2999999999999997E-2</v>
      </c>
      <c r="J19" s="265">
        <v>4.4999999999999998E-2</v>
      </c>
      <c r="K19" s="265">
        <v>4.3999999999999997E-2</v>
      </c>
      <c r="L19" s="265">
        <v>3.9E-2</v>
      </c>
      <c r="M19" s="265">
        <v>5.0999999999999997E-2</v>
      </c>
      <c r="N19" s="265">
        <v>4.3999999999999997E-2</v>
      </c>
      <c r="O19" s="265">
        <v>4.2000000000000003E-2</v>
      </c>
      <c r="P19" s="265">
        <v>4.2000000000000003E-2</v>
      </c>
      <c r="Q19" s="265">
        <v>4.3999999999999997E-2</v>
      </c>
      <c r="R19" s="265">
        <v>4.5999999999999999E-2</v>
      </c>
      <c r="S19" s="265">
        <v>4.5999999999999999E-2</v>
      </c>
      <c r="T19" s="265">
        <v>4.1000000000000002E-2</v>
      </c>
      <c r="U19" s="265">
        <v>4.5999999999999999E-2</v>
      </c>
      <c r="V19" s="265">
        <v>4.5999999999999999E-2</v>
      </c>
      <c r="W19" s="265">
        <v>4.4999999999999998E-2</v>
      </c>
      <c r="X19" s="265">
        <v>0.04</v>
      </c>
      <c r="Y19" s="265">
        <v>0.04</v>
      </c>
      <c r="Z19" s="265">
        <v>4.2999999999999997E-2</v>
      </c>
      <c r="AA19" s="265">
        <v>0.04</v>
      </c>
      <c r="AH19" s="288" t="s">
        <v>290</v>
      </c>
      <c r="AI19" s="260"/>
      <c r="AJ19" s="260"/>
      <c r="AK19" s="260"/>
      <c r="AL19" s="260"/>
      <c r="AM19" s="260"/>
      <c r="AN19" s="260"/>
      <c r="AO19" s="260"/>
      <c r="AP19" s="260"/>
      <c r="AQ19" s="260"/>
      <c r="AR19" s="260"/>
      <c r="AS19" s="261"/>
    </row>
    <row r="20" spans="1:50" ht="9.9499999999999993" customHeight="1" x14ac:dyDescent="0.15">
      <c r="B20" s="591"/>
      <c r="C20" s="292"/>
      <c r="D20" s="5"/>
      <c r="E20" s="2" t="s">
        <v>291</v>
      </c>
      <c r="F20" s="265">
        <v>3.9E-2</v>
      </c>
      <c r="G20" s="265">
        <v>4.1000000000000002E-2</v>
      </c>
      <c r="H20" s="265">
        <v>3.9E-2</v>
      </c>
      <c r="I20" s="265">
        <v>4.2000000000000003E-2</v>
      </c>
      <c r="J20" s="265">
        <v>3.5999999999999997E-2</v>
      </c>
      <c r="K20" s="265">
        <v>3.5000000000000003E-2</v>
      </c>
      <c r="L20" s="265">
        <v>3.9E-2</v>
      </c>
      <c r="M20" s="265">
        <v>0.04</v>
      </c>
      <c r="N20" s="265">
        <v>3.9E-2</v>
      </c>
      <c r="O20" s="265">
        <v>3.6999999999999998E-2</v>
      </c>
      <c r="P20" s="265">
        <v>4.2999999999999997E-2</v>
      </c>
      <c r="Q20" s="265">
        <v>3.5000000000000003E-2</v>
      </c>
      <c r="R20" s="265">
        <v>4.2999999999999997E-2</v>
      </c>
      <c r="S20" s="265">
        <v>0.04</v>
      </c>
      <c r="T20" s="265">
        <v>3.7999999999999999E-2</v>
      </c>
      <c r="U20" s="265">
        <v>3.5999999999999997E-2</v>
      </c>
      <c r="V20" s="265">
        <v>3.7999999999999999E-2</v>
      </c>
      <c r="W20" s="265">
        <v>4.5999999999999999E-2</v>
      </c>
      <c r="X20" s="265">
        <v>3.6999999999999998E-2</v>
      </c>
      <c r="Y20" s="265">
        <v>3.3000000000000002E-2</v>
      </c>
      <c r="Z20" s="265">
        <v>4.1000000000000002E-2</v>
      </c>
      <c r="AA20" s="265">
        <v>4.1000000000000002E-2</v>
      </c>
      <c r="AH20" s="259" t="s">
        <v>292</v>
      </c>
      <c r="AI20" s="260"/>
      <c r="AJ20" s="260"/>
      <c r="AK20" s="261"/>
      <c r="AL20" s="296" t="s">
        <v>293</v>
      </c>
      <c r="AM20" s="280"/>
      <c r="AN20" s="281"/>
      <c r="AO20" s="297" t="s">
        <v>294</v>
      </c>
      <c r="AP20" s="261"/>
      <c r="AQ20" s="298">
        <v>373</v>
      </c>
      <c r="AR20" s="299" t="s">
        <v>295</v>
      </c>
      <c r="AS20" s="22" t="s">
        <v>296</v>
      </c>
    </row>
    <row r="21" spans="1:50" ht="9.9499999999999993" customHeight="1" x14ac:dyDescent="0.15">
      <c r="B21" s="5"/>
      <c r="C21" s="292"/>
      <c r="D21" s="5"/>
      <c r="E21" s="2" t="s">
        <v>297</v>
      </c>
      <c r="F21" s="265">
        <v>4.8000000000000001E-2</v>
      </c>
      <c r="G21" s="265">
        <v>4.7E-2</v>
      </c>
      <c r="H21" s="265">
        <v>4.4999999999999998E-2</v>
      </c>
      <c r="I21" s="265">
        <v>0.05</v>
      </c>
      <c r="J21" s="265">
        <v>4.4999999999999998E-2</v>
      </c>
      <c r="K21" s="265">
        <v>4.5999999999999999E-2</v>
      </c>
      <c r="L21" s="265">
        <v>4.1000000000000002E-2</v>
      </c>
      <c r="M21" s="265">
        <v>4.4999999999999998E-2</v>
      </c>
      <c r="N21" s="265">
        <v>4.3999999999999997E-2</v>
      </c>
      <c r="O21" s="265">
        <v>4.3999999999999997E-2</v>
      </c>
      <c r="P21" s="265">
        <v>4.2999999999999997E-2</v>
      </c>
      <c r="Q21" s="265">
        <v>4.3999999999999997E-2</v>
      </c>
      <c r="R21" s="265">
        <v>4.5999999999999999E-2</v>
      </c>
      <c r="S21" s="265">
        <v>4.2000000000000003E-2</v>
      </c>
      <c r="T21" s="265">
        <v>0.05</v>
      </c>
      <c r="U21" s="265">
        <v>4.8000000000000001E-2</v>
      </c>
      <c r="V21" s="265">
        <v>4.8000000000000001E-2</v>
      </c>
      <c r="W21" s="265">
        <v>5.3999999999999999E-2</v>
      </c>
      <c r="X21" s="265">
        <v>4.2999999999999997E-2</v>
      </c>
      <c r="Y21" s="265">
        <v>4.1000000000000002E-2</v>
      </c>
      <c r="Z21" s="265">
        <v>4.5999999999999999E-2</v>
      </c>
      <c r="AA21" s="265">
        <v>4.2000000000000003E-2</v>
      </c>
      <c r="AH21" s="259" t="s">
        <v>298</v>
      </c>
      <c r="AI21" s="260"/>
      <c r="AJ21" s="260"/>
      <c r="AK21" s="261"/>
      <c r="AL21" s="300" t="s">
        <v>299</v>
      </c>
      <c r="AM21" s="9"/>
      <c r="AN21" s="12"/>
      <c r="AO21" s="297" t="s">
        <v>294</v>
      </c>
      <c r="AP21" s="261"/>
      <c r="AQ21" s="298">
        <v>110</v>
      </c>
      <c r="AR21" s="2" t="s">
        <v>300</v>
      </c>
      <c r="AS21" s="2" t="s">
        <v>301</v>
      </c>
    </row>
    <row r="22" spans="1:50" ht="9.9499999999999993" customHeight="1" x14ac:dyDescent="0.15">
      <c r="B22" s="7"/>
      <c r="C22" s="301"/>
      <c r="D22" s="7"/>
      <c r="E22" s="2" t="s">
        <v>302</v>
      </c>
      <c r="F22" s="265">
        <v>0.04</v>
      </c>
      <c r="G22" s="265">
        <v>0.04</v>
      </c>
      <c r="H22" s="265">
        <v>4.2999999999999997E-2</v>
      </c>
      <c r="I22" s="265">
        <v>3.9E-2</v>
      </c>
      <c r="J22" s="265">
        <v>3.9E-2</v>
      </c>
      <c r="K22" s="265">
        <v>3.9E-2</v>
      </c>
      <c r="L22" s="265">
        <v>4.1000000000000002E-2</v>
      </c>
      <c r="M22" s="265">
        <v>4.1000000000000002E-2</v>
      </c>
      <c r="N22" s="265">
        <v>4.4999999999999998E-2</v>
      </c>
      <c r="O22" s="265">
        <v>3.7999999999999999E-2</v>
      </c>
      <c r="P22" s="265">
        <v>3.9E-2</v>
      </c>
      <c r="Q22" s="265">
        <v>0.04</v>
      </c>
      <c r="R22" s="265">
        <v>0.04</v>
      </c>
      <c r="S22" s="265">
        <v>3.7999999999999999E-2</v>
      </c>
      <c r="T22" s="265">
        <v>3.7999999999999999E-2</v>
      </c>
      <c r="U22" s="265">
        <v>4.2999999999999997E-2</v>
      </c>
      <c r="V22" s="265">
        <v>0.04</v>
      </c>
      <c r="W22" s="265">
        <v>4.8000000000000001E-2</v>
      </c>
      <c r="X22" s="265">
        <v>3.6999999999999998E-2</v>
      </c>
      <c r="Y22" s="265">
        <v>0.04</v>
      </c>
      <c r="Z22" s="265">
        <v>3.6999999999999998E-2</v>
      </c>
      <c r="AA22" s="265">
        <v>3.5999999999999997E-2</v>
      </c>
      <c r="AH22" s="302" t="s">
        <v>303</v>
      </c>
      <c r="AI22" s="280"/>
      <c r="AJ22" s="280"/>
      <c r="AK22" s="280"/>
      <c r="AL22" s="280"/>
      <c r="AM22" s="280"/>
      <c r="AN22" s="280"/>
      <c r="AO22" s="280"/>
      <c r="AP22" s="280"/>
      <c r="AQ22" s="280"/>
      <c r="AR22" s="280"/>
      <c r="AS22" s="280"/>
    </row>
    <row r="23" spans="1:50" ht="9.9499999999999993" customHeight="1" x14ac:dyDescent="0.15">
      <c r="B23" s="600" t="s">
        <v>304</v>
      </c>
      <c r="C23" s="590" t="s">
        <v>305</v>
      </c>
      <c r="D23" s="604" t="s">
        <v>306</v>
      </c>
      <c r="E23" s="22" t="s">
        <v>307</v>
      </c>
      <c r="F23" s="22" t="s">
        <v>308</v>
      </c>
      <c r="G23" s="303" t="s">
        <v>309</v>
      </c>
      <c r="H23" s="304"/>
      <c r="I23" s="259"/>
      <c r="J23" s="260"/>
      <c r="K23" s="260"/>
      <c r="L23" s="261"/>
      <c r="M23" s="305">
        <v>43264</v>
      </c>
      <c r="N23" s="260"/>
      <c r="O23" s="260" t="s">
        <v>310</v>
      </c>
      <c r="P23" s="260"/>
      <c r="Q23" s="260"/>
      <c r="R23" s="260"/>
      <c r="S23" s="260"/>
      <c r="T23" s="260"/>
      <c r="U23" s="260"/>
      <c r="V23" s="260"/>
      <c r="W23" s="260"/>
      <c r="X23" s="260"/>
      <c r="Y23" s="260"/>
      <c r="Z23" s="260"/>
      <c r="AA23" s="261"/>
      <c r="AH23" s="306" t="s">
        <v>311</v>
      </c>
      <c r="AI23" s="8"/>
      <c r="AJ23" s="8"/>
      <c r="AK23" s="8"/>
      <c r="AL23" s="8"/>
      <c r="AM23" s="8"/>
      <c r="AN23" s="8"/>
      <c r="AO23" s="8"/>
      <c r="AP23" s="8"/>
      <c r="AQ23" s="8"/>
      <c r="AR23" s="8"/>
      <c r="AS23" s="8"/>
    </row>
    <row r="24" spans="1:50" ht="9.9499999999999993" customHeight="1" x14ac:dyDescent="0.15">
      <c r="B24" s="591"/>
      <c r="C24" s="602"/>
      <c r="D24" s="605"/>
      <c r="E24" s="22" t="s">
        <v>312</v>
      </c>
      <c r="F24" s="307">
        <v>110</v>
      </c>
      <c r="G24" s="308">
        <v>373</v>
      </c>
      <c r="H24" s="309"/>
      <c r="I24" s="309"/>
      <c r="J24" s="309"/>
      <c r="K24" s="309"/>
      <c r="L24" s="310"/>
      <c r="M24" s="308">
        <v>95</v>
      </c>
      <c r="N24" s="309"/>
      <c r="O24" s="311" t="s">
        <v>293</v>
      </c>
      <c r="P24" s="309"/>
      <c r="Q24" s="309"/>
      <c r="R24" s="309" t="s">
        <v>313</v>
      </c>
      <c r="S24" s="309"/>
      <c r="T24" s="309"/>
      <c r="U24" s="309"/>
      <c r="V24" s="309"/>
      <c r="W24" s="309"/>
      <c r="X24" s="309"/>
      <c r="Y24" s="309"/>
      <c r="Z24" s="309"/>
      <c r="AA24" s="310"/>
      <c r="AH24" s="278" t="s">
        <v>314</v>
      </c>
      <c r="AI24" s="9"/>
      <c r="AJ24" s="9"/>
      <c r="AK24" s="9"/>
      <c r="AL24" s="8"/>
      <c r="AM24" s="8"/>
      <c r="AN24" s="8"/>
      <c r="AO24" s="9"/>
      <c r="AP24" s="9"/>
      <c r="AQ24" s="9"/>
      <c r="AR24" s="9"/>
      <c r="AS24" s="9"/>
    </row>
    <row r="25" spans="1:50" ht="9.9499999999999993" customHeight="1" x14ac:dyDescent="0.15">
      <c r="B25" s="601"/>
      <c r="C25" s="603"/>
      <c r="D25" s="606"/>
      <c r="E25" s="22" t="s">
        <v>315</v>
      </c>
      <c r="F25" s="307">
        <v>32</v>
      </c>
      <c r="G25" s="308">
        <v>110</v>
      </c>
      <c r="H25" s="309"/>
      <c r="I25" s="309"/>
      <c r="J25" s="309"/>
      <c r="K25" s="309"/>
      <c r="L25" s="310"/>
      <c r="M25" s="308">
        <v>34</v>
      </c>
      <c r="N25" s="309"/>
      <c r="O25" s="311" t="s">
        <v>299</v>
      </c>
      <c r="P25" s="309"/>
      <c r="Q25" s="309"/>
      <c r="R25" s="309"/>
      <c r="S25" s="309"/>
      <c r="T25" s="309"/>
      <c r="U25" s="309"/>
      <c r="V25" s="309"/>
      <c r="W25" s="309"/>
      <c r="X25" s="309"/>
      <c r="Y25" s="309"/>
      <c r="Z25" s="309"/>
      <c r="AA25" s="310"/>
      <c r="AH25" s="259" t="s">
        <v>316</v>
      </c>
      <c r="AI25" s="260"/>
      <c r="AJ25" s="260"/>
      <c r="AK25" s="261"/>
      <c r="AL25" s="10" t="s">
        <v>317</v>
      </c>
      <c r="AM25" s="280"/>
      <c r="AN25" s="281"/>
      <c r="AO25" s="297" t="s">
        <v>318</v>
      </c>
      <c r="AP25" s="261"/>
      <c r="AQ25" s="312">
        <v>4.9000000000000002E-2</v>
      </c>
      <c r="AR25" s="265" t="s">
        <v>319</v>
      </c>
      <c r="AS25" s="265" t="s">
        <v>301</v>
      </c>
    </row>
    <row r="26" spans="1:50" ht="9.9499999999999993" customHeight="1" x14ac:dyDescent="0.15">
      <c r="B26" s="613" t="s">
        <v>320</v>
      </c>
      <c r="C26" s="610" t="s">
        <v>321</v>
      </c>
      <c r="D26" s="604" t="s">
        <v>306</v>
      </c>
      <c r="E26" s="22" t="s">
        <v>307</v>
      </c>
      <c r="F26" s="22" t="s">
        <v>322</v>
      </c>
      <c r="G26" s="4"/>
      <c r="H26" s="4"/>
      <c r="I26" s="4"/>
      <c r="J26" s="4"/>
      <c r="K26" s="22" t="s">
        <v>323</v>
      </c>
      <c r="L26" s="4"/>
      <c r="M26" s="259" t="s">
        <v>324</v>
      </c>
      <c r="N26" s="260"/>
      <c r="O26" s="260"/>
      <c r="P26" s="260"/>
      <c r="Q26" s="260"/>
      <c r="R26" s="260"/>
      <c r="S26" s="260"/>
      <c r="T26" s="260"/>
      <c r="U26" s="260"/>
      <c r="V26" s="260"/>
      <c r="W26" s="260"/>
      <c r="X26" s="260"/>
      <c r="Y26" s="260"/>
      <c r="Z26" s="260"/>
      <c r="AA26" s="261"/>
      <c r="AH26" s="259" t="s">
        <v>325</v>
      </c>
      <c r="AI26" s="260"/>
      <c r="AJ26" s="260"/>
      <c r="AK26" s="261"/>
      <c r="AL26" s="13"/>
      <c r="AM26" s="15"/>
      <c r="AN26" s="14"/>
      <c r="AO26" s="313" t="s">
        <v>326</v>
      </c>
      <c r="AP26" s="281"/>
      <c r="AQ26" s="312">
        <v>4.1000000000000002E-2</v>
      </c>
      <c r="AR26" s="314" t="s">
        <v>327</v>
      </c>
      <c r="AS26" s="265" t="s">
        <v>328</v>
      </c>
    </row>
    <row r="27" spans="1:50" ht="9.9499999999999993" customHeight="1" x14ac:dyDescent="0.15">
      <c r="B27" s="614"/>
      <c r="C27" s="616"/>
      <c r="D27" s="605"/>
      <c r="E27" s="22" t="s">
        <v>283</v>
      </c>
      <c r="F27" s="22" t="s">
        <v>110</v>
      </c>
      <c r="G27" s="4"/>
      <c r="H27" s="4"/>
      <c r="I27" s="4"/>
      <c r="J27" s="4"/>
      <c r="K27" s="22" t="s">
        <v>110</v>
      </c>
      <c r="L27" s="4"/>
      <c r="M27" s="259" t="s">
        <v>110</v>
      </c>
      <c r="N27" s="260"/>
      <c r="O27" s="260"/>
      <c r="P27" s="260"/>
      <c r="Q27" s="260"/>
      <c r="R27" s="260"/>
      <c r="S27" s="260"/>
      <c r="T27" s="260"/>
      <c r="U27" s="260"/>
      <c r="V27" s="260"/>
      <c r="W27" s="260"/>
      <c r="X27" s="260"/>
      <c r="Y27" s="260"/>
      <c r="Z27" s="260"/>
      <c r="AA27" s="261"/>
      <c r="AH27" s="259" t="s">
        <v>329</v>
      </c>
      <c r="AI27" s="260"/>
      <c r="AJ27" s="260"/>
      <c r="AK27" s="261"/>
      <c r="AL27" s="13"/>
      <c r="AM27" s="15"/>
      <c r="AN27" s="14"/>
      <c r="AO27" s="11"/>
      <c r="AP27" s="12"/>
      <c r="AQ27" s="312">
        <v>4.4999999999999998E-2</v>
      </c>
      <c r="AR27" s="314" t="s">
        <v>330</v>
      </c>
      <c r="AS27" s="265" t="s">
        <v>328</v>
      </c>
    </row>
    <row r="28" spans="1:50" ht="9.9499999999999993" customHeight="1" x14ac:dyDescent="0.15">
      <c r="B28" s="615"/>
      <c r="C28" s="617"/>
      <c r="D28" s="606"/>
      <c r="E28" s="22" t="s">
        <v>287</v>
      </c>
      <c r="F28" s="22" t="s">
        <v>110</v>
      </c>
      <c r="G28" s="4"/>
      <c r="H28" s="4"/>
      <c r="I28" s="4"/>
      <c r="J28" s="4"/>
      <c r="K28" s="22" t="s">
        <v>110</v>
      </c>
      <c r="L28" s="4"/>
      <c r="M28" s="259" t="s">
        <v>110</v>
      </c>
      <c r="N28" s="260"/>
      <c r="O28" s="260"/>
      <c r="P28" s="260"/>
      <c r="Q28" s="260"/>
      <c r="R28" s="260"/>
      <c r="S28" s="260"/>
      <c r="T28" s="260"/>
      <c r="U28" s="260"/>
      <c r="V28" s="260"/>
      <c r="W28" s="260"/>
      <c r="X28" s="260"/>
      <c r="Y28" s="260"/>
      <c r="Z28" s="260"/>
      <c r="AA28" s="261"/>
      <c r="AH28" s="3" t="s">
        <v>331</v>
      </c>
      <c r="AI28" s="259" t="s">
        <v>332</v>
      </c>
      <c r="AJ28" s="260"/>
      <c r="AK28" s="261"/>
      <c r="AL28" s="13"/>
      <c r="AM28" s="15"/>
      <c r="AN28" s="14"/>
      <c r="AO28" s="315" t="s">
        <v>333</v>
      </c>
      <c r="AP28" s="281"/>
      <c r="AQ28" s="312">
        <v>4.1000000000000002E-2</v>
      </c>
      <c r="AR28" s="265">
        <v>3.6999999999999998E-2</v>
      </c>
      <c r="AS28" s="265" t="s">
        <v>328</v>
      </c>
    </row>
    <row r="29" spans="1:50" ht="9.9499999999999993" customHeight="1" x14ac:dyDescent="0.15">
      <c r="B29" s="316"/>
      <c r="C29" s="8" t="s">
        <v>321</v>
      </c>
      <c r="D29" s="8"/>
      <c r="E29" s="273"/>
      <c r="F29" s="282"/>
      <c r="G29" s="280"/>
      <c r="H29" s="280"/>
      <c r="I29" s="8"/>
      <c r="J29" s="280" t="s">
        <v>306</v>
      </c>
      <c r="K29" s="282"/>
      <c r="L29" s="280"/>
      <c r="M29" s="282"/>
      <c r="N29" s="280"/>
      <c r="O29" s="280"/>
      <c r="P29" s="280"/>
      <c r="Q29" s="280"/>
      <c r="R29" s="280"/>
      <c r="S29" s="280"/>
      <c r="T29" s="280"/>
      <c r="U29" s="280"/>
      <c r="V29" s="280"/>
      <c r="W29" s="280"/>
      <c r="X29" s="280"/>
      <c r="Y29" s="280"/>
      <c r="Z29" s="280"/>
      <c r="AA29" s="280"/>
      <c r="AH29" s="5"/>
      <c r="AI29" s="259" t="s">
        <v>334</v>
      </c>
      <c r="AJ29" s="260"/>
      <c r="AK29" s="261"/>
      <c r="AL29" s="13"/>
      <c r="AM29" s="15"/>
      <c r="AN29" s="14"/>
      <c r="AO29" s="13"/>
      <c r="AP29" s="14"/>
      <c r="AQ29" s="312">
        <v>3.9E-2</v>
      </c>
      <c r="AR29" s="265">
        <v>3.5999999999999997E-2</v>
      </c>
      <c r="AS29" s="265" t="s">
        <v>328</v>
      </c>
    </row>
    <row r="30" spans="1:50" ht="9.9499999999999993" customHeight="1" x14ac:dyDescent="0.15">
      <c r="A30" s="257"/>
      <c r="B30" s="278" t="s">
        <v>335</v>
      </c>
      <c r="C30" s="9"/>
      <c r="D30" s="9"/>
      <c r="E30" s="257"/>
      <c r="F30" s="9"/>
      <c r="G30" s="9"/>
      <c r="H30" s="9"/>
      <c r="I30" s="257"/>
      <c r="J30" s="9"/>
      <c r="K30" s="9"/>
      <c r="L30" s="9"/>
      <c r="M30" s="9"/>
      <c r="N30" s="9"/>
      <c r="O30" s="9"/>
      <c r="P30" s="9"/>
      <c r="Q30" s="9"/>
      <c r="R30" s="9"/>
      <c r="S30" s="9"/>
      <c r="T30" s="9"/>
      <c r="U30" s="9"/>
      <c r="V30" s="9"/>
      <c r="W30" s="9"/>
      <c r="X30" s="9"/>
      <c r="Y30" s="9"/>
      <c r="Z30" s="9"/>
      <c r="AA30" s="9"/>
      <c r="AB30" s="257"/>
      <c r="AC30" s="257"/>
      <c r="AD30" s="257"/>
      <c r="AE30" s="257"/>
      <c r="AF30" s="257"/>
      <c r="AG30" s="257"/>
      <c r="AH30" s="5"/>
      <c r="AI30" s="259" t="s">
        <v>336</v>
      </c>
      <c r="AJ30" s="260"/>
      <c r="AK30" s="261"/>
      <c r="AL30" s="13"/>
      <c r="AM30" s="15"/>
      <c r="AN30" s="14"/>
      <c r="AO30" s="13"/>
      <c r="AP30" s="14"/>
      <c r="AQ30" s="312">
        <v>4.1000000000000002E-2</v>
      </c>
      <c r="AR30" s="265">
        <v>4.2000000000000003E-2</v>
      </c>
      <c r="AS30" s="265" t="s">
        <v>328</v>
      </c>
      <c r="AV30" s="257"/>
      <c r="AW30" s="257"/>
      <c r="AX30" s="257"/>
    </row>
    <row r="31" spans="1:50" ht="9.9499999999999993" customHeight="1" x14ac:dyDescent="0.15">
      <c r="B31" s="16"/>
      <c r="C31" s="3" t="s">
        <v>271</v>
      </c>
      <c r="D31" s="3" t="s">
        <v>85</v>
      </c>
      <c r="E31" s="3" t="s">
        <v>337</v>
      </c>
      <c r="F31" s="263">
        <v>43238</v>
      </c>
      <c r="G31" s="263">
        <v>43241</v>
      </c>
      <c r="H31" s="263">
        <v>43242</v>
      </c>
      <c r="I31" s="263">
        <v>43243</v>
      </c>
      <c r="J31" s="263">
        <v>43244</v>
      </c>
      <c r="K31" s="263">
        <v>43245</v>
      </c>
      <c r="L31" s="263">
        <v>43246</v>
      </c>
      <c r="M31" s="263">
        <v>43248</v>
      </c>
      <c r="N31" s="263">
        <v>43249</v>
      </c>
      <c r="O31" s="263">
        <v>43250</v>
      </c>
      <c r="P31" s="263">
        <v>43251</v>
      </c>
      <c r="Q31" s="263">
        <v>43252</v>
      </c>
      <c r="R31" s="263">
        <v>43253</v>
      </c>
      <c r="S31" s="263">
        <v>43254</v>
      </c>
      <c r="T31" s="263">
        <v>43255</v>
      </c>
      <c r="U31" s="263">
        <v>43256</v>
      </c>
      <c r="V31" s="263">
        <v>43257</v>
      </c>
      <c r="W31" s="263">
        <v>43258</v>
      </c>
      <c r="X31" s="263">
        <v>43259</v>
      </c>
      <c r="Y31" s="263">
        <v>43260</v>
      </c>
      <c r="Z31" s="263">
        <v>43261</v>
      </c>
      <c r="AA31" s="263">
        <v>43262</v>
      </c>
      <c r="AH31" s="5"/>
      <c r="AI31" s="259" t="s">
        <v>338</v>
      </c>
      <c r="AJ31" s="260"/>
      <c r="AK31" s="261"/>
      <c r="AL31" s="13"/>
      <c r="AM31" s="15"/>
      <c r="AN31" s="14"/>
      <c r="AO31" s="13"/>
      <c r="AP31" s="14"/>
      <c r="AQ31" s="312">
        <v>4.2999999999999997E-2</v>
      </c>
      <c r="AR31" s="265">
        <v>4.2000000000000003E-2</v>
      </c>
      <c r="AS31" s="265" t="s">
        <v>328</v>
      </c>
    </row>
    <row r="32" spans="1:50" ht="9.9499999999999993" customHeight="1" x14ac:dyDescent="0.15">
      <c r="B32" s="7"/>
      <c r="C32" s="7"/>
      <c r="D32" s="7"/>
      <c r="E32" s="7"/>
      <c r="F32" s="293" t="s">
        <v>280</v>
      </c>
      <c r="G32" s="293" t="s">
        <v>276</v>
      </c>
      <c r="H32" s="293" t="s">
        <v>277</v>
      </c>
      <c r="I32" s="293" t="s">
        <v>278</v>
      </c>
      <c r="J32" s="293" t="s">
        <v>279</v>
      </c>
      <c r="K32" s="293" t="s">
        <v>280</v>
      </c>
      <c r="L32" s="293" t="s">
        <v>281</v>
      </c>
      <c r="M32" s="293" t="s">
        <v>276</v>
      </c>
      <c r="N32" s="293" t="s">
        <v>277</v>
      </c>
      <c r="O32" s="293" t="s">
        <v>278</v>
      </c>
      <c r="P32" s="293" t="s">
        <v>279</v>
      </c>
      <c r="Q32" s="293" t="s">
        <v>280</v>
      </c>
      <c r="R32" s="293" t="s">
        <v>276</v>
      </c>
      <c r="S32" s="293" t="s">
        <v>277</v>
      </c>
      <c r="T32" s="293" t="s">
        <v>278</v>
      </c>
      <c r="U32" s="293" t="s">
        <v>279</v>
      </c>
      <c r="V32" s="293" t="s">
        <v>280</v>
      </c>
      <c r="W32" s="293" t="s">
        <v>276</v>
      </c>
      <c r="X32" s="293" t="s">
        <v>277</v>
      </c>
      <c r="Y32" s="293" t="s">
        <v>278</v>
      </c>
      <c r="Z32" s="293" t="s">
        <v>279</v>
      </c>
      <c r="AA32" s="293" t="s">
        <v>280</v>
      </c>
      <c r="AH32" s="7"/>
      <c r="AI32" s="259" t="s">
        <v>339</v>
      </c>
      <c r="AJ32" s="260"/>
      <c r="AK32" s="261"/>
      <c r="AL32" s="11"/>
      <c r="AM32" s="9"/>
      <c r="AN32" s="12"/>
      <c r="AO32" s="11"/>
      <c r="AP32" s="12"/>
      <c r="AQ32" s="312">
        <v>4.2999999999999997E-2</v>
      </c>
      <c r="AR32" s="265">
        <v>4.4999999999999998E-2</v>
      </c>
      <c r="AS32" s="265" t="s">
        <v>328</v>
      </c>
      <c r="AT32" s="257"/>
      <c r="AU32" s="257"/>
    </row>
    <row r="33" spans="2:45" ht="9.9499999999999993" customHeight="1" x14ac:dyDescent="0.15">
      <c r="B33" s="590" t="s">
        <v>269</v>
      </c>
      <c r="C33" s="290">
        <v>0.23</v>
      </c>
      <c r="D33" s="590" t="s">
        <v>340</v>
      </c>
      <c r="E33" s="2" t="s">
        <v>341</v>
      </c>
      <c r="F33" s="265">
        <v>4.2000000000000003E-2</v>
      </c>
      <c r="G33" s="265">
        <v>4.2000000000000003E-2</v>
      </c>
      <c r="H33" s="265">
        <v>4.8000000000000001E-2</v>
      </c>
      <c r="I33" s="265">
        <v>4.2000000000000003E-2</v>
      </c>
      <c r="J33" s="265">
        <v>5.3999999999999999E-2</v>
      </c>
      <c r="K33" s="265">
        <v>4.8000000000000001E-2</v>
      </c>
      <c r="L33" s="265">
        <v>4.8000000000000001E-2</v>
      </c>
      <c r="M33" s="265">
        <v>5.3999999999999999E-2</v>
      </c>
      <c r="N33" s="265">
        <v>5.3999999999999999E-2</v>
      </c>
      <c r="O33" s="265">
        <v>5.3999999999999999E-2</v>
      </c>
      <c r="P33" s="265">
        <v>0.06</v>
      </c>
      <c r="Q33" s="265">
        <v>6.6000000000000003E-2</v>
      </c>
      <c r="R33" s="265">
        <v>0.06</v>
      </c>
      <c r="S33" s="265">
        <v>5.3999999999999999E-2</v>
      </c>
      <c r="T33" s="265">
        <v>4.8000000000000001E-2</v>
      </c>
      <c r="U33" s="265">
        <v>5.3999999999999999E-2</v>
      </c>
      <c r="V33" s="265">
        <v>5.3999999999999999E-2</v>
      </c>
      <c r="W33" s="265">
        <v>6.6000000000000003E-2</v>
      </c>
      <c r="X33" s="265">
        <v>5.3999999999999999E-2</v>
      </c>
      <c r="Y33" s="265">
        <v>4.2000000000000003E-2</v>
      </c>
      <c r="Z33" s="265">
        <v>4.2000000000000003E-2</v>
      </c>
      <c r="AA33" s="265">
        <v>0.06</v>
      </c>
    </row>
    <row r="34" spans="2:45" ht="9.9499999999999993" customHeight="1" x14ac:dyDescent="0.15">
      <c r="B34" s="591"/>
      <c r="C34" s="292"/>
      <c r="D34" s="591"/>
      <c r="E34" s="2" t="s">
        <v>342</v>
      </c>
      <c r="F34" s="265">
        <v>3.6999999999999998E-2</v>
      </c>
      <c r="G34" s="265">
        <v>4.2999999999999997E-2</v>
      </c>
      <c r="H34" s="265">
        <v>4.1000000000000002E-2</v>
      </c>
      <c r="I34" s="265">
        <v>4.2000000000000003E-2</v>
      </c>
      <c r="J34" s="265">
        <v>4.2999999999999997E-2</v>
      </c>
      <c r="K34" s="265">
        <v>3.9E-2</v>
      </c>
      <c r="L34" s="317"/>
      <c r="M34" s="265">
        <v>4.3999999999999997E-2</v>
      </c>
      <c r="N34" s="265">
        <v>4.2999999999999997E-2</v>
      </c>
      <c r="O34" s="265">
        <v>4.2000000000000003E-2</v>
      </c>
      <c r="P34" s="265">
        <v>4.2999999999999997E-2</v>
      </c>
      <c r="Q34" s="265">
        <v>3.9E-2</v>
      </c>
      <c r="R34" s="265">
        <v>4.4999999999999998E-2</v>
      </c>
      <c r="S34" s="265">
        <v>4.2000000000000003E-2</v>
      </c>
      <c r="T34" s="265">
        <v>4.7E-2</v>
      </c>
      <c r="U34" s="265">
        <v>4.7E-2</v>
      </c>
      <c r="V34" s="265">
        <v>4.8000000000000001E-2</v>
      </c>
      <c r="W34" s="265">
        <v>0.05</v>
      </c>
      <c r="X34" s="265">
        <v>4.3999999999999997E-2</v>
      </c>
      <c r="Y34" s="265">
        <v>4.2999999999999997E-2</v>
      </c>
      <c r="Z34" s="265">
        <v>4.1000000000000002E-2</v>
      </c>
      <c r="AA34" s="265">
        <v>3.4000000000000002E-2</v>
      </c>
      <c r="AH34" s="273" t="s">
        <v>343</v>
      </c>
      <c r="AI34" s="8"/>
      <c r="AJ34" s="8"/>
      <c r="AK34" s="8"/>
      <c r="AL34" s="8"/>
      <c r="AM34" s="8"/>
      <c r="AN34" s="257"/>
      <c r="AO34" s="257"/>
      <c r="AP34" s="257"/>
      <c r="AQ34" s="257"/>
      <c r="AR34" s="257"/>
      <c r="AS34" s="257"/>
    </row>
    <row r="35" spans="2:45" ht="9.9499999999999993" customHeight="1" x14ac:dyDescent="0.15">
      <c r="B35" s="591"/>
      <c r="C35" s="292"/>
      <c r="D35" s="591"/>
      <c r="E35" s="2" t="s">
        <v>344</v>
      </c>
      <c r="F35" s="265">
        <v>3.5999999999999997E-2</v>
      </c>
      <c r="G35" s="265">
        <v>3.5999999999999997E-2</v>
      </c>
      <c r="H35" s="265">
        <v>3.7999999999999999E-2</v>
      </c>
      <c r="I35" s="265">
        <v>3.6999999999999998E-2</v>
      </c>
      <c r="J35" s="265">
        <v>4.2000000000000003E-2</v>
      </c>
      <c r="K35" s="265">
        <v>0.04</v>
      </c>
      <c r="L35" s="317"/>
      <c r="M35" s="265">
        <v>0.04</v>
      </c>
      <c r="N35" s="265">
        <v>0.04</v>
      </c>
      <c r="O35" s="265">
        <v>4.2000000000000003E-2</v>
      </c>
      <c r="P35" s="265">
        <v>4.2999999999999997E-2</v>
      </c>
      <c r="Q35" s="265">
        <v>3.9E-2</v>
      </c>
      <c r="R35" s="265">
        <v>4.3999999999999997E-2</v>
      </c>
      <c r="S35" s="265">
        <v>3.9E-2</v>
      </c>
      <c r="T35" s="265">
        <v>0.04</v>
      </c>
      <c r="U35" s="265">
        <v>4.5999999999999999E-2</v>
      </c>
      <c r="V35" s="265">
        <v>0.04</v>
      </c>
      <c r="W35" s="265">
        <v>4.1000000000000002E-2</v>
      </c>
      <c r="X35" s="265">
        <v>3.5999999999999997E-2</v>
      </c>
      <c r="Y35" s="265">
        <v>3.9E-2</v>
      </c>
      <c r="Z35" s="265">
        <v>3.9E-2</v>
      </c>
      <c r="AA35" s="265">
        <v>3.9E-2</v>
      </c>
      <c r="AH35" s="291"/>
      <c r="AI35" s="318"/>
      <c r="AJ35" s="318"/>
      <c r="AK35" s="319"/>
      <c r="AL35" s="259" t="s">
        <v>271</v>
      </c>
      <c r="AM35" s="318"/>
      <c r="AN35" s="319"/>
      <c r="AO35" s="2" t="s">
        <v>272</v>
      </c>
      <c r="AP35" s="2" t="s">
        <v>273</v>
      </c>
      <c r="AQ35" s="2" t="s">
        <v>274</v>
      </c>
      <c r="AR35" s="2" t="s">
        <v>345</v>
      </c>
    </row>
    <row r="36" spans="2:45" ht="9.9499999999999993" customHeight="1" x14ac:dyDescent="0.15">
      <c r="B36" s="5"/>
      <c r="C36" s="292"/>
      <c r="D36" s="601"/>
      <c r="E36" s="2" t="s">
        <v>346</v>
      </c>
      <c r="F36" s="265">
        <v>4.2000000000000003E-2</v>
      </c>
      <c r="G36" s="265">
        <v>3.7999999999999999E-2</v>
      </c>
      <c r="H36" s="265">
        <v>4.3999999999999997E-2</v>
      </c>
      <c r="I36" s="265">
        <v>0.04</v>
      </c>
      <c r="J36" s="265">
        <v>3.6999999999999998E-2</v>
      </c>
      <c r="K36" s="265">
        <v>4.2999999999999997E-2</v>
      </c>
      <c r="L36" s="317"/>
      <c r="M36" s="265">
        <v>3.9E-2</v>
      </c>
      <c r="N36" s="265">
        <v>4.4999999999999998E-2</v>
      </c>
      <c r="O36" s="265">
        <v>4.1000000000000002E-2</v>
      </c>
      <c r="P36" s="265">
        <v>4.5999999999999999E-2</v>
      </c>
      <c r="Q36" s="265">
        <v>3.6999999999999998E-2</v>
      </c>
      <c r="R36" s="265">
        <v>3.7999999999999999E-2</v>
      </c>
      <c r="S36" s="265">
        <v>4.2999999999999997E-2</v>
      </c>
      <c r="T36" s="265">
        <v>4.2999999999999997E-2</v>
      </c>
      <c r="U36" s="265">
        <v>4.5999999999999999E-2</v>
      </c>
      <c r="V36" s="265">
        <v>3.6999999999999998E-2</v>
      </c>
      <c r="W36" s="265">
        <v>4.5999999999999999E-2</v>
      </c>
      <c r="X36" s="265">
        <v>3.3000000000000002E-2</v>
      </c>
      <c r="Y36" s="265">
        <v>4.4999999999999998E-2</v>
      </c>
      <c r="Z36" s="265">
        <v>3.9E-2</v>
      </c>
      <c r="AA36" s="265">
        <v>3.7999999999999999E-2</v>
      </c>
      <c r="AH36" s="259" t="s">
        <v>347</v>
      </c>
      <c r="AI36" s="318"/>
      <c r="AJ36" s="318"/>
      <c r="AK36" s="319"/>
      <c r="AL36" s="580" t="s">
        <v>348</v>
      </c>
      <c r="AM36" s="581"/>
      <c r="AN36" s="582"/>
      <c r="AO36" s="320">
        <v>43245</v>
      </c>
      <c r="AP36" s="2" t="s">
        <v>110</v>
      </c>
      <c r="AQ36" s="2" t="s">
        <v>110</v>
      </c>
      <c r="AR36" s="2" t="s">
        <v>110</v>
      </c>
    </row>
    <row r="37" spans="2:45" ht="9.9499999999999993" customHeight="1" x14ac:dyDescent="0.15">
      <c r="B37" s="5"/>
      <c r="C37" s="292"/>
      <c r="D37" s="3" t="s">
        <v>349</v>
      </c>
      <c r="E37" s="2" t="s">
        <v>350</v>
      </c>
      <c r="F37" s="265">
        <v>4.2000000000000003E-2</v>
      </c>
      <c r="G37" s="265">
        <v>0.04</v>
      </c>
      <c r="H37" s="265">
        <v>4.3999999999999997E-2</v>
      </c>
      <c r="I37" s="265">
        <v>4.4999999999999998E-2</v>
      </c>
      <c r="J37" s="265">
        <v>3.5999999999999997E-2</v>
      </c>
      <c r="K37" s="265">
        <v>4.7E-2</v>
      </c>
      <c r="L37" s="317"/>
      <c r="M37" s="265">
        <v>4.2999999999999997E-2</v>
      </c>
      <c r="N37" s="265">
        <v>4.2999999999999997E-2</v>
      </c>
      <c r="O37" s="265">
        <v>4.5999999999999999E-2</v>
      </c>
      <c r="P37" s="265">
        <v>4.7E-2</v>
      </c>
      <c r="Q37" s="265">
        <v>4.1000000000000002E-2</v>
      </c>
      <c r="R37" s="265">
        <v>3.7999999999999999E-2</v>
      </c>
      <c r="S37" s="265">
        <v>4.2000000000000003E-2</v>
      </c>
      <c r="T37" s="265">
        <v>4.5999999999999999E-2</v>
      </c>
      <c r="U37" s="265">
        <v>4.5999999999999999E-2</v>
      </c>
      <c r="V37" s="265">
        <v>4.5999999999999999E-2</v>
      </c>
      <c r="W37" s="265">
        <v>4.8000000000000001E-2</v>
      </c>
      <c r="X37" s="265">
        <v>4.8000000000000001E-2</v>
      </c>
      <c r="Y37" s="265">
        <v>0.04</v>
      </c>
      <c r="Z37" s="265">
        <v>4.2999999999999997E-2</v>
      </c>
      <c r="AA37" s="265">
        <v>3.9E-2</v>
      </c>
      <c r="AH37" s="259" t="s">
        <v>351</v>
      </c>
      <c r="AI37" s="318"/>
      <c r="AJ37" s="318"/>
      <c r="AK37" s="319"/>
      <c r="AL37" s="583"/>
      <c r="AM37" s="584"/>
      <c r="AN37" s="585"/>
      <c r="AO37" s="320">
        <v>43245</v>
      </c>
      <c r="AP37" s="2" t="s">
        <v>110</v>
      </c>
      <c r="AQ37" s="2" t="s">
        <v>110</v>
      </c>
      <c r="AR37" s="2" t="s">
        <v>110</v>
      </c>
    </row>
    <row r="38" spans="2:45" ht="9.9499999999999993" customHeight="1" x14ac:dyDescent="0.15">
      <c r="B38" s="7"/>
      <c r="C38" s="301"/>
      <c r="D38" s="7"/>
      <c r="E38" s="2" t="s">
        <v>352</v>
      </c>
      <c r="F38" s="265">
        <v>4.4999999999999998E-2</v>
      </c>
      <c r="G38" s="265">
        <v>4.3999999999999997E-2</v>
      </c>
      <c r="H38" s="265">
        <v>4.3999999999999997E-2</v>
      </c>
      <c r="I38" s="265">
        <v>4.9000000000000002E-2</v>
      </c>
      <c r="J38" s="265">
        <v>4.8000000000000001E-2</v>
      </c>
      <c r="K38" s="265">
        <v>4.1000000000000002E-2</v>
      </c>
      <c r="L38" s="317"/>
      <c r="M38" s="265">
        <v>4.2999999999999997E-2</v>
      </c>
      <c r="N38" s="265">
        <v>4.9000000000000002E-2</v>
      </c>
      <c r="O38" s="265">
        <v>4.2000000000000003E-2</v>
      </c>
      <c r="P38" s="265">
        <v>4.5999999999999999E-2</v>
      </c>
      <c r="Q38" s="265">
        <v>3.9E-2</v>
      </c>
      <c r="R38" s="265">
        <v>4.2999999999999997E-2</v>
      </c>
      <c r="S38" s="265">
        <v>4.2000000000000003E-2</v>
      </c>
      <c r="T38" s="265">
        <v>4.2000000000000003E-2</v>
      </c>
      <c r="U38" s="265">
        <v>4.4999999999999998E-2</v>
      </c>
      <c r="V38" s="265">
        <v>4.2000000000000003E-2</v>
      </c>
      <c r="W38" s="265">
        <v>4.7E-2</v>
      </c>
      <c r="X38" s="265">
        <v>4.2999999999999997E-2</v>
      </c>
      <c r="Y38" s="265">
        <v>3.9E-2</v>
      </c>
      <c r="Z38" s="265">
        <v>3.9E-2</v>
      </c>
      <c r="AA38" s="265">
        <v>3.7999999999999999E-2</v>
      </c>
      <c r="AH38" s="259" t="s">
        <v>353</v>
      </c>
      <c r="AI38" s="318"/>
      <c r="AJ38" s="318"/>
      <c r="AK38" s="319"/>
      <c r="AL38" s="583"/>
      <c r="AM38" s="584"/>
      <c r="AN38" s="585"/>
      <c r="AO38" s="320">
        <v>43245</v>
      </c>
      <c r="AP38" s="321" t="s">
        <v>354</v>
      </c>
      <c r="AQ38" s="2" t="s">
        <v>110</v>
      </c>
      <c r="AR38" s="22" t="s">
        <v>355</v>
      </c>
    </row>
    <row r="39" spans="2:45" ht="9.9499999999999993" customHeight="1" x14ac:dyDescent="0.15">
      <c r="B39" s="288" t="s">
        <v>356</v>
      </c>
      <c r="C39" s="260"/>
      <c r="D39" s="260"/>
      <c r="E39" s="260"/>
      <c r="F39" s="260"/>
      <c r="G39" s="260"/>
      <c r="H39" s="260"/>
      <c r="I39" s="260"/>
      <c r="J39" s="260"/>
      <c r="K39" s="260"/>
      <c r="L39" s="260"/>
      <c r="M39" s="260"/>
      <c r="N39" s="260"/>
      <c r="O39" s="260"/>
      <c r="P39" s="260"/>
      <c r="Q39" s="260"/>
      <c r="R39" s="260"/>
      <c r="S39" s="260"/>
      <c r="T39" s="260"/>
      <c r="U39" s="260"/>
      <c r="V39" s="260"/>
      <c r="W39" s="260"/>
      <c r="X39" s="260"/>
      <c r="Y39" s="260"/>
      <c r="Z39" s="260"/>
      <c r="AA39" s="289"/>
      <c r="AH39" s="259" t="s">
        <v>357</v>
      </c>
      <c r="AI39" s="318"/>
      <c r="AJ39" s="318"/>
      <c r="AK39" s="319"/>
      <c r="AL39" s="11" t="s">
        <v>288</v>
      </c>
      <c r="AM39" s="322"/>
      <c r="AN39" s="323"/>
      <c r="AO39" s="320">
        <v>43245</v>
      </c>
      <c r="AP39" s="2" t="s">
        <v>110</v>
      </c>
      <c r="AQ39" s="2" t="s">
        <v>110</v>
      </c>
      <c r="AR39" s="2" t="s">
        <v>110</v>
      </c>
    </row>
    <row r="40" spans="2:45" ht="9.9499999999999993" customHeight="1" x14ac:dyDescent="0.15">
      <c r="B40" s="16"/>
      <c r="C40" s="3" t="s">
        <v>271</v>
      </c>
      <c r="D40" s="607" t="s">
        <v>358</v>
      </c>
      <c r="E40" s="3" t="s">
        <v>359</v>
      </c>
      <c r="F40" s="263">
        <v>42873</v>
      </c>
      <c r="G40" s="263">
        <v>43241</v>
      </c>
      <c r="H40" s="263">
        <v>43242</v>
      </c>
      <c r="I40" s="263">
        <v>43243</v>
      </c>
      <c r="J40" s="263">
        <v>43244</v>
      </c>
      <c r="K40" s="263">
        <v>43245</v>
      </c>
      <c r="L40" s="263">
        <v>43246</v>
      </c>
      <c r="M40" s="263">
        <v>43248</v>
      </c>
      <c r="N40" s="263">
        <v>43249</v>
      </c>
      <c r="O40" s="263">
        <v>43250</v>
      </c>
      <c r="P40" s="263">
        <v>43251</v>
      </c>
      <c r="Q40" s="263">
        <v>43252</v>
      </c>
      <c r="R40" s="263">
        <v>43253</v>
      </c>
      <c r="S40" s="263">
        <v>43254</v>
      </c>
      <c r="T40" s="263">
        <v>43255</v>
      </c>
      <c r="U40" s="263">
        <v>43256</v>
      </c>
      <c r="V40" s="263">
        <v>43257</v>
      </c>
      <c r="W40" s="263">
        <v>43258</v>
      </c>
      <c r="X40" s="263">
        <v>43259</v>
      </c>
      <c r="Y40" s="263">
        <v>43260</v>
      </c>
      <c r="Z40" s="263">
        <v>43261</v>
      </c>
      <c r="AA40" s="263">
        <v>43262</v>
      </c>
      <c r="AH40" s="93" t="s">
        <v>360</v>
      </c>
      <c r="AL40" s="285"/>
      <c r="AM40" s="285"/>
      <c r="AN40" s="285"/>
      <c r="AO40" s="324"/>
      <c r="AP40" s="325"/>
    </row>
    <row r="41" spans="2:45" ht="9.9499999999999993" customHeight="1" x14ac:dyDescent="0.15">
      <c r="B41" s="7"/>
      <c r="C41" s="7"/>
      <c r="D41" s="608"/>
      <c r="E41" s="7"/>
      <c r="F41" s="293" t="s">
        <v>280</v>
      </c>
      <c r="G41" s="293" t="s">
        <v>276</v>
      </c>
      <c r="H41" s="293" t="s">
        <v>277</v>
      </c>
      <c r="I41" s="293" t="s">
        <v>278</v>
      </c>
      <c r="J41" s="293" t="s">
        <v>279</v>
      </c>
      <c r="K41" s="293" t="s">
        <v>280</v>
      </c>
      <c r="L41" s="293" t="s">
        <v>281</v>
      </c>
      <c r="M41" s="293" t="s">
        <v>276</v>
      </c>
      <c r="N41" s="293" t="s">
        <v>277</v>
      </c>
      <c r="O41" s="293" t="s">
        <v>278</v>
      </c>
      <c r="P41" s="293" t="s">
        <v>279</v>
      </c>
      <c r="Q41" s="293" t="s">
        <v>280</v>
      </c>
      <c r="R41" s="293" t="s">
        <v>276</v>
      </c>
      <c r="S41" s="293" t="s">
        <v>277</v>
      </c>
      <c r="T41" s="293" t="s">
        <v>278</v>
      </c>
      <c r="U41" s="293" t="s">
        <v>279</v>
      </c>
      <c r="V41" s="293" t="s">
        <v>280</v>
      </c>
      <c r="W41" s="293" t="s">
        <v>276</v>
      </c>
      <c r="X41" s="293" t="s">
        <v>277</v>
      </c>
      <c r="Y41" s="293" t="s">
        <v>278</v>
      </c>
      <c r="Z41" s="293" t="s">
        <v>279</v>
      </c>
      <c r="AA41" s="293" t="s">
        <v>280</v>
      </c>
      <c r="AH41" s="93" t="s">
        <v>361</v>
      </c>
      <c r="AL41" s="8"/>
      <c r="AM41" s="8"/>
      <c r="AN41" s="8"/>
      <c r="AO41" s="8"/>
      <c r="AP41" s="8"/>
    </row>
    <row r="42" spans="2:45" ht="9.9499999999999993" customHeight="1" x14ac:dyDescent="0.15">
      <c r="B42" s="590" t="s">
        <v>269</v>
      </c>
      <c r="C42" s="290">
        <v>0.23</v>
      </c>
      <c r="D42" s="592" t="s">
        <v>362</v>
      </c>
      <c r="E42" s="2" t="s">
        <v>363</v>
      </c>
      <c r="F42" s="265">
        <v>4.2000000000000003E-2</v>
      </c>
      <c r="G42" s="265">
        <v>5.3999999999999999E-2</v>
      </c>
      <c r="H42" s="265">
        <v>4.8000000000000001E-2</v>
      </c>
      <c r="I42" s="265">
        <v>4.2000000000000003E-2</v>
      </c>
      <c r="J42" s="265">
        <v>5.3999999999999999E-2</v>
      </c>
      <c r="K42" s="265">
        <v>3.5999999999999997E-2</v>
      </c>
      <c r="L42" s="265">
        <v>0.06</v>
      </c>
      <c r="M42" s="265">
        <v>4.2000000000000003E-2</v>
      </c>
      <c r="N42" s="265">
        <v>5.3999999999999999E-2</v>
      </c>
      <c r="O42" s="265">
        <v>4.2000000000000003E-2</v>
      </c>
      <c r="P42" s="265">
        <v>4.2000000000000003E-2</v>
      </c>
      <c r="Q42" s="265">
        <v>5.3999999999999999E-2</v>
      </c>
      <c r="R42" s="265">
        <v>3.5999999999999997E-2</v>
      </c>
      <c r="S42" s="265">
        <v>4.8000000000000001E-2</v>
      </c>
      <c r="T42" s="265">
        <v>4.8000000000000001E-2</v>
      </c>
      <c r="U42" s="265">
        <v>4.8000000000000001E-2</v>
      </c>
      <c r="V42" s="265">
        <v>4.9000000000000002E-2</v>
      </c>
      <c r="W42" s="265">
        <v>0.06</v>
      </c>
      <c r="X42" s="265">
        <v>4.8000000000000001E-2</v>
      </c>
      <c r="Y42" s="265">
        <v>0.03</v>
      </c>
      <c r="Z42" s="265">
        <v>3.5999999999999997E-2</v>
      </c>
      <c r="AA42" s="265">
        <v>5.3999999999999999E-2</v>
      </c>
      <c r="AH42" s="93" t="s">
        <v>364</v>
      </c>
    </row>
    <row r="43" spans="2:45" ht="9.9499999999999993" customHeight="1" x14ac:dyDescent="0.15">
      <c r="B43" s="591"/>
      <c r="C43" s="292"/>
      <c r="D43" s="593"/>
      <c r="E43" s="2" t="s">
        <v>365</v>
      </c>
      <c r="F43" s="265">
        <v>4.7E-2</v>
      </c>
      <c r="G43" s="265">
        <v>3.2000000000000001E-2</v>
      </c>
      <c r="H43" s="265">
        <v>3.4000000000000002E-2</v>
      </c>
      <c r="I43" s="265">
        <v>3.3000000000000002E-2</v>
      </c>
      <c r="J43" s="265">
        <v>3.4000000000000002E-2</v>
      </c>
      <c r="K43" s="265">
        <v>3.7999999999999999E-2</v>
      </c>
      <c r="L43" s="265">
        <v>3.7999999999999999E-2</v>
      </c>
      <c r="M43" s="265">
        <v>3.5999999999999997E-2</v>
      </c>
      <c r="N43" s="265">
        <v>3.9E-2</v>
      </c>
      <c r="O43" s="265">
        <v>3.1E-2</v>
      </c>
      <c r="P43" s="265">
        <v>3.9E-2</v>
      </c>
      <c r="Q43" s="265">
        <v>3.5000000000000003E-2</v>
      </c>
      <c r="R43" s="265">
        <v>3.3000000000000002E-2</v>
      </c>
      <c r="S43" s="265">
        <v>3.3000000000000002E-2</v>
      </c>
      <c r="T43" s="265">
        <v>3.6999999999999998E-2</v>
      </c>
      <c r="U43" s="265">
        <v>3.7999999999999999E-2</v>
      </c>
      <c r="V43" s="265">
        <v>4.2000000000000003E-2</v>
      </c>
      <c r="W43" s="265">
        <v>3.9E-2</v>
      </c>
      <c r="X43" s="265">
        <v>3.4000000000000002E-2</v>
      </c>
      <c r="Y43" s="265">
        <v>3.1E-2</v>
      </c>
      <c r="Z43" s="265">
        <v>3.3000000000000002E-2</v>
      </c>
      <c r="AA43" s="265">
        <v>3.3000000000000002E-2</v>
      </c>
      <c r="AH43" s="93" t="s">
        <v>366</v>
      </c>
    </row>
    <row r="44" spans="2:45" ht="9.9499999999999993" customHeight="1" x14ac:dyDescent="0.15">
      <c r="B44" s="591"/>
      <c r="C44" s="292"/>
      <c r="D44" s="593"/>
      <c r="E44" s="2" t="s">
        <v>367</v>
      </c>
      <c r="F44" s="265">
        <v>5.5E-2</v>
      </c>
      <c r="G44" s="265">
        <v>4.5999999999999999E-2</v>
      </c>
      <c r="H44" s="265">
        <v>4.7E-2</v>
      </c>
      <c r="I44" s="265">
        <v>4.9000000000000002E-2</v>
      </c>
      <c r="J44" s="265">
        <v>4.9000000000000002E-2</v>
      </c>
      <c r="K44" s="265">
        <v>4.4999999999999998E-2</v>
      </c>
      <c r="L44" s="265">
        <v>4.4999999999999998E-2</v>
      </c>
      <c r="M44" s="265">
        <v>4.9000000000000002E-2</v>
      </c>
      <c r="N44" s="265">
        <v>5.0999999999999997E-2</v>
      </c>
      <c r="O44" s="265">
        <v>4.4999999999999998E-2</v>
      </c>
      <c r="P44" s="265">
        <v>4.4999999999999998E-2</v>
      </c>
      <c r="Q44" s="265">
        <v>4.8000000000000001E-2</v>
      </c>
      <c r="R44" s="265">
        <v>3.6999999999999998E-2</v>
      </c>
      <c r="S44" s="265">
        <v>5.0999999999999997E-2</v>
      </c>
      <c r="T44" s="265">
        <v>4.9000000000000002E-2</v>
      </c>
      <c r="U44" s="265">
        <v>5.1999999999999998E-2</v>
      </c>
      <c r="V44" s="265">
        <v>5.3999999999999999E-2</v>
      </c>
      <c r="W44" s="265">
        <v>4.5999999999999999E-2</v>
      </c>
      <c r="X44" s="265">
        <v>5.0999999999999997E-2</v>
      </c>
      <c r="Y44" s="265">
        <v>4.7E-2</v>
      </c>
      <c r="Z44" s="265">
        <v>0.05</v>
      </c>
      <c r="AA44" s="265">
        <v>4.5999999999999999E-2</v>
      </c>
      <c r="AP44" s="1" t="s">
        <v>368</v>
      </c>
    </row>
    <row r="45" spans="2:45" ht="9.9499999999999993" customHeight="1" x14ac:dyDescent="0.15">
      <c r="B45" s="5"/>
      <c r="C45" s="292"/>
      <c r="D45" s="593"/>
      <c r="E45" s="2" t="s">
        <v>369</v>
      </c>
      <c r="F45" s="265">
        <v>4.5999999999999999E-2</v>
      </c>
      <c r="G45" s="265">
        <v>0.04</v>
      </c>
      <c r="H45" s="265">
        <v>4.2000000000000003E-2</v>
      </c>
      <c r="I45" s="265">
        <v>0.04</v>
      </c>
      <c r="J45" s="265">
        <v>4.7E-2</v>
      </c>
      <c r="K45" s="265">
        <v>4.4999999999999998E-2</v>
      </c>
      <c r="L45" s="265">
        <v>4.3999999999999997E-2</v>
      </c>
      <c r="M45" s="265">
        <v>3.9E-2</v>
      </c>
      <c r="N45" s="265">
        <v>5.6000000000000001E-2</v>
      </c>
      <c r="O45" s="265">
        <v>0.04</v>
      </c>
      <c r="P45" s="265">
        <v>4.4999999999999998E-2</v>
      </c>
      <c r="Q45" s="265">
        <v>4.3999999999999997E-2</v>
      </c>
      <c r="R45" s="265">
        <v>0.05</v>
      </c>
      <c r="S45" s="265">
        <v>4.3999999999999997E-2</v>
      </c>
      <c r="T45" s="265">
        <v>4.3999999999999997E-2</v>
      </c>
      <c r="U45" s="265">
        <v>5.0999999999999997E-2</v>
      </c>
      <c r="V45" s="265">
        <v>4.3999999999999997E-2</v>
      </c>
      <c r="W45" s="265">
        <v>5.0999999999999997E-2</v>
      </c>
      <c r="X45" s="265">
        <v>4.9000000000000002E-2</v>
      </c>
      <c r="Y45" s="265">
        <v>4.1000000000000002E-2</v>
      </c>
      <c r="Z45" s="265">
        <v>4.2000000000000003E-2</v>
      </c>
      <c r="AA45" s="265">
        <v>4.7E-2</v>
      </c>
    </row>
    <row r="46" spans="2:45" ht="9.9499999999999993" customHeight="1" x14ac:dyDescent="0.15">
      <c r="B46" s="5"/>
      <c r="C46" s="292"/>
      <c r="D46" s="5"/>
      <c r="E46" s="2" t="s">
        <v>297</v>
      </c>
      <c r="F46" s="265">
        <v>5.2999999999999999E-2</v>
      </c>
      <c r="G46" s="265">
        <v>4.1000000000000002E-2</v>
      </c>
      <c r="H46" s="265">
        <v>4.2000000000000003E-2</v>
      </c>
      <c r="I46" s="265">
        <v>4.7E-2</v>
      </c>
      <c r="J46" s="265">
        <v>4.7E-2</v>
      </c>
      <c r="K46" s="265">
        <v>4.9000000000000002E-2</v>
      </c>
      <c r="L46" s="265">
        <v>4.9000000000000002E-2</v>
      </c>
      <c r="M46" s="265">
        <v>5.0999999999999997E-2</v>
      </c>
      <c r="N46" s="265">
        <v>5.1999999999999998E-2</v>
      </c>
      <c r="O46" s="265">
        <v>4.2000000000000003E-2</v>
      </c>
      <c r="P46" s="265">
        <v>4.4999999999999998E-2</v>
      </c>
      <c r="Q46" s="265">
        <v>4.9000000000000002E-2</v>
      </c>
      <c r="R46" s="265">
        <v>0.05</v>
      </c>
      <c r="S46" s="265">
        <v>0.05</v>
      </c>
      <c r="T46" s="265">
        <v>5.1999999999999998E-2</v>
      </c>
      <c r="U46" s="265">
        <v>0.05</v>
      </c>
      <c r="V46" s="265">
        <v>4.5999999999999999E-2</v>
      </c>
      <c r="W46" s="265">
        <v>5.2999999999999999E-2</v>
      </c>
      <c r="X46" s="265">
        <v>4.4999999999999998E-2</v>
      </c>
      <c r="Y46" s="265">
        <v>4.1000000000000002E-2</v>
      </c>
      <c r="Z46" s="265">
        <v>4.2000000000000003E-2</v>
      </c>
      <c r="AA46" s="265">
        <v>0.05</v>
      </c>
      <c r="AP46" s="321" t="s">
        <v>354</v>
      </c>
    </row>
    <row r="47" spans="2:45" ht="9.9499999999999993" customHeight="1" x14ac:dyDescent="0.15">
      <c r="B47" s="5"/>
      <c r="C47" s="292"/>
      <c r="D47" s="5"/>
      <c r="E47" s="2" t="s">
        <v>370</v>
      </c>
      <c r="F47" s="265">
        <v>5.1999999999999998E-2</v>
      </c>
      <c r="G47" s="265">
        <v>4.7E-2</v>
      </c>
      <c r="H47" s="265">
        <v>4.7E-2</v>
      </c>
      <c r="I47" s="265">
        <v>4.9000000000000002E-2</v>
      </c>
      <c r="J47" s="265">
        <v>0.05</v>
      </c>
      <c r="K47" s="265">
        <v>4.9000000000000002E-2</v>
      </c>
      <c r="L47" s="265">
        <v>4.5999999999999999E-2</v>
      </c>
      <c r="M47" s="265">
        <v>4.9000000000000002E-2</v>
      </c>
      <c r="N47" s="265">
        <v>5.8000000000000003E-2</v>
      </c>
      <c r="O47" s="265">
        <v>0.05</v>
      </c>
      <c r="P47" s="265">
        <v>4.7E-2</v>
      </c>
      <c r="Q47" s="265">
        <v>4.1000000000000002E-2</v>
      </c>
      <c r="R47" s="265">
        <v>5.2999999999999999E-2</v>
      </c>
      <c r="S47" s="265">
        <v>0.05</v>
      </c>
      <c r="T47" s="265">
        <v>5.5E-2</v>
      </c>
      <c r="U47" s="265">
        <v>5.2999999999999999E-2</v>
      </c>
      <c r="V47" s="265">
        <v>4.5999999999999999E-2</v>
      </c>
      <c r="W47" s="265">
        <v>5.0999999999999997E-2</v>
      </c>
      <c r="X47" s="265">
        <v>4.2999999999999997E-2</v>
      </c>
      <c r="Y47" s="265">
        <v>4.5999999999999999E-2</v>
      </c>
      <c r="Z47" s="265">
        <v>5.0999999999999997E-2</v>
      </c>
      <c r="AA47" s="265">
        <v>4.7E-2</v>
      </c>
      <c r="AL47" s="273" t="s">
        <v>348</v>
      </c>
    </row>
    <row r="48" spans="2:45" ht="9.9499999999999993" customHeight="1" x14ac:dyDescent="0.15">
      <c r="B48" s="7"/>
      <c r="C48" s="301"/>
      <c r="D48" s="7"/>
      <c r="E48" s="2" t="s">
        <v>371</v>
      </c>
      <c r="F48" s="265">
        <v>4.8000000000000001E-2</v>
      </c>
      <c r="G48" s="265">
        <v>4.7E-2</v>
      </c>
      <c r="H48" s="265">
        <v>3.5999999999999997E-2</v>
      </c>
      <c r="I48" s="265">
        <v>4.2000000000000003E-2</v>
      </c>
      <c r="J48" s="265">
        <v>3.6999999999999998E-2</v>
      </c>
      <c r="K48" s="265">
        <v>4.2999999999999997E-2</v>
      </c>
      <c r="L48" s="265">
        <v>4.4999999999999998E-2</v>
      </c>
      <c r="M48" s="265">
        <v>4.2999999999999997E-2</v>
      </c>
      <c r="N48" s="265">
        <v>4.2999999999999997E-2</v>
      </c>
      <c r="O48" s="265">
        <v>4.5999999999999999E-2</v>
      </c>
      <c r="P48" s="265">
        <v>3.9E-2</v>
      </c>
      <c r="Q48" s="265">
        <v>3.7999999999999999E-2</v>
      </c>
      <c r="R48" s="265">
        <v>3.5999999999999997E-2</v>
      </c>
      <c r="S48" s="265">
        <v>4.2000000000000003E-2</v>
      </c>
      <c r="T48" s="265">
        <v>4.1000000000000002E-2</v>
      </c>
      <c r="U48" s="265">
        <v>4.5999999999999999E-2</v>
      </c>
      <c r="V48" s="265">
        <v>4.2000000000000003E-2</v>
      </c>
      <c r="W48" s="265">
        <v>3.6999999999999998E-2</v>
      </c>
      <c r="X48" s="265">
        <v>3.5999999999999997E-2</v>
      </c>
      <c r="Y48" s="265">
        <v>4.2000000000000003E-2</v>
      </c>
      <c r="Z48" s="265">
        <v>3.6999999999999998E-2</v>
      </c>
      <c r="AA48" s="265">
        <v>4.2999999999999997E-2</v>
      </c>
    </row>
    <row r="49" spans="1:50" ht="9.9499999999999993" customHeight="1" x14ac:dyDescent="0.15">
      <c r="B49" s="600" t="s">
        <v>372</v>
      </c>
      <c r="C49" s="610" t="s">
        <v>373</v>
      </c>
      <c r="D49" s="592" t="s">
        <v>374</v>
      </c>
      <c r="E49" s="326"/>
      <c r="F49" s="260"/>
      <c r="G49" s="260"/>
      <c r="H49" s="261"/>
      <c r="I49" s="327" t="s">
        <v>375</v>
      </c>
      <c r="J49" s="328">
        <v>42880</v>
      </c>
      <c r="K49" s="328">
        <v>42891</v>
      </c>
      <c r="L49" s="2" t="s">
        <v>345</v>
      </c>
      <c r="M49" s="280"/>
      <c r="N49" s="280"/>
      <c r="O49" s="280"/>
      <c r="P49" s="280"/>
      <c r="Q49" s="280"/>
      <c r="R49" s="280"/>
      <c r="S49" s="280"/>
      <c r="T49" s="280"/>
      <c r="U49" s="280"/>
      <c r="V49" s="280"/>
      <c r="W49" s="280"/>
      <c r="X49" s="280"/>
      <c r="Y49" s="280"/>
      <c r="Z49" s="280"/>
      <c r="AA49" s="280"/>
    </row>
    <row r="50" spans="1:50" ht="9.9499999999999993" customHeight="1" x14ac:dyDescent="0.15">
      <c r="B50" s="609"/>
      <c r="C50" s="611"/>
      <c r="D50" s="593"/>
      <c r="E50" s="329" t="s">
        <v>347</v>
      </c>
      <c r="F50" s="260"/>
      <c r="G50" s="260"/>
      <c r="H50" s="261"/>
      <c r="I50" s="22" t="s">
        <v>110</v>
      </c>
      <c r="J50" s="22" t="s">
        <v>110</v>
      </c>
      <c r="K50" s="22" t="s">
        <v>110</v>
      </c>
      <c r="L50" s="2" t="s">
        <v>110</v>
      </c>
      <c r="N50" s="15" t="s">
        <v>348</v>
      </c>
      <c r="O50" s="15"/>
      <c r="P50" s="15"/>
      <c r="Q50" s="15"/>
      <c r="R50" s="15"/>
      <c r="S50" s="15"/>
      <c r="T50" s="15"/>
      <c r="U50" s="15"/>
      <c r="V50" s="15"/>
      <c r="W50" s="15"/>
      <c r="X50" s="15"/>
      <c r="Y50" s="15"/>
      <c r="Z50" s="15"/>
      <c r="AA50" s="15"/>
    </row>
    <row r="51" spans="1:50" ht="9.9499999999999993" customHeight="1" x14ac:dyDescent="0.15">
      <c r="B51" s="609"/>
      <c r="C51" s="611"/>
      <c r="D51" s="593"/>
      <c r="E51" s="329" t="s">
        <v>376</v>
      </c>
      <c r="F51" s="260"/>
      <c r="G51" s="260"/>
      <c r="H51" s="261"/>
      <c r="I51" s="22" t="s">
        <v>110</v>
      </c>
      <c r="J51" s="22" t="s">
        <v>110</v>
      </c>
      <c r="K51" s="22" t="s">
        <v>110</v>
      </c>
      <c r="L51" s="2" t="s">
        <v>110</v>
      </c>
      <c r="N51" s="1" t="s">
        <v>377</v>
      </c>
      <c r="O51" s="15"/>
      <c r="P51" s="15"/>
      <c r="Q51" s="15"/>
      <c r="R51" s="15"/>
      <c r="S51" s="15"/>
      <c r="T51" s="15"/>
      <c r="U51" s="15"/>
      <c r="V51" s="15"/>
      <c r="W51" s="15"/>
      <c r="X51" s="15"/>
      <c r="Y51" s="15"/>
      <c r="Z51" s="15"/>
      <c r="AA51" s="15"/>
    </row>
    <row r="52" spans="1:50" ht="9.9499999999999993" customHeight="1" x14ac:dyDescent="0.15">
      <c r="B52" s="268"/>
      <c r="C52" s="611"/>
      <c r="D52" s="593"/>
      <c r="E52" s="329" t="s">
        <v>353</v>
      </c>
      <c r="F52" s="260"/>
      <c r="G52" s="260"/>
      <c r="H52" s="261"/>
      <c r="I52" s="22" t="s">
        <v>110</v>
      </c>
      <c r="J52" s="330">
        <v>0.7</v>
      </c>
      <c r="K52" s="330">
        <v>0.9</v>
      </c>
      <c r="L52" s="22" t="s">
        <v>355</v>
      </c>
      <c r="M52" s="8"/>
      <c r="N52" s="8"/>
      <c r="O52" s="8"/>
      <c r="P52" s="8"/>
      <c r="Q52" s="8"/>
      <c r="R52" s="8"/>
      <c r="S52" s="8"/>
      <c r="T52" s="8"/>
      <c r="U52" s="8"/>
      <c r="V52" s="8"/>
      <c r="W52" s="8"/>
      <c r="X52" s="8"/>
      <c r="Y52" s="8"/>
      <c r="Z52" s="8"/>
      <c r="AA52" s="8"/>
      <c r="AF52" s="257"/>
    </row>
    <row r="53" spans="1:50" ht="9.9499999999999993" customHeight="1" x14ac:dyDescent="0.15">
      <c r="B53" s="331"/>
      <c r="C53" s="612"/>
      <c r="D53" s="7"/>
      <c r="E53" s="329" t="s">
        <v>357</v>
      </c>
      <c r="F53" s="260"/>
      <c r="G53" s="260"/>
      <c r="H53" s="261"/>
      <c r="I53" s="22" t="s">
        <v>110</v>
      </c>
      <c r="J53" s="22" t="s">
        <v>110</v>
      </c>
      <c r="K53" s="22" t="s">
        <v>110</v>
      </c>
      <c r="L53" s="2" t="s">
        <v>110</v>
      </c>
      <c r="M53" s="8"/>
      <c r="N53" s="8"/>
      <c r="O53" s="8"/>
      <c r="P53" s="8"/>
      <c r="Q53" s="8"/>
      <c r="R53" s="8"/>
      <c r="S53" s="8"/>
      <c r="T53" s="8"/>
      <c r="U53" s="8"/>
      <c r="V53" s="8"/>
      <c r="W53" s="8"/>
      <c r="X53" s="8"/>
      <c r="Y53" s="8"/>
      <c r="Z53" s="8"/>
      <c r="AA53" s="8"/>
      <c r="AB53" s="8"/>
      <c r="AC53" s="8"/>
      <c r="AD53" s="8"/>
      <c r="AE53" s="257"/>
      <c r="AF53" s="257"/>
    </row>
    <row r="54" spans="1:50" ht="9.9499999999999993" customHeight="1" x14ac:dyDescent="0.15">
      <c r="L54" s="257"/>
      <c r="M54" s="257"/>
      <c r="N54" s="257"/>
      <c r="O54" s="257"/>
      <c r="P54" s="257"/>
      <c r="Q54" s="257"/>
      <c r="R54" s="257"/>
      <c r="S54" s="257"/>
      <c r="T54" s="257"/>
      <c r="U54" s="257"/>
      <c r="V54" s="257"/>
      <c r="W54" s="257"/>
      <c r="X54" s="257"/>
      <c r="Y54" s="257"/>
      <c r="Z54" s="257"/>
      <c r="AA54" s="257"/>
      <c r="AB54" s="257"/>
      <c r="AC54" s="257"/>
      <c r="AD54" s="257"/>
      <c r="AE54" s="257"/>
      <c r="AF54" s="257"/>
    </row>
    <row r="55" spans="1:50" ht="9.9499999999999993" customHeight="1" x14ac:dyDescent="0.15">
      <c r="A55" s="257"/>
      <c r="B55" s="258" t="s">
        <v>378</v>
      </c>
      <c r="C55" s="258"/>
      <c r="D55" s="258"/>
      <c r="E55" s="258" t="s">
        <v>379</v>
      </c>
      <c r="F55" s="258"/>
      <c r="G55" s="258"/>
      <c r="H55" s="258"/>
      <c r="I55" s="258"/>
      <c r="J55" s="258"/>
      <c r="K55" s="258"/>
      <c r="L55" s="258"/>
      <c r="M55" s="258"/>
      <c r="N55" s="258" t="s">
        <v>380</v>
      </c>
      <c r="O55" s="258"/>
      <c r="P55" s="258"/>
      <c r="Q55" s="258"/>
      <c r="R55" s="258"/>
      <c r="S55" s="258"/>
      <c r="T55" s="258"/>
      <c r="U55" s="258"/>
      <c r="V55" s="258"/>
      <c r="W55" s="8"/>
      <c r="X55" s="8"/>
      <c r="Y55" s="8"/>
      <c r="Z55" s="8"/>
      <c r="AA55" s="8"/>
    </row>
    <row r="56" spans="1:50" ht="9.9499999999999993" customHeight="1" x14ac:dyDescent="0.15">
      <c r="A56" s="257"/>
      <c r="B56" s="273" t="s">
        <v>381</v>
      </c>
      <c r="C56" s="8"/>
      <c r="D56" s="8"/>
      <c r="E56" s="8"/>
      <c r="F56" s="8"/>
      <c r="G56" s="9"/>
      <c r="H56" s="9"/>
      <c r="I56" s="9"/>
      <c r="J56" s="9"/>
      <c r="K56" s="9"/>
      <c r="L56" s="8"/>
      <c r="M56" s="8" t="s">
        <v>382</v>
      </c>
      <c r="N56" s="8"/>
      <c r="O56" s="8"/>
      <c r="P56" s="8"/>
      <c r="Q56" s="8"/>
      <c r="R56" s="8"/>
      <c r="S56" s="8"/>
      <c r="T56" s="8"/>
      <c r="U56" s="8"/>
      <c r="V56" s="8"/>
      <c r="W56" s="8"/>
      <c r="X56" s="8"/>
      <c r="Y56" s="8"/>
      <c r="Z56" s="8"/>
      <c r="AA56" s="8"/>
      <c r="AB56" s="8"/>
      <c r="AC56" s="8"/>
      <c r="AD56" s="8"/>
      <c r="AE56" s="8"/>
      <c r="AF56" s="257"/>
      <c r="AH56" s="273" t="s">
        <v>383</v>
      </c>
      <c r="AI56" s="8"/>
      <c r="AJ56" s="8"/>
      <c r="AK56" s="8"/>
      <c r="AL56" s="8"/>
      <c r="AM56" s="8"/>
      <c r="AN56" s="8"/>
      <c r="AO56" s="8"/>
      <c r="AP56" s="8"/>
      <c r="AQ56" s="8"/>
      <c r="AR56" s="8"/>
      <c r="AS56" s="8"/>
      <c r="AT56" s="8"/>
      <c r="AU56" s="257"/>
      <c r="AV56" s="257"/>
      <c r="AW56" s="257"/>
      <c r="AX56" s="257"/>
    </row>
    <row r="57" spans="1:50" ht="9.9499999999999993" customHeight="1" x14ac:dyDescent="0.15">
      <c r="B57" s="3" t="s">
        <v>384</v>
      </c>
      <c r="C57" s="3" t="s">
        <v>232</v>
      </c>
      <c r="D57" s="3" t="s">
        <v>385</v>
      </c>
      <c r="E57" s="3" t="s">
        <v>234</v>
      </c>
      <c r="F57" s="3" t="s">
        <v>235</v>
      </c>
      <c r="G57" s="259" t="s">
        <v>386</v>
      </c>
      <c r="H57" s="260"/>
      <c r="I57" s="260"/>
      <c r="J57" s="260"/>
      <c r="K57" s="261"/>
      <c r="L57" s="5"/>
      <c r="M57" s="3" t="s">
        <v>237</v>
      </c>
      <c r="N57" s="263">
        <v>43269</v>
      </c>
      <c r="O57" s="263">
        <v>43270</v>
      </c>
      <c r="P57" s="263">
        <v>43271</v>
      </c>
      <c r="Q57" s="263">
        <v>43272</v>
      </c>
      <c r="R57" s="263">
        <v>43273</v>
      </c>
      <c r="S57" s="13"/>
      <c r="T57" s="8"/>
      <c r="U57" s="8"/>
      <c r="V57" s="8"/>
      <c r="W57" s="8"/>
      <c r="X57" s="8"/>
      <c r="Y57" s="8"/>
      <c r="Z57" s="8"/>
      <c r="AA57" s="8"/>
      <c r="AB57" s="8"/>
      <c r="AC57" s="8"/>
      <c r="AD57" s="8"/>
      <c r="AE57" s="8"/>
      <c r="AF57" s="257"/>
      <c r="AH57" s="273" t="s">
        <v>246</v>
      </c>
      <c r="AI57" s="8"/>
      <c r="AJ57" s="8"/>
      <c r="AK57" s="8"/>
      <c r="AL57" s="8"/>
      <c r="AM57" s="8"/>
      <c r="AN57" s="8"/>
      <c r="AO57" s="8"/>
      <c r="AP57" s="8"/>
      <c r="AQ57" s="8"/>
      <c r="AR57" s="8"/>
      <c r="AS57" s="8"/>
      <c r="AT57" s="8"/>
      <c r="AU57" s="257"/>
    </row>
    <row r="58" spans="1:50" ht="9.9499999999999993" customHeight="1" x14ac:dyDescent="0.15">
      <c r="B58" s="5"/>
      <c r="C58" s="5"/>
      <c r="D58" s="5"/>
      <c r="E58" s="5"/>
      <c r="F58" s="5"/>
      <c r="G58" s="263">
        <v>43269</v>
      </c>
      <c r="H58" s="263">
        <v>43270</v>
      </c>
      <c r="I58" s="263">
        <v>43271</v>
      </c>
      <c r="J58" s="263">
        <v>43272</v>
      </c>
      <c r="K58" s="263">
        <v>43273</v>
      </c>
      <c r="L58" s="5"/>
      <c r="M58" s="7"/>
      <c r="N58" s="264">
        <v>43269</v>
      </c>
      <c r="O58" s="264">
        <v>43270</v>
      </c>
      <c r="P58" s="264">
        <v>43271</v>
      </c>
      <c r="Q58" s="264">
        <v>43272</v>
      </c>
      <c r="R58" s="264">
        <v>43273</v>
      </c>
      <c r="S58" s="13"/>
      <c r="T58" s="15"/>
      <c r="U58" s="15"/>
      <c r="V58" s="15"/>
      <c r="W58" s="15"/>
      <c r="X58" s="15"/>
      <c r="Y58" s="15"/>
      <c r="Z58" s="15"/>
      <c r="AA58" s="15"/>
      <c r="AB58" s="15"/>
      <c r="AC58" s="15"/>
      <c r="AD58" s="15"/>
      <c r="AE58" s="15"/>
      <c r="AF58" s="257"/>
      <c r="AH58" s="1" t="s">
        <v>387</v>
      </c>
    </row>
    <row r="59" spans="1:50" ht="9.9499999999999993" customHeight="1" x14ac:dyDescent="0.15">
      <c r="B59" s="7"/>
      <c r="C59" s="7"/>
      <c r="D59" s="7"/>
      <c r="E59" s="7"/>
      <c r="F59" s="5"/>
      <c r="G59" s="264">
        <v>43269</v>
      </c>
      <c r="H59" s="264">
        <v>43270</v>
      </c>
      <c r="I59" s="264">
        <v>43271</v>
      </c>
      <c r="J59" s="264">
        <v>43272</v>
      </c>
      <c r="K59" s="264">
        <v>43273</v>
      </c>
      <c r="L59" s="5"/>
      <c r="M59" s="2" t="s">
        <v>238</v>
      </c>
      <c r="N59" s="265">
        <v>4.4999999999999998E-2</v>
      </c>
      <c r="O59" s="265">
        <v>4.3999999999999997E-2</v>
      </c>
      <c r="P59" s="265">
        <v>4.8000000000000001E-2</v>
      </c>
      <c r="Q59" s="265">
        <v>4.5999999999999999E-2</v>
      </c>
      <c r="R59" s="265">
        <v>4.7E-2</v>
      </c>
      <c r="S59" s="13"/>
      <c r="T59" s="15"/>
      <c r="U59" s="15"/>
      <c r="V59" s="15"/>
      <c r="W59" s="15"/>
      <c r="X59" s="15"/>
      <c r="Y59" s="15"/>
      <c r="Z59" s="15"/>
      <c r="AA59" s="15"/>
      <c r="AB59" s="15"/>
      <c r="AC59" s="15"/>
      <c r="AD59" s="15"/>
      <c r="AE59" s="15"/>
      <c r="AF59" s="257"/>
      <c r="AH59" s="259"/>
      <c r="AI59" s="260"/>
      <c r="AJ59" s="261"/>
      <c r="AK59" s="259" t="s">
        <v>260</v>
      </c>
      <c r="AL59" s="261"/>
      <c r="AM59" s="2" t="s">
        <v>233</v>
      </c>
      <c r="AN59" s="259" t="s">
        <v>261</v>
      </c>
      <c r="AO59" s="261"/>
      <c r="AP59" s="259" t="s">
        <v>262</v>
      </c>
      <c r="AQ59" s="261"/>
      <c r="AR59" s="332"/>
      <c r="AS59" s="283"/>
      <c r="AT59" s="284"/>
    </row>
    <row r="60" spans="1:50" ht="9.9499999999999993" customHeight="1" x14ac:dyDescent="0.15">
      <c r="B60" s="266" t="s">
        <v>388</v>
      </c>
      <c r="C60" s="266" t="s">
        <v>223</v>
      </c>
      <c r="D60" s="266" t="s">
        <v>240</v>
      </c>
      <c r="E60" s="267" t="s">
        <v>389</v>
      </c>
      <c r="F60" s="268"/>
      <c r="G60" s="269">
        <v>990</v>
      </c>
      <c r="H60" s="269">
        <v>980</v>
      </c>
      <c r="I60" s="269">
        <v>970</v>
      </c>
      <c r="J60" s="269">
        <v>940</v>
      </c>
      <c r="K60" s="269">
        <v>870</v>
      </c>
      <c r="L60" s="5"/>
      <c r="M60" s="2" t="s">
        <v>242</v>
      </c>
      <c r="N60" s="265">
        <v>4.5999999999999999E-2</v>
      </c>
      <c r="O60" s="265">
        <v>5.1999999999999998E-2</v>
      </c>
      <c r="P60" s="265">
        <v>3.9E-2</v>
      </c>
      <c r="Q60" s="265">
        <v>0.05</v>
      </c>
      <c r="R60" s="265">
        <v>4.3999999999999997E-2</v>
      </c>
      <c r="S60" s="13"/>
      <c r="T60" s="15"/>
      <c r="U60" s="15"/>
      <c r="V60" s="15"/>
      <c r="W60" s="15"/>
      <c r="X60" s="15"/>
      <c r="Y60" s="15"/>
      <c r="Z60" s="15"/>
      <c r="AA60" s="15"/>
      <c r="AB60" s="15"/>
      <c r="AC60" s="15"/>
      <c r="AD60" s="15"/>
      <c r="AE60" s="15"/>
      <c r="AF60" s="257"/>
      <c r="AH60" s="259" t="s">
        <v>388</v>
      </c>
      <c r="AI60" s="260"/>
      <c r="AJ60" s="261"/>
      <c r="AK60" s="259" t="s">
        <v>223</v>
      </c>
      <c r="AL60" s="261"/>
      <c r="AM60" s="2" t="s">
        <v>240</v>
      </c>
      <c r="AN60" s="259" t="s">
        <v>390</v>
      </c>
      <c r="AO60" s="261"/>
      <c r="AP60" s="259" t="s">
        <v>391</v>
      </c>
      <c r="AQ60" s="261"/>
      <c r="AR60" s="333"/>
      <c r="AS60" s="285"/>
      <c r="AT60" s="286"/>
    </row>
    <row r="61" spans="1:50" ht="9.9499999999999993" customHeight="1" x14ac:dyDescent="0.15">
      <c r="B61" s="7"/>
      <c r="C61" s="7"/>
      <c r="D61" s="7"/>
      <c r="E61" s="7"/>
      <c r="F61" s="7"/>
      <c r="G61" s="270"/>
      <c r="H61" s="270"/>
      <c r="I61" s="270"/>
      <c r="J61" s="270"/>
      <c r="K61" s="271">
        <f>SUM(G60:K60)</f>
        <v>4750</v>
      </c>
      <c r="L61" s="5"/>
      <c r="M61" s="2" t="s">
        <v>243</v>
      </c>
      <c r="N61" s="265">
        <v>5.2999999999999999E-2</v>
      </c>
      <c r="O61" s="265">
        <v>0.05</v>
      </c>
      <c r="P61" s="265">
        <v>4.8000000000000001E-2</v>
      </c>
      <c r="Q61" s="265">
        <v>5.0999999999999997E-2</v>
      </c>
      <c r="R61" s="265">
        <v>4.3999999999999997E-2</v>
      </c>
      <c r="S61" s="13"/>
      <c r="T61" s="15"/>
      <c r="U61" s="15"/>
      <c r="V61" s="15"/>
      <c r="W61" s="15"/>
      <c r="X61" s="15"/>
      <c r="Y61" s="15"/>
      <c r="Z61" s="15"/>
      <c r="AA61" s="15"/>
      <c r="AB61" s="15"/>
      <c r="AC61" s="15"/>
      <c r="AD61" s="15"/>
      <c r="AE61" s="15"/>
      <c r="AF61" s="257"/>
      <c r="AH61" s="288" t="s">
        <v>392</v>
      </c>
      <c r="AI61" s="260"/>
      <c r="AJ61" s="260"/>
      <c r="AK61" s="260"/>
      <c r="AL61" s="260"/>
      <c r="AM61" s="260"/>
      <c r="AN61" s="260"/>
      <c r="AO61" s="260"/>
      <c r="AP61" s="260"/>
      <c r="AQ61" s="260"/>
      <c r="AR61" s="289" t="s">
        <v>393</v>
      </c>
    </row>
    <row r="62" spans="1:50" ht="9.9499999999999993" customHeight="1" x14ac:dyDescent="0.15">
      <c r="B62" s="8"/>
      <c r="C62" s="8"/>
      <c r="D62" s="8"/>
      <c r="E62" s="8"/>
      <c r="F62" s="8"/>
      <c r="G62" s="8"/>
      <c r="H62" s="8"/>
      <c r="I62" s="8"/>
      <c r="J62" s="8"/>
      <c r="K62" s="8"/>
      <c r="L62" s="8"/>
      <c r="M62" s="2" t="s">
        <v>245</v>
      </c>
      <c r="N62" s="265">
        <v>4.5999999999999999E-2</v>
      </c>
      <c r="O62" s="265">
        <v>0.05</v>
      </c>
      <c r="P62" s="265">
        <v>0.05</v>
      </c>
      <c r="Q62" s="265">
        <v>4.5999999999999999E-2</v>
      </c>
      <c r="R62" s="265">
        <v>4.8000000000000001E-2</v>
      </c>
      <c r="S62" s="13"/>
      <c r="T62" s="15"/>
      <c r="U62" s="15"/>
      <c r="V62" s="15"/>
      <c r="W62" s="15"/>
      <c r="X62" s="15"/>
      <c r="Y62" s="15"/>
      <c r="Z62" s="15"/>
      <c r="AA62" s="15"/>
      <c r="AB62" s="15"/>
      <c r="AC62" s="15"/>
      <c r="AD62" s="15"/>
      <c r="AE62" s="15"/>
      <c r="AF62" s="257"/>
      <c r="AH62" s="291"/>
      <c r="AI62" s="260"/>
      <c r="AJ62" s="260"/>
      <c r="AK62" s="261"/>
      <c r="AL62" s="259" t="s">
        <v>271</v>
      </c>
      <c r="AM62" s="260"/>
      <c r="AN62" s="261"/>
      <c r="AO62" s="259" t="s">
        <v>272</v>
      </c>
      <c r="AP62" s="261"/>
      <c r="AQ62" s="259" t="s">
        <v>273</v>
      </c>
      <c r="AR62" s="2" t="s">
        <v>274</v>
      </c>
      <c r="AS62" s="2" t="s">
        <v>275</v>
      </c>
    </row>
    <row r="63" spans="1:50" ht="9.9499999999999993" customHeight="1" x14ac:dyDescent="0.15">
      <c r="B63" s="8" t="s">
        <v>394</v>
      </c>
      <c r="C63" s="8"/>
      <c r="D63" s="8"/>
      <c r="E63" s="8"/>
      <c r="F63" s="8"/>
      <c r="G63" s="8"/>
      <c r="H63" s="8"/>
      <c r="I63" s="8"/>
      <c r="J63" s="8"/>
      <c r="K63" s="8"/>
      <c r="L63" s="8"/>
      <c r="M63" s="274"/>
      <c r="N63" s="274"/>
      <c r="O63" s="274"/>
      <c r="P63" s="274"/>
      <c r="Q63" s="274"/>
      <c r="R63" s="274"/>
      <c r="S63" s="13"/>
      <c r="T63" s="15"/>
      <c r="U63" s="15"/>
      <c r="V63" s="15"/>
      <c r="W63" s="15"/>
      <c r="X63" s="15"/>
      <c r="Y63" s="15"/>
      <c r="Z63" s="15"/>
      <c r="AA63" s="15"/>
      <c r="AB63" s="15"/>
      <c r="AC63" s="15"/>
      <c r="AD63" s="15"/>
      <c r="AE63" s="15"/>
      <c r="AF63" s="257"/>
      <c r="AH63" s="10" t="s">
        <v>282</v>
      </c>
      <c r="AI63" s="281"/>
      <c r="AJ63" s="10" t="s">
        <v>283</v>
      </c>
      <c r="AK63" s="281"/>
      <c r="AL63" s="594" t="s">
        <v>284</v>
      </c>
      <c r="AM63" s="595"/>
      <c r="AN63" s="596"/>
      <c r="AO63" s="294">
        <v>43273</v>
      </c>
      <c r="AP63" s="281"/>
      <c r="AQ63" s="10" t="s">
        <v>110</v>
      </c>
      <c r="AR63" s="3" t="s">
        <v>110</v>
      </c>
      <c r="AS63" s="3" t="s">
        <v>110</v>
      </c>
    </row>
    <row r="64" spans="1:50" ht="9.9499999999999993" customHeight="1" x14ac:dyDescent="0.15">
      <c r="B64" s="16"/>
      <c r="C64" s="3" t="s">
        <v>249</v>
      </c>
      <c r="D64" s="586" t="s">
        <v>395</v>
      </c>
      <c r="E64" s="276" t="s">
        <v>251</v>
      </c>
      <c r="F64" s="3" t="s">
        <v>396</v>
      </c>
      <c r="G64" s="259" t="s">
        <v>273</v>
      </c>
      <c r="H64" s="260"/>
      <c r="I64" s="260"/>
      <c r="J64" s="260"/>
      <c r="K64" s="260"/>
      <c r="L64" s="260"/>
      <c r="M64" s="260"/>
      <c r="N64" s="260"/>
      <c r="O64" s="260"/>
      <c r="P64" s="260"/>
      <c r="Q64" s="260"/>
      <c r="R64" s="260"/>
      <c r="S64" s="260"/>
      <c r="T64" s="260"/>
      <c r="U64" s="260"/>
      <c r="V64" s="260"/>
      <c r="W64" s="260"/>
      <c r="X64" s="260"/>
      <c r="Y64" s="260"/>
      <c r="Z64" s="260"/>
      <c r="AA64" s="260"/>
      <c r="AB64" s="260"/>
      <c r="AC64" s="260"/>
      <c r="AD64" s="260"/>
      <c r="AE64" s="260"/>
      <c r="AF64" s="261"/>
      <c r="AH64" s="13"/>
      <c r="AI64" s="14"/>
      <c r="AJ64" s="11"/>
      <c r="AK64" s="12"/>
      <c r="AL64" s="597"/>
      <c r="AM64" s="598"/>
      <c r="AN64" s="599"/>
      <c r="AO64" s="11"/>
      <c r="AP64" s="12"/>
      <c r="AQ64" s="11"/>
      <c r="AR64" s="7"/>
      <c r="AS64" s="7"/>
    </row>
    <row r="65" spans="2:46" ht="9.9499999999999993" customHeight="1" x14ac:dyDescent="0.15">
      <c r="B65" s="5"/>
      <c r="C65" s="5"/>
      <c r="D65" s="587"/>
      <c r="E65" s="5"/>
      <c r="F65" s="588" t="s">
        <v>254</v>
      </c>
      <c r="G65" s="259" t="s">
        <v>397</v>
      </c>
      <c r="H65" s="260"/>
      <c r="I65" s="260"/>
      <c r="J65" s="260"/>
      <c r="K65" s="260"/>
      <c r="L65" s="261"/>
      <c r="M65" s="259" t="s">
        <v>256</v>
      </c>
      <c r="N65" s="260"/>
      <c r="O65" s="260"/>
      <c r="P65" s="260"/>
      <c r="Q65" s="261"/>
      <c r="R65" s="259" t="s">
        <v>257</v>
      </c>
      <c r="S65" s="260"/>
      <c r="T65" s="260"/>
      <c r="U65" s="260"/>
      <c r="V65" s="261"/>
      <c r="W65" s="259" t="s">
        <v>258</v>
      </c>
      <c r="X65" s="260"/>
      <c r="Y65" s="260"/>
      <c r="Z65" s="260"/>
      <c r="AA65" s="261"/>
      <c r="AB65" s="259" t="s">
        <v>398</v>
      </c>
      <c r="AC65" s="260"/>
      <c r="AD65" s="260"/>
      <c r="AE65" s="260"/>
      <c r="AF65" s="261"/>
      <c r="AH65" s="11"/>
      <c r="AI65" s="12"/>
      <c r="AJ65" s="259" t="s">
        <v>287</v>
      </c>
      <c r="AK65" s="261"/>
      <c r="AL65" s="11" t="s">
        <v>288</v>
      </c>
      <c r="AM65" s="9"/>
      <c r="AN65" s="12"/>
      <c r="AO65" s="295">
        <v>43273</v>
      </c>
      <c r="AP65" s="261"/>
      <c r="AQ65" s="259" t="s">
        <v>110</v>
      </c>
      <c r="AR65" s="2" t="s">
        <v>110</v>
      </c>
      <c r="AS65" s="2" t="s">
        <v>110</v>
      </c>
    </row>
    <row r="66" spans="2:46" ht="9.9499999999999993" customHeight="1" x14ac:dyDescent="0.15">
      <c r="B66" s="5"/>
      <c r="C66" s="5"/>
      <c r="D66" s="587"/>
      <c r="E66" s="5"/>
      <c r="F66" s="589"/>
      <c r="G66" s="10" t="s">
        <v>263</v>
      </c>
      <c r="H66" s="280"/>
      <c r="I66" s="280"/>
      <c r="J66" s="280"/>
      <c r="K66" s="280"/>
      <c r="L66" s="280"/>
      <c r="M66" s="10"/>
      <c r="N66" s="280"/>
      <c r="O66" s="280"/>
      <c r="P66" s="280"/>
      <c r="Q66" s="281"/>
      <c r="R66" s="282"/>
      <c r="S66" s="280"/>
      <c r="T66" s="280"/>
      <c r="U66" s="280"/>
      <c r="V66" s="281"/>
      <c r="W66" s="280"/>
      <c r="X66" s="280"/>
      <c r="Y66" s="280"/>
      <c r="Z66" s="280"/>
      <c r="AA66" s="281"/>
      <c r="AB66" s="334"/>
      <c r="AC66" s="280"/>
      <c r="AD66" s="280"/>
      <c r="AE66" s="280"/>
      <c r="AF66" s="281"/>
      <c r="AH66" s="288" t="s">
        <v>290</v>
      </c>
      <c r="AI66" s="260"/>
      <c r="AJ66" s="260"/>
      <c r="AK66" s="260"/>
      <c r="AL66" s="260"/>
      <c r="AM66" s="260"/>
      <c r="AN66" s="260"/>
      <c r="AO66" s="260"/>
      <c r="AP66" s="260"/>
      <c r="AQ66" s="260"/>
      <c r="AR66" s="260" t="s">
        <v>399</v>
      </c>
      <c r="AS66" s="289"/>
    </row>
    <row r="67" spans="2:46" ht="9.9499999999999993" customHeight="1" x14ac:dyDescent="0.15">
      <c r="B67" s="5"/>
      <c r="C67" s="5"/>
      <c r="D67" s="5"/>
      <c r="E67" s="5"/>
      <c r="F67" s="625"/>
      <c r="G67" s="11"/>
      <c r="H67" s="278" t="s">
        <v>266</v>
      </c>
      <c r="I67" s="9"/>
      <c r="J67" s="9"/>
      <c r="K67" s="9"/>
      <c r="L67" s="9"/>
      <c r="M67" s="335" t="s">
        <v>400</v>
      </c>
      <c r="N67" s="9"/>
      <c r="O67" s="9"/>
      <c r="P67" s="9"/>
      <c r="Q67" s="12"/>
      <c r="R67" s="9"/>
      <c r="S67" s="9"/>
      <c r="T67" s="9"/>
      <c r="U67" s="9"/>
      <c r="V67" s="12"/>
      <c r="W67" s="9"/>
      <c r="X67" s="9"/>
      <c r="Y67" s="9"/>
      <c r="Z67" s="9"/>
      <c r="AA67" s="12"/>
      <c r="AB67" s="11"/>
      <c r="AC67" s="9"/>
      <c r="AD67" s="9"/>
      <c r="AE67" s="9"/>
      <c r="AF67" s="12"/>
      <c r="AH67" s="259" t="s">
        <v>292</v>
      </c>
      <c r="AI67" s="260"/>
      <c r="AJ67" s="260"/>
      <c r="AK67" s="261"/>
      <c r="AL67" s="296" t="s">
        <v>401</v>
      </c>
      <c r="AM67" s="280"/>
      <c r="AN67" s="281"/>
      <c r="AO67" s="297" t="s">
        <v>402</v>
      </c>
      <c r="AP67" s="261"/>
      <c r="AQ67" s="298">
        <v>160</v>
      </c>
      <c r="AR67" s="6">
        <v>110</v>
      </c>
      <c r="AS67" s="22" t="s">
        <v>403</v>
      </c>
    </row>
    <row r="68" spans="2:46" ht="9.9499999999999993" customHeight="1" x14ac:dyDescent="0.15">
      <c r="B68" s="590" t="s">
        <v>404</v>
      </c>
      <c r="C68" s="290">
        <v>0.23</v>
      </c>
      <c r="D68" s="592" t="s">
        <v>405</v>
      </c>
      <c r="E68" s="3" t="s">
        <v>237</v>
      </c>
      <c r="F68" s="263">
        <v>43234</v>
      </c>
      <c r="G68" s="263">
        <v>43269</v>
      </c>
      <c r="H68" s="263">
        <v>43270</v>
      </c>
      <c r="I68" s="263">
        <v>43271</v>
      </c>
      <c r="J68" s="263">
        <v>43272</v>
      </c>
      <c r="K68" s="263">
        <v>43273</v>
      </c>
      <c r="L68" s="263">
        <v>43274</v>
      </c>
      <c r="M68" s="263">
        <v>43276</v>
      </c>
      <c r="N68" s="263">
        <v>43277</v>
      </c>
      <c r="O68" s="263">
        <v>43278</v>
      </c>
      <c r="P68" s="263">
        <v>43279</v>
      </c>
      <c r="Q68" s="263">
        <v>43280</v>
      </c>
      <c r="R68" s="263">
        <v>43283</v>
      </c>
      <c r="S68" s="263">
        <v>43284</v>
      </c>
      <c r="T68" s="263">
        <v>43285</v>
      </c>
      <c r="U68" s="263">
        <v>43286</v>
      </c>
      <c r="V68" s="263">
        <v>43287</v>
      </c>
      <c r="W68" s="263">
        <v>43290</v>
      </c>
      <c r="X68" s="263">
        <v>43291</v>
      </c>
      <c r="Y68" s="263">
        <v>43292</v>
      </c>
      <c r="Z68" s="263">
        <v>43293</v>
      </c>
      <c r="AA68" s="263">
        <v>43294</v>
      </c>
      <c r="AB68" s="263">
        <v>43297</v>
      </c>
      <c r="AC68" s="263">
        <v>43298</v>
      </c>
      <c r="AD68" s="263">
        <v>43299</v>
      </c>
      <c r="AE68" s="263">
        <v>43300</v>
      </c>
      <c r="AF68" s="263">
        <v>43301</v>
      </c>
      <c r="AH68" s="259" t="s">
        <v>298</v>
      </c>
      <c r="AI68" s="260"/>
      <c r="AJ68" s="260"/>
      <c r="AK68" s="261"/>
      <c r="AL68" s="300" t="s">
        <v>299</v>
      </c>
      <c r="AM68" s="9"/>
      <c r="AN68" s="12"/>
      <c r="AO68" s="297" t="s">
        <v>406</v>
      </c>
      <c r="AP68" s="261"/>
      <c r="AQ68" s="298">
        <v>54</v>
      </c>
      <c r="AR68" s="6">
        <v>32</v>
      </c>
      <c r="AS68" s="2" t="s">
        <v>301</v>
      </c>
    </row>
    <row r="69" spans="2:46" ht="9.9499999999999993" customHeight="1" x14ac:dyDescent="0.15">
      <c r="B69" s="591"/>
      <c r="C69" s="292"/>
      <c r="D69" s="593"/>
      <c r="E69" s="7"/>
      <c r="F69" s="2" t="s">
        <v>276</v>
      </c>
      <c r="G69" s="264">
        <v>43269</v>
      </c>
      <c r="H69" s="264">
        <v>43270</v>
      </c>
      <c r="I69" s="264">
        <v>43271</v>
      </c>
      <c r="J69" s="264">
        <v>43272</v>
      </c>
      <c r="K69" s="264">
        <v>43273</v>
      </c>
      <c r="L69" s="264">
        <v>43274</v>
      </c>
      <c r="M69" s="264">
        <v>43276</v>
      </c>
      <c r="N69" s="264">
        <v>43277</v>
      </c>
      <c r="O69" s="264">
        <v>43278</v>
      </c>
      <c r="P69" s="264">
        <v>43279</v>
      </c>
      <c r="Q69" s="264">
        <v>43280</v>
      </c>
      <c r="R69" s="264">
        <v>43283</v>
      </c>
      <c r="S69" s="264">
        <v>43284</v>
      </c>
      <c r="T69" s="264">
        <v>43285</v>
      </c>
      <c r="U69" s="264">
        <v>43286</v>
      </c>
      <c r="V69" s="264">
        <v>43287</v>
      </c>
      <c r="W69" s="264">
        <v>43290</v>
      </c>
      <c r="X69" s="264">
        <v>43291</v>
      </c>
      <c r="Y69" s="264">
        <v>43292</v>
      </c>
      <c r="Z69" s="264">
        <v>43293</v>
      </c>
      <c r="AA69" s="264">
        <v>43294</v>
      </c>
      <c r="AB69" s="264">
        <v>43297</v>
      </c>
      <c r="AC69" s="264">
        <v>43298</v>
      </c>
      <c r="AD69" s="264">
        <v>43299</v>
      </c>
      <c r="AE69" s="264">
        <v>43300</v>
      </c>
      <c r="AF69" s="264">
        <v>43301</v>
      </c>
      <c r="AH69" s="302" t="s">
        <v>407</v>
      </c>
      <c r="AI69" s="280"/>
      <c r="AJ69" s="280"/>
      <c r="AK69" s="280"/>
      <c r="AL69" s="280"/>
      <c r="AM69" s="280"/>
      <c r="AN69" s="280"/>
      <c r="AO69" s="280"/>
      <c r="AP69" s="280"/>
      <c r="AQ69" s="280"/>
      <c r="AR69" s="280"/>
      <c r="AS69" s="280"/>
      <c r="AT69" s="257"/>
    </row>
    <row r="70" spans="2:46" ht="9.9499999999999993" customHeight="1" x14ac:dyDescent="0.15">
      <c r="B70" s="591"/>
      <c r="C70" s="292"/>
      <c r="D70" s="593"/>
      <c r="E70" s="2" t="s">
        <v>408</v>
      </c>
      <c r="F70" s="265">
        <v>4.8000000000000001E-2</v>
      </c>
      <c r="G70" s="265">
        <v>5.3999999999999999E-2</v>
      </c>
      <c r="H70" s="265">
        <v>4.2000000000000003E-2</v>
      </c>
      <c r="I70" s="265">
        <v>0.06</v>
      </c>
      <c r="J70" s="265">
        <v>3.5999999999999997E-2</v>
      </c>
      <c r="K70" s="265">
        <v>4.2000000000000003E-2</v>
      </c>
      <c r="L70" s="265">
        <v>4.3999999999999997E-2</v>
      </c>
      <c r="M70" s="265">
        <v>4.8000000000000001E-2</v>
      </c>
      <c r="N70" s="265">
        <v>3.5999999999999997E-2</v>
      </c>
      <c r="O70" s="265">
        <v>4.8000000000000001E-2</v>
      </c>
      <c r="P70" s="265">
        <v>4.2000000000000003E-2</v>
      </c>
      <c r="Q70" s="265">
        <v>4.8000000000000001E-2</v>
      </c>
      <c r="R70" s="265">
        <v>3.5999999999999997E-2</v>
      </c>
      <c r="S70" s="265">
        <v>4.8000000000000001E-2</v>
      </c>
      <c r="T70" s="265">
        <v>4.2000000000000003E-2</v>
      </c>
      <c r="U70" s="265">
        <v>4.8000000000000001E-2</v>
      </c>
      <c r="V70" s="265">
        <v>4.2000000000000003E-2</v>
      </c>
      <c r="W70" s="265">
        <v>5.3999999999999999E-2</v>
      </c>
      <c r="X70" s="265">
        <v>4.2000000000000003E-2</v>
      </c>
      <c r="Y70" s="265">
        <v>4.8000000000000001E-2</v>
      </c>
      <c r="Z70" s="265">
        <v>4.2000000000000003E-2</v>
      </c>
      <c r="AA70" s="265">
        <v>4.8000000000000001E-2</v>
      </c>
      <c r="AB70" s="265">
        <v>4.2000000000000003E-2</v>
      </c>
      <c r="AC70" s="265">
        <v>4.8000000000000001E-2</v>
      </c>
      <c r="AD70" s="265">
        <v>4.2000000000000003E-2</v>
      </c>
      <c r="AE70" s="265">
        <v>3.5999999999999997E-2</v>
      </c>
      <c r="AF70" s="265">
        <v>4.2000000000000003E-2</v>
      </c>
      <c r="AH70" s="306" t="s">
        <v>409</v>
      </c>
      <c r="AI70" s="8"/>
      <c r="AJ70" s="8"/>
      <c r="AK70" s="8"/>
      <c r="AL70" s="8"/>
      <c r="AM70" s="8"/>
      <c r="AN70" s="8"/>
      <c r="AO70" s="8"/>
      <c r="AP70" s="8"/>
      <c r="AQ70" s="8"/>
      <c r="AR70" s="8"/>
      <c r="AS70" s="8"/>
      <c r="AT70" s="257"/>
    </row>
    <row r="71" spans="2:46" ht="9.9499999999999993" customHeight="1" x14ac:dyDescent="0.15">
      <c r="B71" s="591"/>
      <c r="C71" s="292"/>
      <c r="D71" s="593"/>
      <c r="E71" s="2" t="s">
        <v>286</v>
      </c>
      <c r="F71" s="265">
        <v>3.2000000000000001E-2</v>
      </c>
      <c r="G71" s="265">
        <v>3.7999999999999999E-2</v>
      </c>
      <c r="H71" s="265">
        <v>4.1000000000000002E-2</v>
      </c>
      <c r="I71" s="265">
        <v>0.04</v>
      </c>
      <c r="J71" s="265">
        <v>4.1000000000000002E-2</v>
      </c>
      <c r="K71" s="265">
        <v>0.04</v>
      </c>
      <c r="L71" s="265">
        <v>3.7999999999999999E-2</v>
      </c>
      <c r="M71" s="265">
        <v>4.2999999999999997E-2</v>
      </c>
      <c r="N71" s="265">
        <v>4.1000000000000002E-2</v>
      </c>
      <c r="O71" s="265">
        <v>4.1000000000000002E-2</v>
      </c>
      <c r="P71" s="265">
        <v>0.04</v>
      </c>
      <c r="Q71" s="265">
        <v>4.1000000000000002E-2</v>
      </c>
      <c r="R71" s="265">
        <v>3.9E-2</v>
      </c>
      <c r="S71" s="265">
        <v>4.9000000000000002E-2</v>
      </c>
      <c r="T71" s="265">
        <v>4.7E-2</v>
      </c>
      <c r="U71" s="265">
        <v>3.9E-2</v>
      </c>
      <c r="V71" s="265">
        <v>4.7E-2</v>
      </c>
      <c r="W71" s="265">
        <v>4.2999999999999997E-2</v>
      </c>
      <c r="X71" s="265">
        <v>3.4000000000000002E-2</v>
      </c>
      <c r="Y71" s="265">
        <v>4.5999999999999999E-2</v>
      </c>
      <c r="Z71" s="265">
        <v>4.1000000000000002E-2</v>
      </c>
      <c r="AA71" s="265">
        <v>3.6999999999999998E-2</v>
      </c>
      <c r="AB71" s="265">
        <v>4.2999999999999997E-2</v>
      </c>
      <c r="AC71" s="265">
        <v>4.1000000000000002E-2</v>
      </c>
      <c r="AD71" s="265">
        <v>4.7E-2</v>
      </c>
      <c r="AE71" s="265">
        <v>3.6999999999999998E-2</v>
      </c>
      <c r="AF71" s="265">
        <v>4.5999999999999999E-2</v>
      </c>
      <c r="AH71" s="278" t="s">
        <v>410</v>
      </c>
      <c r="AI71" s="9"/>
      <c r="AJ71" s="9"/>
      <c r="AK71" s="9"/>
      <c r="AL71" s="8"/>
      <c r="AM71" s="8"/>
      <c r="AN71" s="8"/>
      <c r="AO71" s="9"/>
      <c r="AP71" s="9"/>
      <c r="AQ71" s="9"/>
      <c r="AR71" s="9" t="s">
        <v>411</v>
      </c>
      <c r="AS71" s="9"/>
      <c r="AT71" s="257"/>
    </row>
    <row r="72" spans="2:46" ht="9.9499999999999993" customHeight="1" x14ac:dyDescent="0.15">
      <c r="B72" s="591"/>
      <c r="C72" s="292"/>
      <c r="D72" s="5"/>
      <c r="E72" s="2" t="s">
        <v>412</v>
      </c>
      <c r="F72" s="265">
        <v>4.2999999999999997E-2</v>
      </c>
      <c r="G72" s="265">
        <v>3.7999999999999999E-2</v>
      </c>
      <c r="H72" s="265">
        <v>4.2000000000000003E-2</v>
      </c>
      <c r="I72" s="265">
        <v>4.2000000000000003E-2</v>
      </c>
      <c r="J72" s="265">
        <v>0.04</v>
      </c>
      <c r="K72" s="265">
        <v>4.2999999999999997E-2</v>
      </c>
      <c r="L72" s="265">
        <v>4.4999999999999998E-2</v>
      </c>
      <c r="M72" s="265">
        <v>4.3999999999999997E-2</v>
      </c>
      <c r="N72" s="265">
        <v>4.4999999999999998E-2</v>
      </c>
      <c r="O72" s="265">
        <v>4.3999999999999997E-2</v>
      </c>
      <c r="P72" s="265">
        <v>4.3999999999999997E-2</v>
      </c>
      <c r="Q72" s="265">
        <v>4.2000000000000003E-2</v>
      </c>
      <c r="R72" s="265">
        <v>4.2000000000000003E-2</v>
      </c>
      <c r="S72" s="265">
        <v>4.1000000000000002E-2</v>
      </c>
      <c r="T72" s="265">
        <v>4.7E-2</v>
      </c>
      <c r="U72" s="265">
        <v>4.5999999999999999E-2</v>
      </c>
      <c r="V72" s="265">
        <v>4.4999999999999998E-2</v>
      </c>
      <c r="W72" s="265">
        <v>4.2999999999999997E-2</v>
      </c>
      <c r="X72" s="265">
        <v>4.2000000000000003E-2</v>
      </c>
      <c r="Y72" s="265">
        <v>4.2000000000000003E-2</v>
      </c>
      <c r="Z72" s="265">
        <v>4.7E-2</v>
      </c>
      <c r="AA72" s="265">
        <v>4.8000000000000001E-2</v>
      </c>
      <c r="AB72" s="265">
        <v>4.2000000000000003E-2</v>
      </c>
      <c r="AC72" s="265">
        <v>4.4999999999999998E-2</v>
      </c>
      <c r="AD72" s="265">
        <v>3.9E-2</v>
      </c>
      <c r="AE72" s="265">
        <v>3.9E-2</v>
      </c>
      <c r="AF72" s="265">
        <v>4.2999999999999997E-2</v>
      </c>
      <c r="AH72" s="259" t="s">
        <v>316</v>
      </c>
      <c r="AI72" s="260"/>
      <c r="AJ72" s="260"/>
      <c r="AK72" s="261"/>
      <c r="AL72" s="10" t="s">
        <v>413</v>
      </c>
      <c r="AM72" s="280"/>
      <c r="AN72" s="281"/>
      <c r="AO72" s="10" t="s">
        <v>414</v>
      </c>
      <c r="AP72" s="261"/>
      <c r="AQ72" s="312">
        <v>4.7E-2</v>
      </c>
      <c r="AR72" s="265" t="s">
        <v>415</v>
      </c>
      <c r="AS72" s="265">
        <v>5.6000000000000001E-2</v>
      </c>
    </row>
    <row r="73" spans="2:46" ht="9.9499999999999993" customHeight="1" x14ac:dyDescent="0.15">
      <c r="B73" s="591"/>
      <c r="C73" s="292"/>
      <c r="D73" s="5"/>
      <c r="E73" s="2" t="s">
        <v>416</v>
      </c>
      <c r="F73" s="265">
        <v>3.9E-2</v>
      </c>
      <c r="G73" s="265">
        <v>3.6999999999999998E-2</v>
      </c>
      <c r="H73" s="265">
        <v>3.6999999999999998E-2</v>
      </c>
      <c r="I73" s="265">
        <v>3.7999999999999999E-2</v>
      </c>
      <c r="J73" s="265">
        <v>3.5999999999999997E-2</v>
      </c>
      <c r="K73" s="265">
        <v>3.6999999999999998E-2</v>
      </c>
      <c r="L73" s="265">
        <v>3.5000000000000003E-2</v>
      </c>
      <c r="M73" s="265">
        <v>0.04</v>
      </c>
      <c r="N73" s="265">
        <v>0.04</v>
      </c>
      <c r="O73" s="265">
        <v>4.1000000000000002E-2</v>
      </c>
      <c r="P73" s="265">
        <v>4.2999999999999997E-2</v>
      </c>
      <c r="Q73" s="265">
        <v>4.1000000000000002E-2</v>
      </c>
      <c r="R73" s="265">
        <v>4.2000000000000003E-2</v>
      </c>
      <c r="S73" s="265">
        <v>3.5999999999999997E-2</v>
      </c>
      <c r="T73" s="265">
        <v>0.04</v>
      </c>
      <c r="U73" s="265">
        <v>4.1000000000000002E-2</v>
      </c>
      <c r="V73" s="265">
        <v>3.6999999999999998E-2</v>
      </c>
      <c r="W73" s="265">
        <v>3.6999999999999998E-2</v>
      </c>
      <c r="X73" s="265">
        <v>0.04</v>
      </c>
      <c r="Y73" s="265">
        <v>3.7999999999999999E-2</v>
      </c>
      <c r="Z73" s="265">
        <v>0.04</v>
      </c>
      <c r="AA73" s="265">
        <v>0.04</v>
      </c>
      <c r="AB73" s="265">
        <v>3.4000000000000002E-2</v>
      </c>
      <c r="AC73" s="265">
        <v>0.03</v>
      </c>
      <c r="AD73" s="265">
        <v>3.5999999999999997E-2</v>
      </c>
      <c r="AE73" s="265">
        <v>3.9E-2</v>
      </c>
      <c r="AF73" s="265">
        <v>3.5999999999999997E-2</v>
      </c>
      <c r="AH73" s="259" t="s">
        <v>325</v>
      </c>
      <c r="AI73" s="260"/>
      <c r="AJ73" s="260"/>
      <c r="AK73" s="261"/>
      <c r="AL73" s="13"/>
      <c r="AM73" s="15"/>
      <c r="AN73" s="14"/>
      <c r="AO73" s="618" t="s">
        <v>417</v>
      </c>
      <c r="AP73" s="619"/>
      <c r="AQ73" s="312">
        <v>4.1000000000000002E-2</v>
      </c>
      <c r="AR73" s="314" t="s">
        <v>418</v>
      </c>
      <c r="AS73" s="265">
        <v>5.3999999999999999E-2</v>
      </c>
    </row>
    <row r="74" spans="2:46" ht="9.9499999999999993" customHeight="1" x14ac:dyDescent="0.15">
      <c r="B74" s="5"/>
      <c r="C74" s="292"/>
      <c r="D74" s="5"/>
      <c r="E74" s="2" t="s">
        <v>297</v>
      </c>
      <c r="F74" s="265">
        <v>4.8000000000000001E-2</v>
      </c>
      <c r="G74" s="265">
        <v>4.5999999999999999E-2</v>
      </c>
      <c r="H74" s="265">
        <v>4.4999999999999998E-2</v>
      </c>
      <c r="I74" s="265">
        <v>5.0999999999999997E-2</v>
      </c>
      <c r="J74" s="265">
        <v>4.2000000000000003E-2</v>
      </c>
      <c r="K74" s="265">
        <v>4.8000000000000001E-2</v>
      </c>
      <c r="L74" s="265">
        <v>4.2000000000000003E-2</v>
      </c>
      <c r="M74" s="265">
        <v>4.4999999999999998E-2</v>
      </c>
      <c r="N74" s="265">
        <v>4.8000000000000001E-2</v>
      </c>
      <c r="O74" s="265">
        <v>0.05</v>
      </c>
      <c r="P74" s="265">
        <v>4.5999999999999999E-2</v>
      </c>
      <c r="Q74" s="265">
        <v>4.5999999999999999E-2</v>
      </c>
      <c r="R74" s="265">
        <v>4.2999999999999997E-2</v>
      </c>
      <c r="S74" s="265">
        <v>4.2000000000000003E-2</v>
      </c>
      <c r="T74" s="265">
        <v>4.8000000000000001E-2</v>
      </c>
      <c r="U74" s="265">
        <v>4.7E-2</v>
      </c>
      <c r="V74" s="265">
        <v>5.0999999999999997E-2</v>
      </c>
      <c r="W74" s="265">
        <v>4.8000000000000001E-2</v>
      </c>
      <c r="X74" s="265">
        <v>0.04</v>
      </c>
      <c r="Y74" s="265">
        <v>4.5999999999999999E-2</v>
      </c>
      <c r="Z74" s="265">
        <v>4.3999999999999997E-2</v>
      </c>
      <c r="AA74" s="265">
        <v>4.2999999999999997E-2</v>
      </c>
      <c r="AB74" s="265">
        <v>4.3999999999999997E-2</v>
      </c>
      <c r="AC74" s="265">
        <v>4.3999999999999997E-2</v>
      </c>
      <c r="AD74" s="265">
        <v>4.2999999999999997E-2</v>
      </c>
      <c r="AE74" s="265">
        <v>4.5999999999999999E-2</v>
      </c>
      <c r="AF74" s="265">
        <v>4.5999999999999999E-2</v>
      </c>
      <c r="AH74" s="259" t="s">
        <v>329</v>
      </c>
      <c r="AI74" s="260"/>
      <c r="AJ74" s="260"/>
      <c r="AK74" s="261"/>
      <c r="AL74" s="13"/>
      <c r="AM74" s="15"/>
      <c r="AN74" s="14"/>
      <c r="AO74" s="626"/>
      <c r="AP74" s="627"/>
      <c r="AQ74" s="312">
        <v>4.4999999999999998E-2</v>
      </c>
      <c r="AR74" s="314" t="s">
        <v>330</v>
      </c>
      <c r="AS74" s="265">
        <v>0.06</v>
      </c>
    </row>
    <row r="75" spans="2:46" ht="9.9499999999999993" customHeight="1" x14ac:dyDescent="0.15">
      <c r="B75" s="7"/>
      <c r="C75" s="301"/>
      <c r="D75" s="7"/>
      <c r="E75" s="2" t="s">
        <v>302</v>
      </c>
      <c r="F75" s="265">
        <v>0.04</v>
      </c>
      <c r="G75" s="265">
        <v>3.7999999999999999E-2</v>
      </c>
      <c r="H75" s="265">
        <v>3.7999999999999999E-2</v>
      </c>
      <c r="I75" s="265">
        <v>0.04</v>
      </c>
      <c r="J75" s="265">
        <v>0.04</v>
      </c>
      <c r="K75" s="265">
        <v>0.04</v>
      </c>
      <c r="L75" s="265">
        <v>4.1000000000000002E-2</v>
      </c>
      <c r="M75" s="265">
        <v>3.7999999999999999E-2</v>
      </c>
      <c r="N75" s="265">
        <v>4.3999999999999997E-2</v>
      </c>
      <c r="O75" s="265">
        <v>4.2999999999999997E-2</v>
      </c>
      <c r="P75" s="265">
        <v>3.7999999999999999E-2</v>
      </c>
      <c r="Q75" s="265">
        <v>4.3999999999999997E-2</v>
      </c>
      <c r="R75" s="265">
        <v>3.5999999999999997E-2</v>
      </c>
      <c r="S75" s="265">
        <v>3.7999999999999999E-2</v>
      </c>
      <c r="T75" s="265">
        <v>4.3999999999999997E-2</v>
      </c>
      <c r="U75" s="265">
        <v>4.1000000000000002E-2</v>
      </c>
      <c r="V75" s="265">
        <v>4.2999999999999997E-2</v>
      </c>
      <c r="W75" s="265">
        <v>3.9E-2</v>
      </c>
      <c r="X75" s="265">
        <v>3.9E-2</v>
      </c>
      <c r="Y75" s="265">
        <v>0.04</v>
      </c>
      <c r="Z75" s="265">
        <v>3.7999999999999999E-2</v>
      </c>
      <c r="AA75" s="265">
        <v>0.04</v>
      </c>
      <c r="AB75" s="265">
        <v>4.3999999999999997E-2</v>
      </c>
      <c r="AC75" s="265">
        <v>4.1000000000000002E-2</v>
      </c>
      <c r="AD75" s="265">
        <v>0.04</v>
      </c>
      <c r="AE75" s="265">
        <v>3.9E-2</v>
      </c>
      <c r="AF75" s="265">
        <v>4.1000000000000002E-2</v>
      </c>
      <c r="AH75" s="3" t="s">
        <v>331</v>
      </c>
      <c r="AI75" s="259" t="s">
        <v>332</v>
      </c>
      <c r="AJ75" s="260"/>
      <c r="AK75" s="261"/>
      <c r="AL75" s="13"/>
      <c r="AM75" s="15"/>
      <c r="AN75" s="14"/>
      <c r="AO75" s="618" t="s">
        <v>419</v>
      </c>
      <c r="AP75" s="619"/>
      <c r="AQ75" s="312">
        <v>3.7999999999999999E-2</v>
      </c>
      <c r="AR75" s="265">
        <v>3.6999999999999998E-2</v>
      </c>
      <c r="AS75" s="265">
        <v>0.05</v>
      </c>
    </row>
    <row r="76" spans="2:46" ht="9.9499999999999993" customHeight="1" x14ac:dyDescent="0.15">
      <c r="B76" s="600" t="s">
        <v>420</v>
      </c>
      <c r="C76" s="590" t="s">
        <v>305</v>
      </c>
      <c r="D76" s="604" t="s">
        <v>421</v>
      </c>
      <c r="E76" s="22" t="s">
        <v>307</v>
      </c>
      <c r="F76" s="22" t="s">
        <v>322</v>
      </c>
      <c r="G76" s="303" t="s">
        <v>309</v>
      </c>
      <c r="H76" s="4"/>
      <c r="I76" s="259"/>
      <c r="J76" s="260"/>
      <c r="K76" s="260"/>
      <c r="L76" s="261"/>
      <c r="M76" s="305">
        <v>43298</v>
      </c>
      <c r="N76" s="260"/>
      <c r="O76" s="260"/>
      <c r="P76" s="260"/>
      <c r="Q76" s="260"/>
      <c r="R76" s="260"/>
      <c r="S76" s="260"/>
      <c r="T76" s="260"/>
      <c r="U76" s="260"/>
      <c r="V76" s="260"/>
      <c r="W76" s="260"/>
      <c r="X76" s="260"/>
      <c r="Y76" s="260"/>
      <c r="Z76" s="260"/>
      <c r="AA76" s="260"/>
      <c r="AB76" s="260"/>
      <c r="AC76" s="260"/>
      <c r="AD76" s="260"/>
      <c r="AE76" s="260"/>
      <c r="AF76" s="261"/>
      <c r="AH76" s="5"/>
      <c r="AI76" s="259" t="s">
        <v>334</v>
      </c>
      <c r="AJ76" s="260"/>
      <c r="AK76" s="261"/>
      <c r="AL76" s="13"/>
      <c r="AM76" s="15"/>
      <c r="AN76" s="14"/>
      <c r="AO76" s="620"/>
      <c r="AP76" s="621"/>
      <c r="AQ76" s="312">
        <v>3.9E-2</v>
      </c>
      <c r="AR76" s="265">
        <v>3.5999999999999997E-2</v>
      </c>
      <c r="AS76" s="265">
        <v>4.5999999999999999E-2</v>
      </c>
    </row>
    <row r="77" spans="2:46" ht="9.9499999999999993" customHeight="1" x14ac:dyDescent="0.15">
      <c r="B77" s="591"/>
      <c r="C77" s="602"/>
      <c r="D77" s="605"/>
      <c r="E77" s="22" t="s">
        <v>422</v>
      </c>
      <c r="F77" s="307">
        <v>110</v>
      </c>
      <c r="G77" s="308">
        <v>160</v>
      </c>
      <c r="H77" s="309"/>
      <c r="I77" s="309"/>
      <c r="J77" s="309"/>
      <c r="K77" s="309"/>
      <c r="L77" s="310"/>
      <c r="M77" s="298">
        <v>110</v>
      </c>
      <c r="N77" s="309"/>
      <c r="O77" s="309"/>
      <c r="P77" s="309"/>
      <c r="Q77" s="309"/>
      <c r="R77" s="309"/>
      <c r="S77" s="309"/>
      <c r="T77" s="309"/>
      <c r="U77" s="309"/>
      <c r="V77" s="309"/>
      <c r="W77" s="309"/>
      <c r="X77" s="309"/>
      <c r="Y77" s="309"/>
      <c r="Z77" s="309"/>
      <c r="AA77" s="309"/>
      <c r="AB77" s="309"/>
      <c r="AC77" s="309"/>
      <c r="AD77" s="309"/>
      <c r="AE77" s="309"/>
      <c r="AF77" s="310"/>
      <c r="AH77" s="5"/>
      <c r="AI77" s="259" t="s">
        <v>336</v>
      </c>
      <c r="AJ77" s="260"/>
      <c r="AK77" s="261"/>
      <c r="AL77" s="13"/>
      <c r="AM77" s="15"/>
      <c r="AN77" s="14"/>
      <c r="AO77" s="13"/>
      <c r="AP77" s="14"/>
      <c r="AQ77" s="312">
        <v>0.04</v>
      </c>
      <c r="AR77" s="265">
        <v>4.2000000000000003E-2</v>
      </c>
      <c r="AS77" s="265">
        <v>4.5999999999999999E-2</v>
      </c>
    </row>
    <row r="78" spans="2:46" ht="9.9499999999999993" customHeight="1" x14ac:dyDescent="0.15">
      <c r="B78" s="601"/>
      <c r="C78" s="603"/>
      <c r="D78" s="606"/>
      <c r="E78" s="22" t="s">
        <v>423</v>
      </c>
      <c r="F78" s="307">
        <v>32</v>
      </c>
      <c r="G78" s="308">
        <v>54</v>
      </c>
      <c r="H78" s="309"/>
      <c r="I78" s="309"/>
      <c r="J78" s="309"/>
      <c r="K78" s="309"/>
      <c r="L78" s="310"/>
      <c r="M78" s="298">
        <v>47</v>
      </c>
      <c r="N78" s="309"/>
      <c r="O78" s="309"/>
      <c r="P78" s="309"/>
      <c r="Q78" s="309"/>
      <c r="R78" s="309"/>
      <c r="S78" s="309"/>
      <c r="T78" s="309"/>
      <c r="U78" s="309"/>
      <c r="V78" s="309"/>
      <c r="W78" s="309"/>
      <c r="X78" s="309"/>
      <c r="Y78" s="309"/>
      <c r="Z78" s="309"/>
      <c r="AA78" s="309"/>
      <c r="AB78" s="309"/>
      <c r="AC78" s="309"/>
      <c r="AD78" s="309"/>
      <c r="AE78" s="309"/>
      <c r="AF78" s="310"/>
      <c r="AH78" s="5"/>
      <c r="AI78" s="259" t="s">
        <v>338</v>
      </c>
      <c r="AJ78" s="260"/>
      <c r="AK78" s="261"/>
      <c r="AL78" s="13"/>
      <c r="AM78" s="15"/>
      <c r="AN78" s="14"/>
      <c r="AO78" s="13"/>
      <c r="AP78" s="14"/>
      <c r="AQ78" s="312">
        <v>4.2000000000000003E-2</v>
      </c>
      <c r="AR78" s="265">
        <v>4.2000000000000003E-2</v>
      </c>
      <c r="AS78" s="265">
        <v>4.8000000000000001E-2</v>
      </c>
    </row>
    <row r="79" spans="2:46" ht="9.9499999999999993" customHeight="1" x14ac:dyDescent="0.15">
      <c r="B79" s="600" t="s">
        <v>424</v>
      </c>
      <c r="C79" s="610" t="s">
        <v>425</v>
      </c>
      <c r="D79" s="604" t="s">
        <v>426</v>
      </c>
      <c r="E79" s="22" t="s">
        <v>307</v>
      </c>
      <c r="F79" s="22" t="s">
        <v>322</v>
      </c>
      <c r="G79" s="22" t="s">
        <v>323</v>
      </c>
      <c r="H79" s="4"/>
      <c r="I79" s="4"/>
      <c r="J79" s="4"/>
      <c r="K79" s="22" t="s">
        <v>323</v>
      </c>
      <c r="L79" s="4"/>
      <c r="M79" s="329" t="s">
        <v>427</v>
      </c>
      <c r="N79" s="260"/>
      <c r="O79" s="260"/>
      <c r="P79" s="260"/>
      <c r="Q79" s="260"/>
      <c r="R79" s="260"/>
      <c r="S79" s="260"/>
      <c r="T79" s="260"/>
      <c r="U79" s="260"/>
      <c r="V79" s="260"/>
      <c r="W79" s="260"/>
      <c r="X79" s="260"/>
      <c r="Y79" s="260"/>
      <c r="Z79" s="260"/>
      <c r="AA79" s="260"/>
      <c r="AB79" s="260"/>
      <c r="AC79" s="260"/>
      <c r="AD79" s="260"/>
      <c r="AE79" s="260"/>
      <c r="AF79" s="261"/>
      <c r="AH79" s="7"/>
      <c r="AI79" s="259" t="s">
        <v>339</v>
      </c>
      <c r="AJ79" s="260"/>
      <c r="AK79" s="261"/>
      <c r="AL79" s="11"/>
      <c r="AM79" s="9"/>
      <c r="AN79" s="12"/>
      <c r="AO79" s="11"/>
      <c r="AP79" s="12"/>
      <c r="AQ79" s="312">
        <v>4.2999999999999997E-2</v>
      </c>
      <c r="AR79" s="265">
        <v>4.4999999999999998E-2</v>
      </c>
      <c r="AS79" s="265">
        <v>4.9000000000000002E-2</v>
      </c>
    </row>
    <row r="80" spans="2:46" ht="9.9499999999999993" customHeight="1" x14ac:dyDescent="0.15">
      <c r="B80" s="609"/>
      <c r="C80" s="623"/>
      <c r="D80" s="605"/>
      <c r="E80" s="22" t="s">
        <v>283</v>
      </c>
      <c r="F80" s="22" t="s">
        <v>110</v>
      </c>
      <c r="G80" s="22" t="s">
        <v>110</v>
      </c>
      <c r="H80" s="4"/>
      <c r="I80" s="4"/>
      <c r="J80" s="4"/>
      <c r="K80" s="22" t="s">
        <v>110</v>
      </c>
      <c r="L80" s="4"/>
      <c r="M80" s="329" t="s">
        <v>110</v>
      </c>
      <c r="N80" s="260"/>
      <c r="O80" s="260"/>
      <c r="P80" s="260"/>
      <c r="Q80" s="260"/>
      <c r="R80" s="260"/>
      <c r="S80" s="260"/>
      <c r="T80" s="260"/>
      <c r="U80" s="260"/>
      <c r="V80" s="260"/>
      <c r="W80" s="260"/>
      <c r="X80" s="260"/>
      <c r="Y80" s="260"/>
      <c r="Z80" s="260"/>
      <c r="AA80" s="260"/>
      <c r="AB80" s="260"/>
      <c r="AC80" s="260"/>
      <c r="AD80" s="260"/>
      <c r="AE80" s="260"/>
      <c r="AF80" s="261"/>
    </row>
    <row r="81" spans="2:43" ht="9.9499999999999993" customHeight="1" x14ac:dyDescent="0.15">
      <c r="B81" s="622"/>
      <c r="C81" s="624"/>
      <c r="D81" s="606"/>
      <c r="E81" s="22" t="s">
        <v>287</v>
      </c>
      <c r="F81" s="22" t="s">
        <v>110</v>
      </c>
      <c r="G81" s="22" t="s">
        <v>110</v>
      </c>
      <c r="H81" s="4"/>
      <c r="I81" s="4"/>
      <c r="J81" s="4"/>
      <c r="K81" s="22" t="s">
        <v>110</v>
      </c>
      <c r="L81" s="4"/>
      <c r="M81" s="329" t="s">
        <v>110</v>
      </c>
      <c r="N81" s="260"/>
      <c r="O81" s="260"/>
      <c r="P81" s="260"/>
      <c r="Q81" s="260"/>
      <c r="R81" s="260"/>
      <c r="S81" s="260"/>
      <c r="T81" s="260"/>
      <c r="U81" s="260"/>
      <c r="V81" s="260"/>
      <c r="W81" s="260"/>
      <c r="X81" s="260"/>
      <c r="Y81" s="260"/>
      <c r="Z81" s="260"/>
      <c r="AA81" s="260"/>
      <c r="AB81" s="260"/>
      <c r="AC81" s="260"/>
      <c r="AD81" s="260"/>
      <c r="AE81" s="260"/>
      <c r="AF81" s="261"/>
      <c r="AH81" s="336" t="s">
        <v>428</v>
      </c>
      <c r="AI81" s="274"/>
      <c r="AJ81" s="274"/>
      <c r="AK81" s="274"/>
      <c r="AL81" s="274"/>
      <c r="AM81" s="337"/>
    </row>
    <row r="82" spans="2:43" ht="9.9499999999999993" customHeight="1" x14ac:dyDescent="0.15">
      <c r="B82" s="288" t="s">
        <v>429</v>
      </c>
      <c r="C82" s="260"/>
      <c r="D82" s="260"/>
      <c r="E82" s="260"/>
      <c r="F82" s="260"/>
      <c r="G82" s="260"/>
      <c r="H82" s="260"/>
      <c r="I82" s="260"/>
      <c r="J82" s="260"/>
      <c r="K82" s="260"/>
      <c r="L82" s="260"/>
      <c r="M82" s="260"/>
      <c r="N82" s="260"/>
      <c r="O82" s="260"/>
      <c r="P82" s="260"/>
      <c r="Q82" s="260"/>
      <c r="R82" s="260"/>
      <c r="S82" s="260"/>
      <c r="T82" s="260"/>
      <c r="U82" s="260"/>
      <c r="V82" s="260"/>
      <c r="W82" s="260"/>
      <c r="X82" s="260"/>
      <c r="Y82" s="260"/>
      <c r="Z82" s="260"/>
      <c r="AA82" s="260"/>
      <c r="AB82" s="260"/>
      <c r="AC82" s="260"/>
      <c r="AD82" s="260"/>
      <c r="AE82" s="260"/>
      <c r="AF82" s="289"/>
      <c r="AH82" s="291"/>
      <c r="AI82" s="318"/>
      <c r="AJ82" s="318"/>
      <c r="AK82" s="259" t="s">
        <v>271</v>
      </c>
      <c r="AL82" s="318"/>
      <c r="AM82" s="319"/>
      <c r="AN82" s="2" t="s">
        <v>272</v>
      </c>
      <c r="AO82" s="2" t="s">
        <v>273</v>
      </c>
      <c r="AP82" s="2" t="s">
        <v>274</v>
      </c>
      <c r="AQ82" s="2" t="s">
        <v>430</v>
      </c>
    </row>
    <row r="83" spans="2:43" ht="9.9499999999999993" customHeight="1" x14ac:dyDescent="0.15">
      <c r="B83" s="16"/>
      <c r="C83" s="3" t="s">
        <v>271</v>
      </c>
      <c r="D83" s="3" t="s">
        <v>85</v>
      </c>
      <c r="E83" s="3" t="s">
        <v>337</v>
      </c>
      <c r="F83" s="263">
        <v>43238</v>
      </c>
      <c r="G83" s="263">
        <v>43269</v>
      </c>
      <c r="H83" s="263">
        <v>43270</v>
      </c>
      <c r="I83" s="263">
        <v>43271</v>
      </c>
      <c r="J83" s="263">
        <v>43272</v>
      </c>
      <c r="K83" s="263">
        <v>43273</v>
      </c>
      <c r="L83" s="263">
        <v>43274</v>
      </c>
      <c r="M83" s="263">
        <v>43276</v>
      </c>
      <c r="N83" s="263">
        <v>43277</v>
      </c>
      <c r="O83" s="263">
        <v>43278</v>
      </c>
      <c r="P83" s="263">
        <v>43279</v>
      </c>
      <c r="Q83" s="263">
        <v>43280</v>
      </c>
      <c r="R83" s="263">
        <v>43283</v>
      </c>
      <c r="S83" s="263">
        <v>43284</v>
      </c>
      <c r="T83" s="263">
        <v>43285</v>
      </c>
      <c r="U83" s="263">
        <v>43286</v>
      </c>
      <c r="V83" s="263">
        <v>43287</v>
      </c>
      <c r="W83" s="263">
        <v>43290</v>
      </c>
      <c r="X83" s="263">
        <v>43291</v>
      </c>
      <c r="Y83" s="263">
        <v>43292</v>
      </c>
      <c r="Z83" s="263">
        <v>43293</v>
      </c>
      <c r="AA83" s="263">
        <v>43294</v>
      </c>
      <c r="AB83" s="263">
        <v>43297</v>
      </c>
      <c r="AC83" s="263">
        <v>43298</v>
      </c>
      <c r="AD83" s="263">
        <v>43299</v>
      </c>
      <c r="AE83" s="263">
        <v>43300</v>
      </c>
      <c r="AF83" s="263">
        <v>43301</v>
      </c>
      <c r="AH83" s="259" t="s">
        <v>347</v>
      </c>
      <c r="AI83" s="318"/>
      <c r="AJ83" s="318"/>
      <c r="AK83" s="580" t="s">
        <v>348</v>
      </c>
      <c r="AL83" s="581"/>
      <c r="AM83" s="582"/>
      <c r="AN83" s="320">
        <v>43273</v>
      </c>
      <c r="AO83" s="2" t="s">
        <v>110</v>
      </c>
      <c r="AP83" s="2" t="s">
        <v>110</v>
      </c>
      <c r="AQ83" s="2" t="s">
        <v>110</v>
      </c>
    </row>
    <row r="84" spans="2:43" ht="9.9499999999999993" customHeight="1" x14ac:dyDescent="0.15">
      <c r="B84" s="7"/>
      <c r="C84" s="7"/>
      <c r="D84" s="7"/>
      <c r="E84" s="7"/>
      <c r="F84" s="264">
        <v>43238</v>
      </c>
      <c r="G84" s="264">
        <v>43269</v>
      </c>
      <c r="H84" s="264">
        <v>43270</v>
      </c>
      <c r="I84" s="264">
        <v>43271</v>
      </c>
      <c r="J84" s="264">
        <v>43272</v>
      </c>
      <c r="K84" s="264">
        <v>43273</v>
      </c>
      <c r="L84" s="264">
        <v>43274</v>
      </c>
      <c r="M84" s="264">
        <v>43276</v>
      </c>
      <c r="N84" s="264">
        <v>43277</v>
      </c>
      <c r="O84" s="264">
        <v>43278</v>
      </c>
      <c r="P84" s="264">
        <v>43279</v>
      </c>
      <c r="Q84" s="264">
        <v>43280</v>
      </c>
      <c r="R84" s="264">
        <v>43283</v>
      </c>
      <c r="S84" s="264">
        <v>43284</v>
      </c>
      <c r="T84" s="264">
        <v>43285</v>
      </c>
      <c r="U84" s="264">
        <v>43286</v>
      </c>
      <c r="V84" s="264">
        <v>43287</v>
      </c>
      <c r="W84" s="264">
        <v>43290</v>
      </c>
      <c r="X84" s="264">
        <v>43291</v>
      </c>
      <c r="Y84" s="264">
        <v>43292</v>
      </c>
      <c r="Z84" s="264">
        <v>43293</v>
      </c>
      <c r="AA84" s="264">
        <v>43294</v>
      </c>
      <c r="AB84" s="264">
        <v>43297</v>
      </c>
      <c r="AC84" s="264">
        <v>43298</v>
      </c>
      <c r="AD84" s="264">
        <v>43299</v>
      </c>
      <c r="AE84" s="264">
        <v>43300</v>
      </c>
      <c r="AF84" s="264">
        <v>43301</v>
      </c>
      <c r="AH84" s="259" t="s">
        <v>351</v>
      </c>
      <c r="AI84" s="318"/>
      <c r="AJ84" s="318"/>
      <c r="AK84" s="583"/>
      <c r="AL84" s="584"/>
      <c r="AM84" s="585"/>
      <c r="AN84" s="320">
        <v>43273</v>
      </c>
      <c r="AO84" s="2" t="s">
        <v>110</v>
      </c>
      <c r="AP84" s="2" t="s">
        <v>110</v>
      </c>
      <c r="AQ84" s="2" t="s">
        <v>110</v>
      </c>
    </row>
    <row r="85" spans="2:43" ht="9.9499999999999993" customHeight="1" x14ac:dyDescent="0.15">
      <c r="B85" s="590" t="s">
        <v>431</v>
      </c>
      <c r="C85" s="290">
        <v>0.23</v>
      </c>
      <c r="D85" s="590" t="s">
        <v>432</v>
      </c>
      <c r="E85" s="2" t="s">
        <v>433</v>
      </c>
      <c r="F85" s="265">
        <v>4.2000000000000003E-2</v>
      </c>
      <c r="G85" s="265">
        <v>4.8000000000000001E-2</v>
      </c>
      <c r="H85" s="265">
        <v>5.3999999999999999E-2</v>
      </c>
      <c r="I85" s="265">
        <v>0.06</v>
      </c>
      <c r="J85" s="265">
        <v>4.8000000000000001E-2</v>
      </c>
      <c r="K85" s="265">
        <v>4.8000000000000001E-2</v>
      </c>
      <c r="L85" s="265">
        <v>4.8000000000000001E-2</v>
      </c>
      <c r="M85" s="265">
        <v>4.2000000000000003E-2</v>
      </c>
      <c r="N85" s="265">
        <v>5.3999999999999999E-2</v>
      </c>
      <c r="O85" s="265">
        <v>5.3999999999999999E-2</v>
      </c>
      <c r="P85" s="265">
        <v>4.8000000000000001E-2</v>
      </c>
      <c r="Q85" s="265">
        <v>4.2000000000000003E-2</v>
      </c>
      <c r="R85" s="265">
        <v>0.06</v>
      </c>
      <c r="S85" s="265">
        <v>5.3999999999999999E-2</v>
      </c>
      <c r="T85" s="265">
        <v>0.06</v>
      </c>
      <c r="U85" s="265">
        <v>4.2000000000000003E-2</v>
      </c>
      <c r="V85" s="265">
        <v>5.3999999999999999E-2</v>
      </c>
      <c r="W85" s="265">
        <v>0.06</v>
      </c>
      <c r="X85" s="265">
        <v>4.8000000000000001E-2</v>
      </c>
      <c r="Y85" s="265">
        <v>4.8000000000000001E-2</v>
      </c>
      <c r="Z85" s="265">
        <v>4.8000000000000001E-2</v>
      </c>
      <c r="AA85" s="265">
        <v>5.3999999999999999E-2</v>
      </c>
      <c r="AB85" s="317"/>
      <c r="AC85" s="265">
        <v>5.3999999999999999E-2</v>
      </c>
      <c r="AD85" s="265">
        <v>4.8000000000000001E-2</v>
      </c>
      <c r="AE85" s="265">
        <v>4.2000000000000003E-2</v>
      </c>
      <c r="AF85" s="265">
        <v>5.3999999999999999E-2</v>
      </c>
      <c r="AH85" s="259" t="s">
        <v>353</v>
      </c>
      <c r="AI85" s="318"/>
      <c r="AJ85" s="318"/>
      <c r="AK85" s="583"/>
      <c r="AL85" s="584"/>
      <c r="AM85" s="585"/>
      <c r="AN85" s="320">
        <v>43273</v>
      </c>
      <c r="AO85" s="2" t="s">
        <v>110</v>
      </c>
      <c r="AP85" s="2" t="s">
        <v>110</v>
      </c>
      <c r="AQ85" s="2" t="s">
        <v>434</v>
      </c>
    </row>
    <row r="86" spans="2:43" ht="9.9499999999999993" customHeight="1" x14ac:dyDescent="0.15">
      <c r="B86" s="591"/>
      <c r="C86" s="292"/>
      <c r="D86" s="591"/>
      <c r="E86" s="2" t="s">
        <v>435</v>
      </c>
      <c r="F86" s="265">
        <v>3.6999999999999998E-2</v>
      </c>
      <c r="G86" s="265">
        <v>4.1000000000000002E-2</v>
      </c>
      <c r="H86" s="265">
        <v>3.6999999999999998E-2</v>
      </c>
      <c r="I86" s="265">
        <v>3.5999999999999997E-2</v>
      </c>
      <c r="J86" s="265">
        <v>0.04</v>
      </c>
      <c r="K86" s="265">
        <v>0.04</v>
      </c>
      <c r="L86" s="317"/>
      <c r="M86" s="265">
        <v>4.3999999999999997E-2</v>
      </c>
      <c r="N86" s="265">
        <v>4.1000000000000002E-2</v>
      </c>
      <c r="O86" s="265">
        <v>0.04</v>
      </c>
      <c r="P86" s="265">
        <v>4.2999999999999997E-2</v>
      </c>
      <c r="Q86" s="265">
        <v>3.3000000000000002E-2</v>
      </c>
      <c r="R86" s="265">
        <v>4.2000000000000003E-2</v>
      </c>
      <c r="S86" s="265">
        <v>0.04</v>
      </c>
      <c r="T86" s="265">
        <v>3.9E-2</v>
      </c>
      <c r="U86" s="265">
        <v>4.5999999999999999E-2</v>
      </c>
      <c r="V86" s="265">
        <v>3.6999999999999998E-2</v>
      </c>
      <c r="W86" s="265">
        <v>3.6999999999999998E-2</v>
      </c>
      <c r="X86" s="265">
        <v>4.3999999999999997E-2</v>
      </c>
      <c r="Y86" s="265">
        <v>3.9E-2</v>
      </c>
      <c r="Z86" s="265">
        <v>4.1000000000000002E-2</v>
      </c>
      <c r="AA86" s="265">
        <v>3.3000000000000002E-2</v>
      </c>
      <c r="AB86" s="317"/>
      <c r="AC86" s="265">
        <v>4.2999999999999997E-2</v>
      </c>
      <c r="AD86" s="265">
        <v>4.2000000000000003E-2</v>
      </c>
      <c r="AE86" s="265">
        <v>4.2999999999999997E-2</v>
      </c>
      <c r="AF86" s="265">
        <v>4.3999999999999997E-2</v>
      </c>
      <c r="AH86" s="259" t="s">
        <v>357</v>
      </c>
      <c r="AI86" s="318"/>
      <c r="AJ86" s="318"/>
      <c r="AK86" s="11" t="s">
        <v>288</v>
      </c>
      <c r="AL86" s="322"/>
      <c r="AM86" s="323"/>
      <c r="AN86" s="320">
        <v>43273</v>
      </c>
      <c r="AO86" s="2" t="s">
        <v>110</v>
      </c>
      <c r="AP86" s="2" t="s">
        <v>110</v>
      </c>
      <c r="AQ86" s="2" t="s">
        <v>110</v>
      </c>
    </row>
    <row r="87" spans="2:43" ht="9.9499999999999993" customHeight="1" x14ac:dyDescent="0.15">
      <c r="B87" s="591"/>
      <c r="C87" s="292"/>
      <c r="D87" s="591"/>
      <c r="E87" s="2" t="s">
        <v>436</v>
      </c>
      <c r="F87" s="265">
        <v>3.5999999999999997E-2</v>
      </c>
      <c r="G87" s="265">
        <v>3.5999999999999997E-2</v>
      </c>
      <c r="H87" s="265">
        <v>3.6999999999999998E-2</v>
      </c>
      <c r="I87" s="265">
        <v>4.1000000000000002E-2</v>
      </c>
      <c r="J87" s="265">
        <v>3.9E-2</v>
      </c>
      <c r="K87" s="265">
        <v>3.9E-2</v>
      </c>
      <c r="L87" s="317"/>
      <c r="M87" s="265">
        <v>0.04</v>
      </c>
      <c r="N87" s="265">
        <v>4.1000000000000002E-2</v>
      </c>
      <c r="O87" s="265">
        <v>3.5999999999999997E-2</v>
      </c>
      <c r="P87" s="265">
        <v>3.6999999999999998E-2</v>
      </c>
      <c r="Q87" s="265">
        <v>3.1E-2</v>
      </c>
      <c r="R87" s="265">
        <v>0.04</v>
      </c>
      <c r="S87" s="265">
        <v>4.2000000000000003E-2</v>
      </c>
      <c r="T87" s="265">
        <v>4.2000000000000003E-2</v>
      </c>
      <c r="U87" s="265">
        <v>3.6999999999999998E-2</v>
      </c>
      <c r="V87" s="265">
        <v>4.1000000000000002E-2</v>
      </c>
      <c r="W87" s="265">
        <v>3.5999999999999997E-2</v>
      </c>
      <c r="X87" s="265">
        <v>0.04</v>
      </c>
      <c r="Y87" s="265">
        <v>3.5999999999999997E-2</v>
      </c>
      <c r="Z87" s="265">
        <v>4.1000000000000002E-2</v>
      </c>
      <c r="AA87" s="265">
        <v>3.6999999999999998E-2</v>
      </c>
      <c r="AB87" s="317"/>
      <c r="AC87" s="265">
        <v>4.3999999999999997E-2</v>
      </c>
      <c r="AD87" s="265">
        <v>4.2999999999999997E-2</v>
      </c>
      <c r="AE87" s="265">
        <v>4.2000000000000003E-2</v>
      </c>
      <c r="AF87" s="265">
        <v>4.3999999999999997E-2</v>
      </c>
      <c r="AH87" s="338" t="s">
        <v>360</v>
      </c>
      <c r="AI87" s="324"/>
      <c r="AJ87" s="324"/>
      <c r="AK87" s="324"/>
      <c r="AL87" s="324"/>
      <c r="AM87" s="325"/>
    </row>
    <row r="88" spans="2:43" ht="9.9499999999999993" customHeight="1" x14ac:dyDescent="0.15">
      <c r="B88" s="5"/>
      <c r="C88" s="292"/>
      <c r="D88" s="601"/>
      <c r="E88" s="2" t="s">
        <v>346</v>
      </c>
      <c r="F88" s="265">
        <v>4.2000000000000003E-2</v>
      </c>
      <c r="G88" s="265">
        <v>3.6999999999999998E-2</v>
      </c>
      <c r="H88" s="265">
        <v>4.5999999999999999E-2</v>
      </c>
      <c r="I88" s="265">
        <v>3.5999999999999997E-2</v>
      </c>
      <c r="J88" s="265">
        <v>3.7999999999999999E-2</v>
      </c>
      <c r="K88" s="265">
        <v>3.9E-2</v>
      </c>
      <c r="L88" s="317"/>
      <c r="M88" s="265">
        <v>3.5000000000000003E-2</v>
      </c>
      <c r="N88" s="265">
        <v>4.2000000000000003E-2</v>
      </c>
      <c r="O88" s="265">
        <v>3.5999999999999997E-2</v>
      </c>
      <c r="P88" s="265">
        <v>3.6999999999999998E-2</v>
      </c>
      <c r="Q88" s="265">
        <v>3.6999999999999998E-2</v>
      </c>
      <c r="R88" s="265">
        <v>3.6999999999999998E-2</v>
      </c>
      <c r="S88" s="265">
        <v>4.4999999999999998E-2</v>
      </c>
      <c r="T88" s="265">
        <v>3.9E-2</v>
      </c>
      <c r="U88" s="265">
        <v>4.2999999999999997E-2</v>
      </c>
      <c r="V88" s="265">
        <v>0.04</v>
      </c>
      <c r="W88" s="265">
        <v>3.5999999999999997E-2</v>
      </c>
      <c r="X88" s="265">
        <v>3.7999999999999999E-2</v>
      </c>
      <c r="Y88" s="265">
        <v>4.3999999999999997E-2</v>
      </c>
      <c r="Z88" s="265">
        <v>4.1000000000000002E-2</v>
      </c>
      <c r="AA88" s="265">
        <v>4.1000000000000002E-2</v>
      </c>
      <c r="AB88" s="317"/>
      <c r="AC88" s="265">
        <v>0.04</v>
      </c>
      <c r="AD88" s="265">
        <v>3.7999999999999999E-2</v>
      </c>
      <c r="AE88" s="265">
        <v>3.9E-2</v>
      </c>
      <c r="AF88" s="265">
        <v>3.6999999999999998E-2</v>
      </c>
      <c r="AH88" s="1" t="s">
        <v>366</v>
      </c>
    </row>
    <row r="89" spans="2:43" ht="9.9499999999999993" customHeight="1" x14ac:dyDescent="0.15">
      <c r="B89" s="5"/>
      <c r="C89" s="292"/>
      <c r="D89" s="3" t="s">
        <v>349</v>
      </c>
      <c r="E89" s="2" t="s">
        <v>437</v>
      </c>
      <c r="F89" s="265">
        <v>4.2000000000000003E-2</v>
      </c>
      <c r="G89" s="265">
        <v>4.2000000000000003E-2</v>
      </c>
      <c r="H89" s="265">
        <v>4.7E-2</v>
      </c>
      <c r="I89" s="265">
        <v>3.4000000000000002E-2</v>
      </c>
      <c r="J89" s="265">
        <v>4.2999999999999997E-2</v>
      </c>
      <c r="K89" s="265">
        <v>4.3999999999999997E-2</v>
      </c>
      <c r="L89" s="317"/>
      <c r="M89" s="265">
        <v>4.4999999999999998E-2</v>
      </c>
      <c r="N89" s="265">
        <v>4.4999999999999998E-2</v>
      </c>
      <c r="O89" s="265">
        <v>3.9E-2</v>
      </c>
      <c r="P89" s="265">
        <v>3.9E-2</v>
      </c>
      <c r="Q89" s="265">
        <v>4.8000000000000001E-2</v>
      </c>
      <c r="R89" s="265">
        <v>4.2000000000000003E-2</v>
      </c>
      <c r="S89" s="265">
        <v>4.7E-2</v>
      </c>
      <c r="T89" s="265">
        <v>4.9000000000000002E-2</v>
      </c>
      <c r="U89" s="265">
        <v>0.04</v>
      </c>
      <c r="V89" s="265">
        <v>3.7999999999999999E-2</v>
      </c>
      <c r="W89" s="265">
        <v>4.1000000000000002E-2</v>
      </c>
      <c r="X89" s="265">
        <v>4.4999999999999998E-2</v>
      </c>
      <c r="Y89" s="265">
        <v>3.9E-2</v>
      </c>
      <c r="Z89" s="265">
        <v>4.4999999999999998E-2</v>
      </c>
      <c r="AA89" s="265">
        <v>3.7999999999999999E-2</v>
      </c>
      <c r="AB89" s="317"/>
      <c r="AC89" s="265">
        <v>4.2000000000000003E-2</v>
      </c>
      <c r="AD89" s="265">
        <v>4.3999999999999997E-2</v>
      </c>
      <c r="AE89" s="265">
        <v>4.5999999999999999E-2</v>
      </c>
      <c r="AF89" s="265">
        <v>4.5999999999999999E-2</v>
      </c>
      <c r="AH89" s="1" t="s">
        <v>438</v>
      </c>
    </row>
    <row r="90" spans="2:43" ht="9.9499999999999993" customHeight="1" x14ac:dyDescent="0.15">
      <c r="B90" s="7"/>
      <c r="C90" s="301"/>
      <c r="D90" s="7"/>
      <c r="E90" s="299" t="s">
        <v>439</v>
      </c>
      <c r="F90" s="265">
        <v>4.4999999999999998E-2</v>
      </c>
      <c r="G90" s="265">
        <v>4.4999999999999998E-2</v>
      </c>
      <c r="H90" s="265">
        <v>0.04</v>
      </c>
      <c r="I90" s="265">
        <v>3.7999999999999999E-2</v>
      </c>
      <c r="J90" s="265">
        <v>4.4999999999999998E-2</v>
      </c>
      <c r="K90" s="265">
        <v>4.9000000000000002E-2</v>
      </c>
      <c r="L90" s="317"/>
      <c r="M90" s="265">
        <v>4.3999999999999997E-2</v>
      </c>
      <c r="N90" s="265">
        <v>4.2000000000000003E-2</v>
      </c>
      <c r="O90" s="265">
        <v>4.4999999999999998E-2</v>
      </c>
      <c r="P90" s="265">
        <v>4.2999999999999997E-2</v>
      </c>
      <c r="Q90" s="265">
        <v>3.5000000000000003E-2</v>
      </c>
      <c r="R90" s="265">
        <v>4.2000000000000003E-2</v>
      </c>
      <c r="S90" s="265">
        <v>4.9000000000000002E-2</v>
      </c>
      <c r="T90" s="265">
        <v>3.6999999999999998E-2</v>
      </c>
      <c r="U90" s="265">
        <v>3.9E-2</v>
      </c>
      <c r="V90" s="265">
        <v>0.04</v>
      </c>
      <c r="W90" s="265">
        <v>4.2999999999999997E-2</v>
      </c>
      <c r="X90" s="265">
        <v>5.1999999999999998E-2</v>
      </c>
      <c r="Y90" s="265">
        <v>4.1000000000000002E-2</v>
      </c>
      <c r="Z90" s="265">
        <v>4.2999999999999997E-2</v>
      </c>
      <c r="AA90" s="265">
        <v>4.2999999999999997E-2</v>
      </c>
      <c r="AB90" s="317"/>
      <c r="AC90" s="265">
        <v>4.2999999999999997E-2</v>
      </c>
      <c r="AD90" s="265">
        <v>4.7E-2</v>
      </c>
      <c r="AE90" s="265">
        <v>4.4999999999999998E-2</v>
      </c>
      <c r="AF90" s="265">
        <v>4.2999999999999997E-2</v>
      </c>
      <c r="AH90" s="1" t="s">
        <v>361</v>
      </c>
    </row>
    <row r="91" spans="2:43" ht="9.9499999999999993" customHeight="1" x14ac:dyDescent="0.15">
      <c r="B91" s="288" t="s">
        <v>356</v>
      </c>
      <c r="C91" s="260"/>
      <c r="D91" s="260"/>
      <c r="E91" s="260"/>
      <c r="F91" s="260"/>
      <c r="G91" s="260"/>
      <c r="H91" s="260"/>
      <c r="I91" s="260"/>
      <c r="J91" s="260"/>
      <c r="K91" s="260"/>
      <c r="L91" s="260"/>
      <c r="M91" s="260"/>
      <c r="N91" s="260"/>
      <c r="O91" s="260"/>
      <c r="P91" s="260"/>
      <c r="Q91" s="260"/>
      <c r="R91" s="260"/>
      <c r="S91" s="260"/>
      <c r="T91" s="260"/>
      <c r="U91" s="260"/>
      <c r="V91" s="260"/>
      <c r="W91" s="260"/>
      <c r="X91" s="260"/>
      <c r="Y91" s="260"/>
      <c r="Z91" s="260"/>
      <c r="AA91" s="260"/>
      <c r="AB91" s="260"/>
      <c r="AC91" s="260"/>
      <c r="AD91" s="260"/>
      <c r="AE91" s="260"/>
      <c r="AF91" s="289"/>
      <c r="AQ91" s="1" t="s">
        <v>368</v>
      </c>
    </row>
    <row r="92" spans="2:43" ht="9.9499999999999993" customHeight="1" x14ac:dyDescent="0.15">
      <c r="B92" s="16"/>
      <c r="C92" s="3" t="s">
        <v>271</v>
      </c>
      <c r="D92" s="607" t="s">
        <v>358</v>
      </c>
      <c r="E92" s="3" t="s">
        <v>359</v>
      </c>
      <c r="F92" s="263">
        <v>43238</v>
      </c>
      <c r="G92" s="263">
        <v>43269</v>
      </c>
      <c r="H92" s="263">
        <v>43270</v>
      </c>
      <c r="I92" s="263">
        <v>43271</v>
      </c>
      <c r="J92" s="263">
        <v>43272</v>
      </c>
      <c r="K92" s="263">
        <v>43273</v>
      </c>
      <c r="L92" s="263">
        <v>43274</v>
      </c>
      <c r="M92" s="263">
        <v>43276</v>
      </c>
      <c r="N92" s="263">
        <v>43277</v>
      </c>
      <c r="O92" s="263">
        <v>43278</v>
      </c>
      <c r="P92" s="263">
        <v>43279</v>
      </c>
      <c r="Q92" s="263">
        <v>43280</v>
      </c>
      <c r="R92" s="263">
        <v>43283</v>
      </c>
      <c r="S92" s="263">
        <v>43284</v>
      </c>
      <c r="T92" s="263">
        <v>43285</v>
      </c>
      <c r="U92" s="263">
        <v>43286</v>
      </c>
      <c r="V92" s="263">
        <v>43287</v>
      </c>
      <c r="W92" s="263">
        <v>43290</v>
      </c>
      <c r="X92" s="263">
        <v>43291</v>
      </c>
      <c r="Y92" s="263">
        <v>43292</v>
      </c>
      <c r="Z92" s="263">
        <v>43293</v>
      </c>
      <c r="AA92" s="263">
        <v>43294</v>
      </c>
      <c r="AB92" s="263">
        <v>43297</v>
      </c>
      <c r="AC92" s="263">
        <v>43298</v>
      </c>
      <c r="AD92" s="263">
        <v>43299</v>
      </c>
      <c r="AE92" s="263">
        <v>43300</v>
      </c>
      <c r="AF92" s="263">
        <v>43301</v>
      </c>
    </row>
    <row r="93" spans="2:43" ht="9.9499999999999993" customHeight="1" x14ac:dyDescent="0.15">
      <c r="B93" s="7"/>
      <c r="C93" s="7"/>
      <c r="D93" s="608"/>
      <c r="E93" s="7"/>
      <c r="F93" s="264">
        <v>43238</v>
      </c>
      <c r="G93" s="264">
        <v>43269</v>
      </c>
      <c r="H93" s="264">
        <v>43270</v>
      </c>
      <c r="I93" s="264">
        <v>43271</v>
      </c>
      <c r="J93" s="264">
        <v>43272</v>
      </c>
      <c r="K93" s="264">
        <v>43273</v>
      </c>
      <c r="L93" s="264">
        <v>43274</v>
      </c>
      <c r="M93" s="264">
        <v>43276</v>
      </c>
      <c r="N93" s="264">
        <v>43277</v>
      </c>
      <c r="O93" s="264">
        <v>43278</v>
      </c>
      <c r="P93" s="264">
        <v>43279</v>
      </c>
      <c r="Q93" s="264">
        <v>43280</v>
      </c>
      <c r="R93" s="264">
        <v>43283</v>
      </c>
      <c r="S93" s="264">
        <v>43284</v>
      </c>
      <c r="T93" s="264">
        <v>43285</v>
      </c>
      <c r="U93" s="264">
        <v>43286</v>
      </c>
      <c r="V93" s="264">
        <v>43287</v>
      </c>
      <c r="W93" s="264">
        <v>43290</v>
      </c>
      <c r="X93" s="264">
        <v>43291</v>
      </c>
      <c r="Y93" s="264">
        <v>43292</v>
      </c>
      <c r="Z93" s="264">
        <v>43293</v>
      </c>
      <c r="AA93" s="264">
        <v>43294</v>
      </c>
      <c r="AB93" s="264">
        <v>43297</v>
      </c>
      <c r="AC93" s="264">
        <v>43298</v>
      </c>
      <c r="AD93" s="264">
        <v>43299</v>
      </c>
      <c r="AE93" s="264">
        <v>43300</v>
      </c>
      <c r="AF93" s="264">
        <v>43301</v>
      </c>
    </row>
    <row r="94" spans="2:43" ht="9.9499999999999993" customHeight="1" x14ac:dyDescent="0.15">
      <c r="B94" s="590" t="s">
        <v>431</v>
      </c>
      <c r="C94" s="290">
        <v>0.23</v>
      </c>
      <c r="D94" s="592" t="s">
        <v>440</v>
      </c>
      <c r="E94" s="2" t="s">
        <v>363</v>
      </c>
      <c r="F94" s="265">
        <v>4.2000000000000003E-2</v>
      </c>
      <c r="G94" s="265">
        <v>0.03</v>
      </c>
      <c r="H94" s="265">
        <v>4.2000000000000003E-2</v>
      </c>
      <c r="I94" s="265">
        <v>4.8000000000000001E-2</v>
      </c>
      <c r="J94" s="265">
        <v>5.3999999999999999E-2</v>
      </c>
      <c r="K94" s="265">
        <v>4.8000000000000001E-2</v>
      </c>
      <c r="L94" s="265">
        <v>4.5999999999999999E-2</v>
      </c>
      <c r="M94" s="265">
        <v>4.8000000000000001E-2</v>
      </c>
      <c r="N94" s="265">
        <v>4.2000000000000003E-2</v>
      </c>
      <c r="O94" s="265">
        <v>0.06</v>
      </c>
      <c r="P94" s="265">
        <v>5.3999999999999999E-2</v>
      </c>
      <c r="Q94" s="265">
        <v>5.3999999999999999E-2</v>
      </c>
      <c r="R94" s="265">
        <v>4.2000000000000003E-2</v>
      </c>
      <c r="S94" s="265">
        <v>4.2000000000000003E-2</v>
      </c>
      <c r="T94" s="265">
        <v>4.8000000000000001E-2</v>
      </c>
      <c r="U94" s="265">
        <v>4.2000000000000003E-2</v>
      </c>
      <c r="V94" s="265">
        <v>4.2000000000000003E-2</v>
      </c>
      <c r="W94" s="265">
        <v>4.8000000000000001E-2</v>
      </c>
      <c r="X94" s="265">
        <v>3.5999999999999997E-2</v>
      </c>
      <c r="Y94" s="265">
        <v>4.2000000000000003E-2</v>
      </c>
      <c r="Z94" s="265">
        <v>4.2000000000000003E-2</v>
      </c>
      <c r="AA94" s="265">
        <v>4.2000000000000003E-2</v>
      </c>
      <c r="AB94" s="265">
        <v>4.9000000000000002E-2</v>
      </c>
      <c r="AC94" s="265">
        <v>4.2000000000000003E-2</v>
      </c>
      <c r="AD94" s="265">
        <v>4.8000000000000001E-2</v>
      </c>
      <c r="AE94" s="265">
        <v>4.2000000000000003E-2</v>
      </c>
      <c r="AF94" s="265">
        <v>4.2000000000000003E-2</v>
      </c>
    </row>
    <row r="95" spans="2:43" ht="9.9499999999999993" customHeight="1" x14ac:dyDescent="0.15">
      <c r="B95" s="591"/>
      <c r="C95" s="292"/>
      <c r="D95" s="593"/>
      <c r="E95" s="2" t="s">
        <v>441</v>
      </c>
      <c r="F95" s="265">
        <v>4.7E-2</v>
      </c>
      <c r="G95" s="265">
        <v>3.4000000000000002E-2</v>
      </c>
      <c r="H95" s="265">
        <v>3.5999999999999997E-2</v>
      </c>
      <c r="I95" s="265">
        <v>3.7999999999999999E-2</v>
      </c>
      <c r="J95" s="265">
        <v>4.2000000000000003E-2</v>
      </c>
      <c r="K95" s="265">
        <v>3.6999999999999998E-2</v>
      </c>
      <c r="L95" s="265">
        <v>3.4000000000000002E-2</v>
      </c>
      <c r="M95" s="265">
        <v>3.9E-2</v>
      </c>
      <c r="N95" s="265">
        <v>0.03</v>
      </c>
      <c r="O95" s="265">
        <v>3.5999999999999997E-2</v>
      </c>
      <c r="P95" s="265">
        <v>3.6999999999999998E-2</v>
      </c>
      <c r="Q95" s="265">
        <v>3.5000000000000003E-2</v>
      </c>
      <c r="R95" s="265">
        <v>3.9E-2</v>
      </c>
      <c r="S95" s="265">
        <v>3.5000000000000003E-2</v>
      </c>
      <c r="T95" s="265">
        <v>3.3000000000000002E-2</v>
      </c>
      <c r="U95" s="265">
        <v>3.9E-2</v>
      </c>
      <c r="V95" s="265">
        <v>3.6999999999999998E-2</v>
      </c>
      <c r="W95" s="265">
        <v>3.3000000000000002E-2</v>
      </c>
      <c r="X95" s="265">
        <v>3.6999999999999998E-2</v>
      </c>
      <c r="Y95" s="265">
        <v>3.4000000000000002E-2</v>
      </c>
      <c r="Z95" s="265">
        <v>3.5999999999999997E-2</v>
      </c>
      <c r="AA95" s="265">
        <v>3.1E-2</v>
      </c>
      <c r="AB95" s="265">
        <v>3.5000000000000003E-2</v>
      </c>
      <c r="AC95" s="265">
        <v>3.5999999999999997E-2</v>
      </c>
      <c r="AD95" s="265">
        <v>3.2000000000000001E-2</v>
      </c>
      <c r="AE95" s="265">
        <v>3.4000000000000002E-2</v>
      </c>
      <c r="AF95" s="265">
        <v>3.1E-2</v>
      </c>
    </row>
    <row r="96" spans="2:43" ht="9.9499999999999993" customHeight="1" x14ac:dyDescent="0.15">
      <c r="B96" s="591"/>
      <c r="C96" s="292"/>
      <c r="D96" s="593"/>
      <c r="E96" s="2" t="s">
        <v>442</v>
      </c>
      <c r="F96" s="265">
        <v>5.5E-2</v>
      </c>
      <c r="G96" s="265">
        <v>5.1999999999999998E-2</v>
      </c>
      <c r="H96" s="265">
        <v>4.7E-2</v>
      </c>
      <c r="I96" s="265">
        <v>5.2999999999999999E-2</v>
      </c>
      <c r="J96" s="265">
        <v>4.2999999999999997E-2</v>
      </c>
      <c r="K96" s="265">
        <v>4.7E-2</v>
      </c>
      <c r="L96" s="265">
        <v>4.9000000000000002E-2</v>
      </c>
      <c r="M96" s="265">
        <v>0.05</v>
      </c>
      <c r="N96" s="265">
        <v>5.1999999999999998E-2</v>
      </c>
      <c r="O96" s="265">
        <v>5.3999999999999999E-2</v>
      </c>
      <c r="P96" s="265">
        <v>4.8000000000000001E-2</v>
      </c>
      <c r="Q96" s="265">
        <v>4.8000000000000001E-2</v>
      </c>
      <c r="R96" s="265">
        <v>0.06</v>
      </c>
      <c r="S96" s="265">
        <v>5.2999999999999999E-2</v>
      </c>
      <c r="T96" s="265">
        <v>0.05</v>
      </c>
      <c r="U96" s="265">
        <v>0.05</v>
      </c>
      <c r="V96" s="265">
        <v>5.3999999999999999E-2</v>
      </c>
      <c r="W96" s="265">
        <v>0.05</v>
      </c>
      <c r="X96" s="265">
        <v>5.2999999999999999E-2</v>
      </c>
      <c r="Y96" s="265">
        <v>4.7E-2</v>
      </c>
      <c r="Z96" s="265">
        <v>4.8000000000000001E-2</v>
      </c>
      <c r="AA96" s="265">
        <v>5.5E-2</v>
      </c>
      <c r="AB96" s="265">
        <v>4.8000000000000001E-2</v>
      </c>
      <c r="AC96" s="265">
        <v>4.4999999999999998E-2</v>
      </c>
      <c r="AD96" s="265">
        <v>4.5999999999999999E-2</v>
      </c>
      <c r="AE96" s="265">
        <v>4.7E-2</v>
      </c>
      <c r="AF96" s="265">
        <v>5.0999999999999997E-2</v>
      </c>
    </row>
    <row r="97" spans="1:50" ht="9.9499999999999993" customHeight="1" x14ac:dyDescent="0.15">
      <c r="B97" s="5"/>
      <c r="C97" s="292"/>
      <c r="D97" s="593"/>
      <c r="E97" s="2" t="s">
        <v>369</v>
      </c>
      <c r="F97" s="265">
        <v>4.5999999999999999E-2</v>
      </c>
      <c r="G97" s="265">
        <v>4.2999999999999997E-2</v>
      </c>
      <c r="H97" s="265">
        <v>4.5999999999999999E-2</v>
      </c>
      <c r="I97" s="265">
        <v>4.4999999999999998E-2</v>
      </c>
      <c r="J97" s="265">
        <v>4.2000000000000003E-2</v>
      </c>
      <c r="K97" s="265">
        <v>4.8000000000000001E-2</v>
      </c>
      <c r="L97" s="265">
        <v>4.5999999999999999E-2</v>
      </c>
      <c r="M97" s="265">
        <v>4.5999999999999999E-2</v>
      </c>
      <c r="N97" s="265">
        <v>0.05</v>
      </c>
      <c r="O97" s="265">
        <v>4.2999999999999997E-2</v>
      </c>
      <c r="P97" s="265">
        <v>4.2999999999999997E-2</v>
      </c>
      <c r="Q97" s="265">
        <v>4.4999999999999998E-2</v>
      </c>
      <c r="R97" s="265">
        <v>4.7E-2</v>
      </c>
      <c r="S97" s="265">
        <v>4.8000000000000001E-2</v>
      </c>
      <c r="T97" s="265">
        <v>5.1999999999999998E-2</v>
      </c>
      <c r="U97" s="265">
        <v>4.7E-2</v>
      </c>
      <c r="V97" s="265">
        <v>4.8000000000000001E-2</v>
      </c>
      <c r="W97" s="265">
        <v>4.4999999999999998E-2</v>
      </c>
      <c r="X97" s="265">
        <v>4.5999999999999999E-2</v>
      </c>
      <c r="Y97" s="265">
        <v>4.4999999999999998E-2</v>
      </c>
      <c r="Z97" s="265">
        <v>4.9000000000000002E-2</v>
      </c>
      <c r="AA97" s="265">
        <v>4.7E-2</v>
      </c>
      <c r="AB97" s="265">
        <v>4.9000000000000002E-2</v>
      </c>
      <c r="AC97" s="265">
        <v>4.4999999999999998E-2</v>
      </c>
      <c r="AD97" s="265">
        <v>4.5999999999999999E-2</v>
      </c>
      <c r="AE97" s="265">
        <v>4.7E-2</v>
      </c>
      <c r="AF97" s="265">
        <v>4.4999999999999998E-2</v>
      </c>
    </row>
    <row r="98" spans="1:50" ht="9.9499999999999993" customHeight="1" x14ac:dyDescent="0.15">
      <c r="B98" s="5"/>
      <c r="C98" s="292"/>
      <c r="D98" s="5"/>
      <c r="E98" s="2" t="s">
        <v>297</v>
      </c>
      <c r="F98" s="265">
        <v>5.2999999999999999E-2</v>
      </c>
      <c r="G98" s="265">
        <v>4.2999999999999997E-2</v>
      </c>
      <c r="H98" s="265">
        <v>4.2999999999999997E-2</v>
      </c>
      <c r="I98" s="265">
        <v>4.3999999999999997E-2</v>
      </c>
      <c r="J98" s="265">
        <v>4.7E-2</v>
      </c>
      <c r="K98" s="265">
        <v>4.2000000000000003E-2</v>
      </c>
      <c r="L98" s="265">
        <v>4.2000000000000003E-2</v>
      </c>
      <c r="M98" s="265">
        <v>0.05</v>
      </c>
      <c r="N98" s="265">
        <v>4.5999999999999999E-2</v>
      </c>
      <c r="O98" s="265">
        <v>4.7E-2</v>
      </c>
      <c r="P98" s="265">
        <v>5.2999999999999999E-2</v>
      </c>
      <c r="Q98" s="265">
        <v>4.8000000000000001E-2</v>
      </c>
      <c r="R98" s="265">
        <v>4.4999999999999998E-2</v>
      </c>
      <c r="S98" s="265">
        <v>4.3999999999999997E-2</v>
      </c>
      <c r="T98" s="265">
        <v>4.2000000000000003E-2</v>
      </c>
      <c r="U98" s="265">
        <v>4.8000000000000001E-2</v>
      </c>
      <c r="V98" s="265">
        <v>4.9000000000000002E-2</v>
      </c>
      <c r="W98" s="265">
        <v>4.3999999999999997E-2</v>
      </c>
      <c r="X98" s="265">
        <v>4.2999999999999997E-2</v>
      </c>
      <c r="Y98" s="265">
        <v>4.5999999999999999E-2</v>
      </c>
      <c r="Z98" s="265">
        <v>4.2999999999999997E-2</v>
      </c>
      <c r="AA98" s="265">
        <v>4.5999999999999999E-2</v>
      </c>
      <c r="AB98" s="265">
        <v>4.7E-2</v>
      </c>
      <c r="AC98" s="265">
        <v>4.8000000000000001E-2</v>
      </c>
      <c r="AD98" s="265">
        <v>4.8000000000000001E-2</v>
      </c>
      <c r="AE98" s="265">
        <v>4.3999999999999997E-2</v>
      </c>
      <c r="AF98" s="265">
        <v>4.3999999999999997E-2</v>
      </c>
    </row>
    <row r="99" spans="1:50" ht="9.9499999999999993" customHeight="1" x14ac:dyDescent="0.15">
      <c r="B99" s="5"/>
      <c r="C99" s="292"/>
      <c r="D99" s="5"/>
      <c r="E99" s="2" t="s">
        <v>370</v>
      </c>
      <c r="F99" s="265">
        <v>5.1999999999999998E-2</v>
      </c>
      <c r="G99" s="265">
        <v>4.9000000000000002E-2</v>
      </c>
      <c r="H99" s="265">
        <v>4.5999999999999999E-2</v>
      </c>
      <c r="I99" s="265">
        <v>5.0999999999999997E-2</v>
      </c>
      <c r="J99" s="265">
        <v>4.7E-2</v>
      </c>
      <c r="K99" s="265">
        <v>5.1999999999999998E-2</v>
      </c>
      <c r="L99" s="265">
        <v>4.2999999999999997E-2</v>
      </c>
      <c r="M99" s="265">
        <v>5.0999999999999997E-2</v>
      </c>
      <c r="N99" s="265">
        <v>4.5999999999999999E-2</v>
      </c>
      <c r="O99" s="265">
        <v>5.2999999999999999E-2</v>
      </c>
      <c r="P99" s="265">
        <v>4.4999999999999998E-2</v>
      </c>
      <c r="Q99" s="265">
        <v>5.3999999999999999E-2</v>
      </c>
      <c r="R99" s="265">
        <v>5.7000000000000002E-2</v>
      </c>
      <c r="S99" s="265">
        <v>5.1999999999999998E-2</v>
      </c>
      <c r="T99" s="265">
        <v>0.05</v>
      </c>
      <c r="U99" s="265">
        <v>5.2999999999999999E-2</v>
      </c>
      <c r="V99" s="265">
        <v>5.0999999999999997E-2</v>
      </c>
      <c r="W99" s="265">
        <v>4.9000000000000002E-2</v>
      </c>
      <c r="X99" s="265">
        <v>4.8000000000000001E-2</v>
      </c>
      <c r="Y99" s="265">
        <v>4.3999999999999997E-2</v>
      </c>
      <c r="Z99" s="265">
        <v>5.1999999999999998E-2</v>
      </c>
      <c r="AA99" s="265">
        <v>4.9000000000000002E-2</v>
      </c>
      <c r="AB99" s="265">
        <v>0.05</v>
      </c>
      <c r="AC99" s="265">
        <v>4.8000000000000001E-2</v>
      </c>
      <c r="AD99" s="265">
        <v>4.9000000000000002E-2</v>
      </c>
      <c r="AE99" s="265">
        <v>5.1999999999999998E-2</v>
      </c>
      <c r="AF99" s="265">
        <v>5.1999999999999998E-2</v>
      </c>
    </row>
    <row r="100" spans="1:50" ht="9.9499999999999993" customHeight="1" x14ac:dyDescent="0.15">
      <c r="B100" s="7"/>
      <c r="C100" s="301"/>
      <c r="D100" s="7"/>
      <c r="E100" s="2" t="s">
        <v>371</v>
      </c>
      <c r="F100" s="265">
        <v>4.8000000000000001E-2</v>
      </c>
      <c r="G100" s="265">
        <v>4.2999999999999997E-2</v>
      </c>
      <c r="H100" s="265">
        <v>3.7999999999999999E-2</v>
      </c>
      <c r="I100" s="265">
        <v>4.8000000000000001E-2</v>
      </c>
      <c r="J100" s="265">
        <v>3.6999999999999998E-2</v>
      </c>
      <c r="K100" s="265">
        <v>4.2000000000000003E-2</v>
      </c>
      <c r="L100" s="265">
        <v>4.2999999999999997E-2</v>
      </c>
      <c r="M100" s="265">
        <v>4.4999999999999998E-2</v>
      </c>
      <c r="N100" s="265">
        <v>4.3999999999999997E-2</v>
      </c>
      <c r="O100" s="265">
        <v>4.2999999999999997E-2</v>
      </c>
      <c r="P100" s="265">
        <v>4.2999999999999997E-2</v>
      </c>
      <c r="Q100" s="265">
        <v>4.1000000000000002E-2</v>
      </c>
      <c r="R100" s="265">
        <v>4.2000000000000003E-2</v>
      </c>
      <c r="S100" s="265">
        <v>4.8000000000000001E-2</v>
      </c>
      <c r="T100" s="265">
        <v>4.8000000000000001E-2</v>
      </c>
      <c r="U100" s="265">
        <v>4.3999999999999997E-2</v>
      </c>
      <c r="V100" s="265">
        <v>4.3999999999999997E-2</v>
      </c>
      <c r="W100" s="265">
        <v>3.9E-2</v>
      </c>
      <c r="X100" s="265">
        <v>3.9E-2</v>
      </c>
      <c r="Y100" s="265">
        <v>0.04</v>
      </c>
      <c r="Z100" s="265">
        <v>4.3999999999999997E-2</v>
      </c>
      <c r="AA100" s="265">
        <v>4.2999999999999997E-2</v>
      </c>
      <c r="AB100" s="265">
        <v>4.5999999999999999E-2</v>
      </c>
      <c r="AC100" s="265">
        <v>4.8000000000000001E-2</v>
      </c>
      <c r="AD100" s="265">
        <v>4.3999999999999997E-2</v>
      </c>
      <c r="AE100" s="265">
        <v>4.4999999999999998E-2</v>
      </c>
      <c r="AF100" s="265">
        <v>4.2000000000000003E-2</v>
      </c>
    </row>
    <row r="101" spans="1:50" ht="9.9499999999999993" customHeight="1" x14ac:dyDescent="0.15">
      <c r="B101" s="600" t="s">
        <v>443</v>
      </c>
      <c r="C101" s="610" t="s">
        <v>444</v>
      </c>
      <c r="D101" s="592" t="s">
        <v>445</v>
      </c>
      <c r="E101" s="326"/>
      <c r="F101" s="260"/>
      <c r="G101" s="260"/>
      <c r="H101" s="261"/>
      <c r="I101" s="327" t="s">
        <v>446</v>
      </c>
      <c r="J101" s="328">
        <v>43273</v>
      </c>
      <c r="K101" s="328">
        <v>43286</v>
      </c>
      <c r="L101" s="2" t="s">
        <v>345</v>
      </c>
      <c r="M101" s="280"/>
      <c r="N101" s="280"/>
      <c r="O101" s="280"/>
      <c r="P101" s="280"/>
      <c r="Q101" s="280"/>
      <c r="R101" s="280"/>
      <c r="S101" s="280"/>
      <c r="T101" s="280"/>
      <c r="U101" s="280"/>
      <c r="V101" s="280"/>
      <c r="W101" s="280"/>
      <c r="X101" s="280"/>
      <c r="Y101" s="280"/>
      <c r="Z101" s="280"/>
      <c r="AA101" s="280"/>
      <c r="AB101" s="280"/>
      <c r="AC101" s="280"/>
      <c r="AD101" s="280"/>
      <c r="AE101" s="280"/>
      <c r="AF101" s="280"/>
    </row>
    <row r="102" spans="1:50" ht="9.9499999999999993" customHeight="1" x14ac:dyDescent="0.15">
      <c r="B102" s="609"/>
      <c r="C102" s="611"/>
      <c r="D102" s="593"/>
      <c r="E102" s="329" t="s">
        <v>447</v>
      </c>
      <c r="F102" s="260"/>
      <c r="G102" s="260"/>
      <c r="H102" s="261"/>
      <c r="I102" s="22" t="s">
        <v>110</v>
      </c>
      <c r="J102" s="22" t="s">
        <v>110</v>
      </c>
      <c r="K102" s="22" t="s">
        <v>110</v>
      </c>
      <c r="L102" s="2" t="s">
        <v>110</v>
      </c>
      <c r="N102" s="15" t="s">
        <v>348</v>
      </c>
      <c r="O102" s="15"/>
      <c r="P102" s="15"/>
      <c r="Q102" s="15"/>
      <c r="R102" s="15"/>
      <c r="S102" s="15"/>
      <c r="T102" s="15"/>
      <c r="U102" s="15"/>
      <c r="V102" s="15"/>
      <c r="W102" s="15"/>
      <c r="X102" s="15"/>
      <c r="Y102" s="15"/>
      <c r="Z102" s="15"/>
      <c r="AA102" s="15"/>
      <c r="AB102" s="15"/>
      <c r="AC102" s="15"/>
      <c r="AD102" s="15"/>
      <c r="AE102" s="15"/>
      <c r="AF102" s="15"/>
    </row>
    <row r="103" spans="1:50" ht="9.9499999999999993" customHeight="1" x14ac:dyDescent="0.15">
      <c r="B103" s="609"/>
      <c r="C103" s="611"/>
      <c r="D103" s="593"/>
      <c r="E103" s="329" t="s">
        <v>448</v>
      </c>
      <c r="F103" s="260"/>
      <c r="G103" s="260"/>
      <c r="H103" s="261"/>
      <c r="I103" s="22" t="s">
        <v>110</v>
      </c>
      <c r="J103" s="22" t="s">
        <v>110</v>
      </c>
      <c r="K103" s="22" t="s">
        <v>110</v>
      </c>
      <c r="L103" s="2" t="s">
        <v>110</v>
      </c>
      <c r="N103" s="1" t="s">
        <v>377</v>
      </c>
      <c r="O103" s="15"/>
      <c r="P103" s="15"/>
      <c r="Q103" s="15"/>
      <c r="R103" s="15"/>
      <c r="S103" s="15"/>
      <c r="T103" s="15"/>
      <c r="U103" s="15"/>
      <c r="V103" s="15"/>
      <c r="W103" s="15"/>
      <c r="X103" s="15"/>
      <c r="Y103" s="15"/>
      <c r="Z103" s="15"/>
      <c r="AA103" s="15"/>
      <c r="AB103" s="15"/>
      <c r="AC103" s="15"/>
      <c r="AD103" s="15"/>
      <c r="AE103" s="15"/>
      <c r="AF103" s="15"/>
    </row>
    <row r="104" spans="1:50" ht="9.9499999999999993" customHeight="1" x14ac:dyDescent="0.15">
      <c r="B104" s="268"/>
      <c r="C104" s="611"/>
      <c r="D104" s="593"/>
      <c r="E104" s="329" t="s">
        <v>353</v>
      </c>
      <c r="F104" s="260"/>
      <c r="G104" s="260"/>
      <c r="H104" s="261"/>
      <c r="I104" s="22" t="s">
        <v>110</v>
      </c>
      <c r="J104" s="22" t="s">
        <v>110</v>
      </c>
      <c r="K104" s="22">
        <v>0.7</v>
      </c>
      <c r="L104" s="22" t="s">
        <v>355</v>
      </c>
      <c r="M104" s="8"/>
      <c r="N104" s="8"/>
      <c r="O104" s="8"/>
      <c r="P104" s="15"/>
      <c r="Q104" s="15"/>
      <c r="R104" s="15"/>
      <c r="S104" s="15"/>
      <c r="T104" s="15"/>
      <c r="U104" s="15"/>
      <c r="V104" s="15"/>
      <c r="W104" s="15"/>
      <c r="X104" s="15"/>
      <c r="Y104" s="15"/>
      <c r="Z104" s="15"/>
      <c r="AA104" s="15"/>
      <c r="AB104" s="15"/>
      <c r="AC104" s="15"/>
      <c r="AD104" s="15"/>
      <c r="AE104" s="15"/>
      <c r="AF104" s="15"/>
    </row>
    <row r="105" spans="1:50" ht="9.9499999999999993" customHeight="1" x14ac:dyDescent="0.15">
      <c r="B105" s="331"/>
      <c r="C105" s="612"/>
      <c r="D105" s="7"/>
      <c r="E105" s="329" t="s">
        <v>357</v>
      </c>
      <c r="F105" s="260"/>
      <c r="G105" s="260"/>
      <c r="H105" s="261"/>
      <c r="I105" s="22" t="s">
        <v>110</v>
      </c>
      <c r="J105" s="22" t="s">
        <v>110</v>
      </c>
      <c r="K105" s="22" t="s">
        <v>110</v>
      </c>
      <c r="L105" s="2" t="s">
        <v>110</v>
      </c>
      <c r="M105" s="8"/>
      <c r="N105" s="8"/>
      <c r="O105" s="8"/>
      <c r="P105" s="285"/>
      <c r="Q105" s="285"/>
      <c r="R105" s="285"/>
      <c r="S105" s="15"/>
      <c r="T105" s="15"/>
      <c r="U105" s="15"/>
      <c r="V105" s="15"/>
      <c r="W105" s="15"/>
      <c r="X105" s="15"/>
      <c r="Y105" s="15"/>
      <c r="Z105" s="15"/>
      <c r="AA105" s="15"/>
      <c r="AB105" s="15"/>
      <c r="AC105" s="15"/>
      <c r="AD105" s="15"/>
      <c r="AE105" s="15"/>
      <c r="AF105" s="15"/>
      <c r="AG105" s="15"/>
      <c r="AH105" s="15"/>
      <c r="AI105" s="15"/>
    </row>
    <row r="106" spans="1:50" ht="9.9499999999999993" customHeight="1" x14ac:dyDescent="0.15">
      <c r="S106" s="15"/>
      <c r="T106" s="15"/>
      <c r="U106" s="15"/>
      <c r="V106" s="15"/>
      <c r="W106" s="15"/>
      <c r="X106" s="15"/>
      <c r="Y106" s="15"/>
      <c r="Z106" s="15"/>
      <c r="AA106" s="15"/>
      <c r="AB106" s="15"/>
      <c r="AC106" s="15"/>
      <c r="AD106" s="15"/>
      <c r="AE106" s="15"/>
      <c r="AF106" s="15"/>
      <c r="AG106" s="15"/>
      <c r="AH106" s="15"/>
      <c r="AI106" s="15"/>
    </row>
    <row r="107" spans="1:50" ht="9.9499999999999993" customHeight="1" x14ac:dyDescent="0.15">
      <c r="A107" s="257"/>
      <c r="B107" s="258" t="s">
        <v>449</v>
      </c>
      <c r="C107" s="258"/>
      <c r="D107" s="258"/>
      <c r="E107" s="258"/>
      <c r="F107" s="258"/>
      <c r="G107" s="258"/>
      <c r="H107" s="258"/>
      <c r="I107" s="258"/>
      <c r="J107" s="258"/>
      <c r="K107" s="258"/>
      <c r="L107" s="258"/>
      <c r="M107" s="258"/>
      <c r="N107" s="258" t="s">
        <v>450</v>
      </c>
      <c r="O107" s="258"/>
      <c r="P107" s="258"/>
      <c r="Q107" s="258"/>
      <c r="R107" s="258"/>
      <c r="S107" s="258"/>
      <c r="T107" s="258"/>
      <c r="U107" s="258"/>
      <c r="V107" s="258"/>
      <c r="W107" s="8"/>
      <c r="X107" s="8"/>
      <c r="Y107" s="8"/>
      <c r="Z107" s="8"/>
      <c r="AA107" s="8"/>
    </row>
    <row r="108" spans="1:50" ht="9.9499999999999993" customHeight="1" x14ac:dyDescent="0.15">
      <c r="A108" s="257"/>
      <c r="B108" s="273" t="s">
        <v>451</v>
      </c>
      <c r="C108" s="8"/>
      <c r="D108" s="8"/>
      <c r="E108" s="8"/>
      <c r="F108" s="8"/>
      <c r="G108" s="9"/>
      <c r="H108" s="9"/>
      <c r="I108" s="9"/>
      <c r="J108" s="9"/>
      <c r="K108" s="9"/>
      <c r="L108" s="8"/>
      <c r="M108" s="8" t="s">
        <v>452</v>
      </c>
      <c r="N108" s="8"/>
      <c r="O108" s="8"/>
      <c r="P108" s="8"/>
      <c r="Q108" s="8"/>
      <c r="R108" s="8"/>
      <c r="S108" s="8"/>
      <c r="T108" s="8"/>
      <c r="U108" s="8"/>
      <c r="V108" s="8"/>
      <c r="W108" s="8"/>
      <c r="X108" s="8"/>
      <c r="Y108" s="8"/>
      <c r="Z108" s="8"/>
      <c r="AA108" s="8"/>
      <c r="AB108" s="8"/>
      <c r="AC108" s="8"/>
      <c r="AD108" s="8"/>
      <c r="AE108" s="8"/>
      <c r="AF108" s="257"/>
      <c r="AH108" s="273"/>
      <c r="AI108" s="8"/>
      <c r="AJ108" s="8"/>
      <c r="AK108" s="8"/>
      <c r="AL108" s="8"/>
      <c r="AM108" s="8"/>
      <c r="AN108" s="8"/>
      <c r="AO108" s="8"/>
      <c r="AP108" s="8"/>
      <c r="AQ108" s="8"/>
      <c r="AR108" s="8"/>
      <c r="AS108" s="8"/>
      <c r="AT108" s="8"/>
      <c r="AU108" s="257"/>
      <c r="AV108" s="257"/>
      <c r="AW108" s="257"/>
      <c r="AX108" s="257"/>
    </row>
    <row r="109" spans="1:50" ht="9.9499999999999993" customHeight="1" x14ac:dyDescent="0.15">
      <c r="B109" s="3" t="s">
        <v>453</v>
      </c>
      <c r="C109" s="3" t="s">
        <v>232</v>
      </c>
      <c r="D109" s="3" t="s">
        <v>233</v>
      </c>
      <c r="E109" s="3" t="s">
        <v>234</v>
      </c>
      <c r="F109" s="3" t="s">
        <v>235</v>
      </c>
      <c r="G109" s="259" t="s">
        <v>236</v>
      </c>
      <c r="H109" s="260"/>
      <c r="I109" s="260"/>
      <c r="J109" s="260"/>
      <c r="K109" s="261"/>
      <c r="L109" s="262"/>
      <c r="M109" s="3" t="s">
        <v>237</v>
      </c>
      <c r="N109" s="320">
        <v>43304</v>
      </c>
      <c r="O109" s="320">
        <v>43305</v>
      </c>
      <c r="P109" s="320">
        <v>43306</v>
      </c>
      <c r="Q109" s="320">
        <v>43307</v>
      </c>
      <c r="R109" s="320">
        <v>43308</v>
      </c>
      <c r="S109" s="15"/>
      <c r="T109" s="15"/>
      <c r="U109" s="15"/>
      <c r="V109" s="15"/>
      <c r="W109" s="15"/>
      <c r="X109" s="15"/>
      <c r="Y109" s="15"/>
      <c r="Z109" s="15"/>
      <c r="AA109" s="15"/>
      <c r="AB109" s="15"/>
      <c r="AC109" s="15"/>
      <c r="AD109" s="15"/>
      <c r="AE109" s="15"/>
      <c r="AF109" s="15"/>
      <c r="AG109" s="15"/>
      <c r="AH109" s="273" t="s">
        <v>454</v>
      </c>
      <c r="AI109" s="8"/>
      <c r="AJ109" s="8"/>
      <c r="AK109" s="8"/>
      <c r="AL109" s="8"/>
      <c r="AM109" s="8"/>
      <c r="AN109" s="8"/>
      <c r="AO109" s="8"/>
      <c r="AP109" s="8"/>
      <c r="AQ109" s="8"/>
      <c r="AR109" s="8"/>
      <c r="AS109" s="8"/>
      <c r="AT109" s="8"/>
      <c r="AU109" s="257"/>
      <c r="AV109" s="257"/>
    </row>
    <row r="110" spans="1:50" ht="9.9499999999999993" customHeight="1" x14ac:dyDescent="0.15">
      <c r="B110" s="5"/>
      <c r="C110" s="5"/>
      <c r="D110" s="5"/>
      <c r="E110" s="5"/>
      <c r="F110" s="5"/>
      <c r="G110" s="320">
        <v>43304</v>
      </c>
      <c r="H110" s="320">
        <v>43305</v>
      </c>
      <c r="I110" s="320">
        <v>43306</v>
      </c>
      <c r="J110" s="320">
        <v>43307</v>
      </c>
      <c r="K110" s="320">
        <v>43308</v>
      </c>
      <c r="L110" s="5"/>
      <c r="M110" s="7"/>
      <c r="N110" s="339">
        <v>43304</v>
      </c>
      <c r="O110" s="339">
        <v>43305</v>
      </c>
      <c r="P110" s="339">
        <v>43306</v>
      </c>
      <c r="Q110" s="339">
        <v>43307</v>
      </c>
      <c r="R110" s="339">
        <v>43308</v>
      </c>
      <c r="S110" s="15"/>
      <c r="T110" s="15"/>
      <c r="U110" s="15"/>
      <c r="V110" s="15"/>
      <c r="W110" s="15"/>
      <c r="X110" s="15"/>
      <c r="Y110" s="15"/>
      <c r="Z110" s="15"/>
      <c r="AA110" s="15"/>
      <c r="AB110" s="15"/>
      <c r="AC110" s="15"/>
      <c r="AD110" s="15"/>
      <c r="AE110" s="15"/>
      <c r="AF110" s="15"/>
      <c r="AG110" s="15"/>
      <c r="AH110" s="273" t="s">
        <v>455</v>
      </c>
      <c r="AI110" s="8"/>
      <c r="AJ110" s="8"/>
      <c r="AK110" s="8"/>
      <c r="AL110" s="8"/>
      <c r="AM110" s="8"/>
      <c r="AN110" s="8"/>
      <c r="AO110" s="8"/>
      <c r="AP110" s="8"/>
      <c r="AQ110" s="8"/>
      <c r="AR110" s="8"/>
      <c r="AS110" s="8"/>
      <c r="AT110" s="8"/>
      <c r="AU110" s="257"/>
      <c r="AV110" s="257"/>
    </row>
    <row r="111" spans="1:50" ht="9.9499999999999993" customHeight="1" x14ac:dyDescent="0.15">
      <c r="B111" s="7"/>
      <c r="C111" s="7"/>
      <c r="D111" s="7"/>
      <c r="E111" s="7"/>
      <c r="F111" s="5"/>
      <c r="G111" s="339">
        <v>43304</v>
      </c>
      <c r="H111" s="339">
        <v>43305</v>
      </c>
      <c r="I111" s="339">
        <v>43306</v>
      </c>
      <c r="J111" s="339">
        <v>43307</v>
      </c>
      <c r="K111" s="339">
        <v>43308</v>
      </c>
      <c r="L111" s="5"/>
      <c r="M111" s="2" t="s">
        <v>238</v>
      </c>
      <c r="N111" s="265">
        <v>4.1000000000000002E-2</v>
      </c>
      <c r="O111" s="265">
        <v>4.1000000000000002E-2</v>
      </c>
      <c r="P111" s="265">
        <v>4.7E-2</v>
      </c>
      <c r="Q111" s="265">
        <v>4.5999999999999999E-2</v>
      </c>
      <c r="R111" s="265">
        <v>4.5999999999999999E-2</v>
      </c>
      <c r="S111" s="15"/>
      <c r="T111" s="15"/>
      <c r="U111" s="15"/>
      <c r="V111" s="15"/>
      <c r="W111" s="15"/>
      <c r="X111" s="15"/>
      <c r="Y111" s="15"/>
      <c r="Z111" s="15"/>
      <c r="AA111" s="15"/>
      <c r="AB111" s="15"/>
      <c r="AC111" s="15"/>
      <c r="AD111" s="15"/>
      <c r="AE111" s="15"/>
      <c r="AF111" s="15"/>
      <c r="AG111" s="15"/>
      <c r="AH111" s="273" t="s">
        <v>456</v>
      </c>
      <c r="AI111" s="8"/>
      <c r="AJ111" s="8"/>
      <c r="AK111" s="8"/>
      <c r="AL111" s="8"/>
      <c r="AM111" s="8"/>
      <c r="AN111" s="8"/>
      <c r="AO111" s="8"/>
      <c r="AP111" s="8"/>
      <c r="AQ111" s="8"/>
      <c r="AR111" s="8"/>
      <c r="AS111" s="8"/>
      <c r="AT111" s="8"/>
      <c r="AU111" s="257"/>
      <c r="AV111" s="257"/>
    </row>
    <row r="112" spans="1:50" ht="9.9499999999999993" customHeight="1" x14ac:dyDescent="0.15">
      <c r="B112" s="3" t="s">
        <v>457</v>
      </c>
      <c r="C112" s="266" t="s">
        <v>220</v>
      </c>
      <c r="D112" s="266" t="s">
        <v>458</v>
      </c>
      <c r="E112" s="266" t="s">
        <v>459</v>
      </c>
      <c r="F112" s="268"/>
      <c r="G112" s="269">
        <v>950</v>
      </c>
      <c r="H112" s="266">
        <v>940</v>
      </c>
      <c r="I112" s="269">
        <v>920</v>
      </c>
      <c r="J112" s="269">
        <v>950</v>
      </c>
      <c r="K112" s="269">
        <v>870</v>
      </c>
      <c r="L112" s="5"/>
      <c r="M112" s="2" t="s">
        <v>242</v>
      </c>
      <c r="N112" s="265">
        <v>4.4999999999999998E-2</v>
      </c>
      <c r="O112" s="265">
        <v>4.2999999999999997E-2</v>
      </c>
      <c r="P112" s="265">
        <v>0.113</v>
      </c>
      <c r="Q112" s="265">
        <v>7.3999999999999996E-2</v>
      </c>
      <c r="R112" s="265">
        <v>6.6000000000000003E-2</v>
      </c>
      <c r="S112" s="15"/>
      <c r="T112" s="15"/>
      <c r="U112" s="15"/>
      <c r="V112" s="15"/>
      <c r="W112" s="15"/>
      <c r="X112" s="15"/>
      <c r="Y112" s="15"/>
      <c r="Z112" s="15"/>
      <c r="AA112" s="15"/>
      <c r="AB112" s="15"/>
      <c r="AC112" s="15"/>
    </row>
    <row r="113" spans="2:48" ht="9.9499999999999993" customHeight="1" x14ac:dyDescent="0.15">
      <c r="B113" s="7"/>
      <c r="C113" s="7"/>
      <c r="D113" s="7"/>
      <c r="E113" s="7"/>
      <c r="F113" s="7"/>
      <c r="G113" s="270"/>
      <c r="H113" s="7"/>
      <c r="I113" s="270"/>
      <c r="J113" s="270"/>
      <c r="K113" s="271">
        <f>SUM(G112:K112)</f>
        <v>4630</v>
      </c>
      <c r="L113" s="272"/>
      <c r="M113" s="2" t="s">
        <v>243</v>
      </c>
      <c r="N113" s="265">
        <v>4.2999999999999997E-2</v>
      </c>
      <c r="O113" s="265">
        <v>4.3999999999999997E-2</v>
      </c>
      <c r="P113" s="265">
        <v>0.109</v>
      </c>
      <c r="Q113" s="265">
        <v>5.8999999999999997E-2</v>
      </c>
      <c r="R113" s="265">
        <v>8.1000000000000003E-2</v>
      </c>
      <c r="S113" s="15"/>
      <c r="T113" s="15"/>
      <c r="U113" s="15"/>
      <c r="V113" s="15"/>
      <c r="W113" s="15"/>
      <c r="X113" s="15"/>
      <c r="Y113" s="15"/>
      <c r="Z113" s="15"/>
      <c r="AA113" s="15"/>
      <c r="AB113" s="15"/>
      <c r="AC113" s="15"/>
      <c r="AH113" s="259" t="s">
        <v>259</v>
      </c>
      <c r="AI113" s="260"/>
      <c r="AJ113" s="261"/>
      <c r="AK113" s="259" t="s">
        <v>260</v>
      </c>
      <c r="AL113" s="261"/>
      <c r="AM113" s="2" t="s">
        <v>233</v>
      </c>
      <c r="AN113" s="259" t="s">
        <v>261</v>
      </c>
      <c r="AO113" s="261"/>
      <c r="AP113" s="259" t="s">
        <v>262</v>
      </c>
      <c r="AQ113" s="261"/>
      <c r="AR113" s="332"/>
      <c r="AS113" s="283"/>
      <c r="AT113" s="284"/>
    </row>
    <row r="114" spans="2:48" ht="9.9499999999999993" customHeight="1" x14ac:dyDescent="0.15">
      <c r="B114" s="8"/>
      <c r="C114" s="8"/>
      <c r="D114" s="8"/>
      <c r="E114" s="8"/>
      <c r="F114" s="8"/>
      <c r="G114" s="8"/>
      <c r="H114" s="8"/>
      <c r="I114" s="8"/>
      <c r="J114" s="8"/>
      <c r="K114" s="8"/>
      <c r="L114" s="8"/>
      <c r="M114" s="2" t="s">
        <v>245</v>
      </c>
      <c r="N114" s="265">
        <v>4.4999999999999998E-2</v>
      </c>
      <c r="O114" s="265">
        <v>4.8000000000000001E-2</v>
      </c>
      <c r="P114" s="265">
        <v>7.0999999999999994E-2</v>
      </c>
      <c r="Q114" s="265">
        <v>4.7E-2</v>
      </c>
      <c r="R114" s="265">
        <v>5.1999999999999998E-2</v>
      </c>
      <c r="S114" s="15"/>
      <c r="T114" s="15"/>
      <c r="U114" s="15"/>
      <c r="V114" s="15"/>
      <c r="W114" s="15"/>
      <c r="X114" s="15"/>
      <c r="Y114" s="15"/>
      <c r="Z114" s="15"/>
      <c r="AA114" s="15"/>
      <c r="AB114" s="15"/>
      <c r="AC114" s="15"/>
      <c r="AH114" s="259" t="s">
        <v>457</v>
      </c>
      <c r="AI114" s="260"/>
      <c r="AJ114" s="261"/>
      <c r="AK114" s="259" t="s">
        <v>220</v>
      </c>
      <c r="AL114" s="261"/>
      <c r="AM114" s="2" t="s">
        <v>458</v>
      </c>
      <c r="AN114" s="259" t="s">
        <v>460</v>
      </c>
      <c r="AO114" s="261"/>
      <c r="AP114" s="259" t="s">
        <v>461</v>
      </c>
      <c r="AQ114" s="261"/>
      <c r="AR114" s="333"/>
      <c r="AS114" s="285"/>
      <c r="AT114" s="286"/>
    </row>
    <row r="115" spans="2:48" ht="9.9499999999999993" customHeight="1" x14ac:dyDescent="0.15">
      <c r="B115" s="8" t="s">
        <v>394</v>
      </c>
      <c r="C115" s="8"/>
      <c r="D115" s="8"/>
      <c r="E115" s="8"/>
      <c r="F115" s="8"/>
      <c r="G115" s="8"/>
      <c r="H115" s="8"/>
      <c r="I115" s="8"/>
      <c r="J115" s="8"/>
      <c r="K115" s="8"/>
      <c r="L115" s="8"/>
      <c r="M115" s="274"/>
      <c r="N115" s="274"/>
      <c r="O115" s="274"/>
      <c r="P115" s="274"/>
      <c r="Q115" s="274"/>
      <c r="R115" s="274"/>
      <c r="S115" s="15"/>
      <c r="T115" s="15"/>
      <c r="U115" s="15"/>
      <c r="V115" s="15"/>
      <c r="W115" s="15"/>
      <c r="X115" s="15"/>
      <c r="Y115" s="15"/>
      <c r="Z115" s="15"/>
      <c r="AA115" s="15"/>
      <c r="AB115" s="15"/>
      <c r="AC115" s="15"/>
      <c r="AH115" s="288" t="s">
        <v>462</v>
      </c>
      <c r="AI115" s="260"/>
      <c r="AJ115" s="260"/>
      <c r="AK115" s="260"/>
      <c r="AL115" s="260"/>
      <c r="AM115" s="260"/>
      <c r="AN115" s="260"/>
      <c r="AO115" s="260"/>
      <c r="AP115" s="260"/>
      <c r="AQ115" s="260"/>
      <c r="AR115" s="260"/>
      <c r="AS115" s="289" t="s">
        <v>393</v>
      </c>
    </row>
    <row r="116" spans="2:48" ht="9.9499999999999993" customHeight="1" x14ac:dyDescent="0.15">
      <c r="B116" s="16"/>
      <c r="C116" s="3" t="s">
        <v>463</v>
      </c>
      <c r="D116" s="586" t="s">
        <v>358</v>
      </c>
      <c r="E116" s="3" t="s">
        <v>359</v>
      </c>
      <c r="F116" s="3" t="s">
        <v>396</v>
      </c>
      <c r="G116" s="259"/>
      <c r="H116" s="260"/>
      <c r="I116" s="260"/>
      <c r="J116" s="260"/>
      <c r="K116" s="260"/>
      <c r="L116" s="260"/>
      <c r="M116" s="260"/>
      <c r="N116" s="260"/>
      <c r="O116" s="260"/>
      <c r="P116" s="260" t="s">
        <v>253</v>
      </c>
      <c r="Q116" s="277"/>
      <c r="R116" s="260"/>
      <c r="S116" s="260"/>
      <c r="T116" s="260"/>
      <c r="U116" s="260"/>
      <c r="V116" s="260"/>
      <c r="W116" s="260"/>
      <c r="X116" s="260"/>
      <c r="Y116" s="260"/>
      <c r="Z116" s="260"/>
      <c r="AA116" s="261"/>
      <c r="AH116" s="291"/>
      <c r="AI116" s="260"/>
      <c r="AJ116" s="260"/>
      <c r="AK116" s="261"/>
      <c r="AL116" s="259" t="s">
        <v>271</v>
      </c>
      <c r="AM116" s="260"/>
      <c r="AN116" s="261"/>
      <c r="AO116" s="259" t="s">
        <v>272</v>
      </c>
      <c r="AP116" s="261"/>
      <c r="AQ116" s="259" t="s">
        <v>273</v>
      </c>
      <c r="AR116" s="2" t="s">
        <v>274</v>
      </c>
      <c r="AS116" s="2" t="s">
        <v>464</v>
      </c>
    </row>
    <row r="117" spans="2:48" ht="9.9499999999999993" customHeight="1" x14ac:dyDescent="0.15">
      <c r="B117" s="5"/>
      <c r="C117" s="5"/>
      <c r="D117" s="587"/>
      <c r="E117" s="5"/>
      <c r="F117" s="588" t="s">
        <v>254</v>
      </c>
      <c r="G117" s="259" t="s">
        <v>255</v>
      </c>
      <c r="H117" s="260"/>
      <c r="I117" s="260"/>
      <c r="J117" s="260"/>
      <c r="K117" s="260"/>
      <c r="L117" s="261"/>
      <c r="M117" s="10" t="s">
        <v>256</v>
      </c>
      <c r="N117" s="280"/>
      <c r="O117" s="280"/>
      <c r="P117" s="280"/>
      <c r="Q117" s="281"/>
      <c r="R117" s="282" t="s">
        <v>257</v>
      </c>
      <c r="S117" s="280"/>
      <c r="T117" s="280"/>
      <c r="U117" s="280"/>
      <c r="V117" s="281"/>
      <c r="W117" s="282" t="s">
        <v>258</v>
      </c>
      <c r="X117" s="280"/>
      <c r="Y117" s="280"/>
      <c r="Z117" s="280"/>
      <c r="AA117" s="281"/>
      <c r="AH117" s="10" t="s">
        <v>282</v>
      </c>
      <c r="AI117" s="281"/>
      <c r="AJ117" s="10" t="s">
        <v>283</v>
      </c>
      <c r="AK117" s="281"/>
      <c r="AL117" s="594" t="s">
        <v>284</v>
      </c>
      <c r="AM117" s="595"/>
      <c r="AN117" s="596"/>
      <c r="AO117" s="294">
        <v>43308</v>
      </c>
      <c r="AP117" s="281"/>
      <c r="AQ117" s="10" t="s">
        <v>110</v>
      </c>
      <c r="AR117" s="3" t="s">
        <v>110</v>
      </c>
      <c r="AS117" s="3" t="s">
        <v>110</v>
      </c>
    </row>
    <row r="118" spans="2:48" ht="9.9499999999999993" customHeight="1" x14ac:dyDescent="0.15">
      <c r="B118" s="5"/>
      <c r="C118" s="5"/>
      <c r="D118" s="587"/>
      <c r="E118" s="5"/>
      <c r="F118" s="589"/>
      <c r="G118" s="10" t="s">
        <v>263</v>
      </c>
      <c r="H118" s="280"/>
      <c r="I118" s="280"/>
      <c r="J118" s="280"/>
      <c r="K118" s="280"/>
      <c r="L118" s="280"/>
      <c r="M118" s="10"/>
      <c r="N118" s="280"/>
      <c r="O118" s="280"/>
      <c r="P118" s="280"/>
      <c r="Q118" s="281"/>
      <c r="R118" s="282"/>
      <c r="S118" s="280"/>
      <c r="T118" s="280"/>
      <c r="U118" s="280"/>
      <c r="V118" s="281"/>
      <c r="W118" s="280"/>
      <c r="X118" s="280"/>
      <c r="Y118" s="280"/>
      <c r="Z118" s="280"/>
      <c r="AA118" s="281"/>
      <c r="AH118" s="13"/>
      <c r="AI118" s="14"/>
      <c r="AJ118" s="11"/>
      <c r="AK118" s="12"/>
      <c r="AL118" s="597"/>
      <c r="AM118" s="598"/>
      <c r="AN118" s="599"/>
      <c r="AO118" s="340"/>
      <c r="AP118" s="12"/>
      <c r="AQ118" s="11"/>
      <c r="AR118" s="7"/>
      <c r="AS118" s="7"/>
    </row>
    <row r="119" spans="2:48" ht="9.9499999999999993" customHeight="1" x14ac:dyDescent="0.15">
      <c r="B119" s="5"/>
      <c r="C119" s="5"/>
      <c r="D119" s="5"/>
      <c r="E119" s="5"/>
      <c r="F119" s="625"/>
      <c r="G119" s="13"/>
      <c r="H119" s="273" t="s">
        <v>266</v>
      </c>
      <c r="I119" s="15"/>
      <c r="J119" s="15"/>
      <c r="K119" s="15"/>
      <c r="L119" s="8"/>
      <c r="M119" s="287" t="s">
        <v>267</v>
      </c>
      <c r="N119" s="8"/>
      <c r="O119" s="8"/>
      <c r="P119" s="8"/>
      <c r="Q119" s="14"/>
      <c r="R119" s="8"/>
      <c r="S119" s="8"/>
      <c r="T119" s="8"/>
      <c r="U119" s="8"/>
      <c r="V119" s="14"/>
      <c r="W119" s="8"/>
      <c r="X119" s="8"/>
      <c r="Y119" s="8"/>
      <c r="Z119" s="8"/>
      <c r="AA119" s="14"/>
      <c r="AH119" s="11"/>
      <c r="AI119" s="12"/>
      <c r="AJ119" s="259" t="s">
        <v>287</v>
      </c>
      <c r="AK119" s="261"/>
      <c r="AL119" s="11" t="s">
        <v>288</v>
      </c>
      <c r="AM119" s="9"/>
      <c r="AN119" s="12"/>
      <c r="AO119" s="295">
        <v>43673</v>
      </c>
      <c r="AP119" s="261"/>
      <c r="AQ119" s="259" t="s">
        <v>110</v>
      </c>
      <c r="AR119" s="2" t="s">
        <v>110</v>
      </c>
      <c r="AS119" s="2" t="s">
        <v>110</v>
      </c>
    </row>
    <row r="120" spans="2:48" ht="9.9499999999999993" customHeight="1" x14ac:dyDescent="0.15">
      <c r="B120" s="590" t="s">
        <v>431</v>
      </c>
      <c r="C120" s="290">
        <v>0.23</v>
      </c>
      <c r="D120" s="592" t="s">
        <v>465</v>
      </c>
      <c r="E120" s="3" t="s">
        <v>237</v>
      </c>
      <c r="F120" s="320">
        <v>43234</v>
      </c>
      <c r="G120" s="320">
        <v>43669</v>
      </c>
      <c r="H120" s="320">
        <v>43670</v>
      </c>
      <c r="I120" s="320">
        <v>43671</v>
      </c>
      <c r="J120" s="320">
        <v>43672</v>
      </c>
      <c r="K120" s="320">
        <v>43673</v>
      </c>
      <c r="L120" s="320">
        <v>43674</v>
      </c>
      <c r="M120" s="320">
        <v>43311</v>
      </c>
      <c r="N120" s="320">
        <v>43312</v>
      </c>
      <c r="O120" s="320">
        <v>43313</v>
      </c>
      <c r="P120" s="320">
        <v>43314</v>
      </c>
      <c r="Q120" s="320">
        <v>43315</v>
      </c>
      <c r="R120" s="320">
        <v>43318</v>
      </c>
      <c r="S120" s="320">
        <v>43319</v>
      </c>
      <c r="T120" s="320">
        <v>43320</v>
      </c>
      <c r="U120" s="320">
        <v>43321</v>
      </c>
      <c r="V120" s="320">
        <v>43322</v>
      </c>
      <c r="W120" s="320">
        <v>43325</v>
      </c>
      <c r="X120" s="320">
        <v>43326</v>
      </c>
      <c r="Y120" s="320">
        <v>43327</v>
      </c>
      <c r="Z120" s="320">
        <v>43328</v>
      </c>
      <c r="AA120" s="320">
        <v>43329</v>
      </c>
      <c r="AH120" s="288" t="s">
        <v>466</v>
      </c>
      <c r="AI120" s="260"/>
      <c r="AJ120" s="260"/>
      <c r="AK120" s="260"/>
      <c r="AL120" s="260"/>
      <c r="AM120" s="260"/>
      <c r="AN120" s="260"/>
      <c r="AO120" s="260"/>
      <c r="AP120" s="260"/>
      <c r="AQ120" s="260"/>
      <c r="AR120" s="260"/>
      <c r="AS120" s="289"/>
    </row>
    <row r="121" spans="2:48" ht="9.9499999999999993" customHeight="1" x14ac:dyDescent="0.15">
      <c r="B121" s="591"/>
      <c r="C121" s="292"/>
      <c r="D121" s="593"/>
      <c r="E121" s="7"/>
      <c r="F121" s="339" t="s">
        <v>276</v>
      </c>
      <c r="G121" s="339" t="s">
        <v>276</v>
      </c>
      <c r="H121" s="339" t="s">
        <v>277</v>
      </c>
      <c r="I121" s="339" t="s">
        <v>278</v>
      </c>
      <c r="J121" s="339" t="s">
        <v>279</v>
      </c>
      <c r="K121" s="339" t="s">
        <v>280</v>
      </c>
      <c r="L121" s="339" t="s">
        <v>281</v>
      </c>
      <c r="M121" s="339" t="s">
        <v>276</v>
      </c>
      <c r="N121" s="339" t="s">
        <v>277</v>
      </c>
      <c r="O121" s="339" t="s">
        <v>278</v>
      </c>
      <c r="P121" s="339" t="s">
        <v>279</v>
      </c>
      <c r="Q121" s="339" t="s">
        <v>280</v>
      </c>
      <c r="R121" s="339" t="s">
        <v>276</v>
      </c>
      <c r="S121" s="339" t="s">
        <v>277</v>
      </c>
      <c r="T121" s="339" t="s">
        <v>278</v>
      </c>
      <c r="U121" s="339" t="s">
        <v>279</v>
      </c>
      <c r="V121" s="339" t="s">
        <v>280</v>
      </c>
      <c r="W121" s="339" t="s">
        <v>276</v>
      </c>
      <c r="X121" s="339" t="s">
        <v>277</v>
      </c>
      <c r="Y121" s="339" t="s">
        <v>278</v>
      </c>
      <c r="Z121" s="339" t="s">
        <v>279</v>
      </c>
      <c r="AA121" s="339" t="s">
        <v>280</v>
      </c>
      <c r="AH121" s="259" t="s">
        <v>292</v>
      </c>
      <c r="AI121" s="260"/>
      <c r="AJ121" s="260"/>
      <c r="AK121" s="261"/>
      <c r="AL121" s="296" t="s">
        <v>401</v>
      </c>
      <c r="AM121" s="280"/>
      <c r="AN121" s="281"/>
      <c r="AO121" s="297" t="s">
        <v>467</v>
      </c>
      <c r="AP121" s="261"/>
      <c r="AQ121" s="298">
        <v>349</v>
      </c>
      <c r="AR121" s="6">
        <v>110</v>
      </c>
      <c r="AS121" s="22" t="s">
        <v>403</v>
      </c>
    </row>
    <row r="122" spans="2:48" ht="9.9499999999999993" customHeight="1" x14ac:dyDescent="0.15">
      <c r="B122" s="591"/>
      <c r="C122" s="292"/>
      <c r="D122" s="593"/>
      <c r="E122" s="2" t="s">
        <v>285</v>
      </c>
      <c r="F122" s="265">
        <v>4.8000000000000001E-2</v>
      </c>
      <c r="G122" s="265">
        <v>4.8000000000000001E-2</v>
      </c>
      <c r="H122" s="265">
        <v>4.2000000000000003E-2</v>
      </c>
      <c r="I122" s="265">
        <v>4.2000000000000003E-2</v>
      </c>
      <c r="J122" s="265">
        <v>4.2000000000000003E-2</v>
      </c>
      <c r="K122" s="265">
        <v>4.8000000000000001E-2</v>
      </c>
      <c r="L122" s="265">
        <v>4.8000000000000001E-2</v>
      </c>
      <c r="M122" s="265">
        <v>4.8000000000000001E-2</v>
      </c>
      <c r="N122" s="265">
        <v>4.2000000000000003E-2</v>
      </c>
      <c r="O122" s="265">
        <v>4.2000000000000003E-2</v>
      </c>
      <c r="P122" s="265">
        <v>4.2000000000000003E-2</v>
      </c>
      <c r="Q122" s="265">
        <v>4.2000000000000003E-2</v>
      </c>
      <c r="R122" s="265">
        <v>4.8000000000000001E-2</v>
      </c>
      <c r="S122" s="265">
        <v>4.8000000000000001E-2</v>
      </c>
      <c r="T122" s="265">
        <v>4.2000000000000003E-2</v>
      </c>
      <c r="U122" s="265">
        <v>4.2000000000000003E-2</v>
      </c>
      <c r="V122" s="265">
        <v>4.2000000000000003E-2</v>
      </c>
      <c r="W122" s="265">
        <v>3.5999999999999997E-2</v>
      </c>
      <c r="X122" s="265">
        <v>5.3999999999999999E-2</v>
      </c>
      <c r="Y122" s="265">
        <v>4.8000000000000001E-2</v>
      </c>
      <c r="Z122" s="265">
        <v>0.06</v>
      </c>
      <c r="AA122" s="265">
        <v>4.2000000000000003E-2</v>
      </c>
      <c r="AH122" s="259" t="s">
        <v>298</v>
      </c>
      <c r="AI122" s="260"/>
      <c r="AJ122" s="260"/>
      <c r="AK122" s="261"/>
      <c r="AL122" s="300" t="s">
        <v>299</v>
      </c>
      <c r="AM122" s="9"/>
      <c r="AN122" s="12"/>
      <c r="AO122" s="297" t="s">
        <v>467</v>
      </c>
      <c r="AP122" s="261"/>
      <c r="AQ122" s="298">
        <v>74</v>
      </c>
      <c r="AR122" s="6">
        <v>32</v>
      </c>
      <c r="AS122" s="2" t="s">
        <v>301</v>
      </c>
      <c r="AV122" s="257"/>
    </row>
    <row r="123" spans="2:48" ht="9.9499999999999993" customHeight="1" x14ac:dyDescent="0.15">
      <c r="B123" s="591"/>
      <c r="C123" s="292"/>
      <c r="D123" s="593"/>
      <c r="E123" s="2" t="s">
        <v>286</v>
      </c>
      <c r="F123" s="265">
        <v>3.2000000000000001E-2</v>
      </c>
      <c r="G123" s="265">
        <v>4.4999999999999998E-2</v>
      </c>
      <c r="H123" s="265">
        <v>4.4999999999999998E-2</v>
      </c>
      <c r="I123" s="265">
        <v>4.2999999999999997E-2</v>
      </c>
      <c r="J123" s="265">
        <v>4.5999999999999999E-2</v>
      </c>
      <c r="K123" s="265">
        <v>4.2999999999999997E-2</v>
      </c>
      <c r="L123" s="265">
        <v>4.2000000000000003E-2</v>
      </c>
      <c r="M123" s="265">
        <v>3.5999999999999997E-2</v>
      </c>
      <c r="N123" s="265">
        <v>4.3999999999999997E-2</v>
      </c>
      <c r="O123" s="265">
        <v>3.9E-2</v>
      </c>
      <c r="P123" s="265">
        <v>4.1000000000000002E-2</v>
      </c>
      <c r="Q123" s="265">
        <v>4.2000000000000003E-2</v>
      </c>
      <c r="R123" s="265">
        <v>0.04</v>
      </c>
      <c r="S123" s="265">
        <v>4.8000000000000001E-2</v>
      </c>
      <c r="T123" s="265">
        <v>3.7999999999999999E-2</v>
      </c>
      <c r="U123" s="265">
        <v>4.8000000000000001E-2</v>
      </c>
      <c r="V123" s="265">
        <v>4.3999999999999997E-2</v>
      </c>
      <c r="W123" s="265">
        <v>4.1000000000000002E-2</v>
      </c>
      <c r="X123" s="265">
        <v>4.8000000000000001E-2</v>
      </c>
      <c r="Y123" s="265">
        <v>5.1999999999999998E-2</v>
      </c>
      <c r="Z123" s="265">
        <v>4.2000000000000003E-2</v>
      </c>
      <c r="AA123" s="265">
        <v>3.5999999999999997E-2</v>
      </c>
      <c r="AH123" s="341" t="s">
        <v>468</v>
      </c>
      <c r="AI123" s="8"/>
      <c r="AJ123" s="8"/>
      <c r="AK123" s="8"/>
      <c r="AL123" s="8"/>
      <c r="AM123" s="8"/>
      <c r="AN123" s="8"/>
      <c r="AO123" s="8"/>
      <c r="AP123" s="8"/>
      <c r="AQ123" s="95" t="s">
        <v>299</v>
      </c>
      <c r="AR123" s="8"/>
      <c r="AS123" s="8"/>
      <c r="AT123" s="257"/>
      <c r="AV123" s="257"/>
    </row>
    <row r="124" spans="2:48" ht="9.9499999999999993" customHeight="1" x14ac:dyDescent="0.15">
      <c r="B124" s="591"/>
      <c r="C124" s="292"/>
      <c r="D124" s="5"/>
      <c r="E124" s="2" t="s">
        <v>289</v>
      </c>
      <c r="F124" s="265">
        <v>4.2999999999999997E-2</v>
      </c>
      <c r="G124" s="265">
        <v>4.3999999999999997E-2</v>
      </c>
      <c r="H124" s="265">
        <v>4.5999999999999999E-2</v>
      </c>
      <c r="I124" s="265">
        <v>3.9E-2</v>
      </c>
      <c r="J124" s="265">
        <v>0.04</v>
      </c>
      <c r="K124" s="265">
        <v>3.7999999999999999E-2</v>
      </c>
      <c r="L124" s="265">
        <v>4.3999999999999997E-2</v>
      </c>
      <c r="M124" s="265">
        <v>3.7999999999999999E-2</v>
      </c>
      <c r="N124" s="265">
        <v>3.9E-2</v>
      </c>
      <c r="O124" s="265">
        <v>4.5999999999999999E-2</v>
      </c>
      <c r="P124" s="265">
        <v>4.4999999999999998E-2</v>
      </c>
      <c r="Q124" s="265">
        <v>4.1000000000000002E-2</v>
      </c>
      <c r="R124" s="265">
        <v>4.2999999999999997E-2</v>
      </c>
      <c r="S124" s="265">
        <v>4.8000000000000001E-2</v>
      </c>
      <c r="T124" s="265">
        <v>4.1000000000000002E-2</v>
      </c>
      <c r="U124" s="265">
        <v>4.7E-2</v>
      </c>
      <c r="V124" s="265">
        <v>4.2999999999999997E-2</v>
      </c>
      <c r="W124" s="265">
        <v>4.2999999999999997E-2</v>
      </c>
      <c r="X124" s="265">
        <v>4.2000000000000003E-2</v>
      </c>
      <c r="Y124" s="265">
        <v>4.4999999999999998E-2</v>
      </c>
      <c r="Z124" s="265">
        <v>0.05</v>
      </c>
      <c r="AA124" s="265">
        <v>4.1000000000000002E-2</v>
      </c>
      <c r="AH124" s="341" t="s">
        <v>469</v>
      </c>
      <c r="AI124" s="8"/>
      <c r="AJ124" s="8"/>
      <c r="AK124" s="8"/>
      <c r="AL124" s="8"/>
      <c r="AM124" s="8"/>
      <c r="AN124" s="8"/>
      <c r="AO124" s="8"/>
      <c r="AP124" s="8"/>
      <c r="AQ124" s="8"/>
      <c r="AR124" s="8"/>
      <c r="AS124" s="8"/>
      <c r="AT124" s="257"/>
      <c r="AV124" s="257"/>
    </row>
    <row r="125" spans="2:48" ht="9.9499999999999993" customHeight="1" x14ac:dyDescent="0.15">
      <c r="B125" s="591"/>
      <c r="C125" s="292"/>
      <c r="D125" s="5"/>
      <c r="E125" s="2" t="s">
        <v>470</v>
      </c>
      <c r="F125" s="265">
        <v>3.9E-2</v>
      </c>
      <c r="G125" s="265">
        <v>3.6999999999999998E-2</v>
      </c>
      <c r="H125" s="265">
        <v>3.5000000000000003E-2</v>
      </c>
      <c r="I125" s="265">
        <v>0.04</v>
      </c>
      <c r="J125" s="265">
        <v>3.5000000000000003E-2</v>
      </c>
      <c r="K125" s="265">
        <v>3.3000000000000002E-2</v>
      </c>
      <c r="L125" s="265">
        <v>3.9E-2</v>
      </c>
      <c r="M125" s="265">
        <v>3.6999999999999998E-2</v>
      </c>
      <c r="N125" s="265">
        <v>3.7999999999999999E-2</v>
      </c>
      <c r="O125" s="265">
        <v>3.6999999999999998E-2</v>
      </c>
      <c r="P125" s="265">
        <v>4.2000000000000003E-2</v>
      </c>
      <c r="Q125" s="265">
        <v>4.1000000000000002E-2</v>
      </c>
      <c r="R125" s="265">
        <v>4.2000000000000003E-2</v>
      </c>
      <c r="S125" s="265">
        <v>4.5999999999999999E-2</v>
      </c>
      <c r="T125" s="265">
        <v>3.3000000000000002E-2</v>
      </c>
      <c r="U125" s="265">
        <v>4.3999999999999997E-2</v>
      </c>
      <c r="V125" s="265">
        <v>3.5999999999999997E-2</v>
      </c>
      <c r="W125" s="265">
        <v>3.6999999999999998E-2</v>
      </c>
      <c r="X125" s="265">
        <v>3.6999999999999998E-2</v>
      </c>
      <c r="Y125" s="265">
        <v>3.5999999999999997E-2</v>
      </c>
      <c r="Z125" s="265">
        <v>4.7E-2</v>
      </c>
      <c r="AA125" s="265">
        <v>3.5000000000000003E-2</v>
      </c>
      <c r="AH125" s="278" t="s">
        <v>471</v>
      </c>
      <c r="AI125" s="9"/>
      <c r="AJ125" s="9"/>
      <c r="AK125" s="9"/>
      <c r="AL125" s="8"/>
      <c r="AM125" s="8"/>
      <c r="AN125" s="8"/>
      <c r="AO125" s="9"/>
      <c r="AP125" s="9"/>
      <c r="AQ125" s="9"/>
      <c r="AR125" s="9"/>
      <c r="AS125" s="9" t="s">
        <v>472</v>
      </c>
      <c r="AT125" s="257"/>
    </row>
    <row r="126" spans="2:48" ht="9.9499999999999993" customHeight="1" x14ac:dyDescent="0.15">
      <c r="B126" s="5"/>
      <c r="C126" s="292"/>
      <c r="D126" s="5"/>
      <c r="E126" s="2" t="s">
        <v>297</v>
      </c>
      <c r="F126" s="265">
        <v>4.8000000000000001E-2</v>
      </c>
      <c r="G126" s="265">
        <v>4.9000000000000002E-2</v>
      </c>
      <c r="H126" s="265">
        <v>4.3999999999999997E-2</v>
      </c>
      <c r="I126" s="265">
        <v>4.4999999999999998E-2</v>
      </c>
      <c r="J126" s="265">
        <v>4.3999999999999997E-2</v>
      </c>
      <c r="K126" s="265">
        <v>4.1000000000000002E-2</v>
      </c>
      <c r="L126" s="265">
        <v>4.1000000000000002E-2</v>
      </c>
      <c r="M126" s="265">
        <v>4.8000000000000001E-2</v>
      </c>
      <c r="N126" s="265">
        <v>4.4999999999999998E-2</v>
      </c>
      <c r="O126" s="265">
        <v>4.7E-2</v>
      </c>
      <c r="P126" s="265">
        <v>4.1000000000000002E-2</v>
      </c>
      <c r="Q126" s="265">
        <v>4.7E-2</v>
      </c>
      <c r="R126" s="265">
        <v>5.1999999999999998E-2</v>
      </c>
      <c r="S126" s="265">
        <v>5.6000000000000001E-2</v>
      </c>
      <c r="T126" s="265">
        <v>4.7E-2</v>
      </c>
      <c r="U126" s="265">
        <v>5.7000000000000002E-2</v>
      </c>
      <c r="V126" s="265">
        <v>4.3999999999999997E-2</v>
      </c>
      <c r="W126" s="265">
        <v>4.4999999999999998E-2</v>
      </c>
      <c r="X126" s="265">
        <v>4.1000000000000002E-2</v>
      </c>
      <c r="Y126" s="265">
        <v>4.4999999999999998E-2</v>
      </c>
      <c r="Z126" s="265">
        <v>5.3999999999999999E-2</v>
      </c>
      <c r="AA126" s="265">
        <v>4.2999999999999997E-2</v>
      </c>
      <c r="AH126" s="259" t="s">
        <v>316</v>
      </c>
      <c r="AI126" s="260"/>
      <c r="AJ126" s="260"/>
      <c r="AK126" s="261"/>
      <c r="AL126" s="315" t="s">
        <v>473</v>
      </c>
      <c r="AM126" s="280"/>
      <c r="AN126" s="281"/>
      <c r="AO126" s="259" t="s">
        <v>474</v>
      </c>
      <c r="AP126" s="261"/>
      <c r="AQ126" s="312">
        <v>5.8000000000000003E-2</v>
      </c>
      <c r="AR126" s="265" t="s">
        <v>301</v>
      </c>
      <c r="AS126" s="265">
        <v>0.113</v>
      </c>
    </row>
    <row r="127" spans="2:48" ht="9.9499999999999993" customHeight="1" x14ac:dyDescent="0.15">
      <c r="B127" s="7"/>
      <c r="C127" s="301"/>
      <c r="D127" s="7"/>
      <c r="E127" s="2" t="s">
        <v>302</v>
      </c>
      <c r="F127" s="265">
        <v>0.04</v>
      </c>
      <c r="G127" s="265">
        <v>0.04</v>
      </c>
      <c r="H127" s="265">
        <v>3.9E-2</v>
      </c>
      <c r="I127" s="265">
        <v>4.2000000000000003E-2</v>
      </c>
      <c r="J127" s="265">
        <v>3.7999999999999999E-2</v>
      </c>
      <c r="K127" s="265">
        <v>4.4999999999999998E-2</v>
      </c>
      <c r="L127" s="265">
        <v>4.1000000000000002E-2</v>
      </c>
      <c r="M127" s="265">
        <v>4.1000000000000002E-2</v>
      </c>
      <c r="N127" s="265">
        <v>0.04</v>
      </c>
      <c r="O127" s="265">
        <v>3.9E-2</v>
      </c>
      <c r="P127" s="265">
        <v>4.2000000000000003E-2</v>
      </c>
      <c r="Q127" s="265">
        <v>0.04</v>
      </c>
      <c r="R127" s="265">
        <v>4.5999999999999999E-2</v>
      </c>
      <c r="S127" s="265">
        <v>4.9000000000000002E-2</v>
      </c>
      <c r="T127" s="265">
        <v>3.7999999999999999E-2</v>
      </c>
      <c r="U127" s="265">
        <v>4.7E-2</v>
      </c>
      <c r="V127" s="265">
        <v>4.1000000000000002E-2</v>
      </c>
      <c r="W127" s="265">
        <v>3.9E-2</v>
      </c>
      <c r="X127" s="265">
        <v>4.2999999999999997E-2</v>
      </c>
      <c r="Y127" s="265">
        <v>4.1000000000000002E-2</v>
      </c>
      <c r="Z127" s="265">
        <v>4.3999999999999997E-2</v>
      </c>
      <c r="AA127" s="265">
        <v>3.7999999999999999E-2</v>
      </c>
      <c r="AH127" s="259" t="s">
        <v>325</v>
      </c>
      <c r="AI127" s="260"/>
      <c r="AJ127" s="260"/>
      <c r="AK127" s="261"/>
      <c r="AL127" s="13"/>
      <c r="AM127" s="15"/>
      <c r="AN127" s="14"/>
      <c r="AO127" s="10" t="s">
        <v>475</v>
      </c>
      <c r="AP127" s="281"/>
      <c r="AQ127" s="312">
        <v>4.1000000000000002E-2</v>
      </c>
      <c r="AR127" s="342" t="s">
        <v>418</v>
      </c>
      <c r="AS127" s="265">
        <v>5.7000000000000002E-2</v>
      </c>
    </row>
    <row r="128" spans="2:48" ht="9.9499999999999993" customHeight="1" x14ac:dyDescent="0.15">
      <c r="B128" s="600" t="s">
        <v>476</v>
      </c>
      <c r="C128" s="590" t="s">
        <v>305</v>
      </c>
      <c r="D128" s="604" t="s">
        <v>477</v>
      </c>
      <c r="E128" s="22" t="s">
        <v>307</v>
      </c>
      <c r="F128" s="22" t="s">
        <v>322</v>
      </c>
      <c r="G128" s="303"/>
      <c r="H128" s="4"/>
      <c r="I128" s="329" t="s">
        <v>478</v>
      </c>
      <c r="J128" s="260"/>
      <c r="K128" s="260"/>
      <c r="L128" s="261"/>
      <c r="M128" s="328">
        <v>43328</v>
      </c>
      <c r="N128" s="263"/>
      <c r="O128" s="260"/>
      <c r="P128" s="260"/>
      <c r="Q128" s="260"/>
      <c r="R128" s="260"/>
      <c r="S128" s="260"/>
      <c r="T128" s="260"/>
      <c r="U128" s="260"/>
      <c r="V128" s="260"/>
      <c r="W128" s="260"/>
      <c r="X128" s="260"/>
      <c r="Y128" s="260"/>
      <c r="Z128" s="260"/>
      <c r="AA128" s="261"/>
      <c r="AH128" s="259" t="s">
        <v>329</v>
      </c>
      <c r="AI128" s="260"/>
      <c r="AJ128" s="260"/>
      <c r="AK128" s="261"/>
      <c r="AL128" s="13"/>
      <c r="AM128" s="15"/>
      <c r="AN128" s="14"/>
      <c r="AO128" s="11"/>
      <c r="AP128" s="12"/>
      <c r="AQ128" s="312">
        <v>4.8000000000000001E-2</v>
      </c>
      <c r="AR128" s="342" t="s">
        <v>330</v>
      </c>
      <c r="AS128" s="265">
        <v>6.0999999999999999E-2</v>
      </c>
    </row>
    <row r="129" spans="2:45" ht="9.9499999999999993" customHeight="1" x14ac:dyDescent="0.15">
      <c r="B129" s="591"/>
      <c r="C129" s="602"/>
      <c r="D129" s="605"/>
      <c r="E129" s="22" t="s">
        <v>479</v>
      </c>
      <c r="F129" s="307">
        <v>110</v>
      </c>
      <c r="G129" s="308">
        <v>349</v>
      </c>
      <c r="H129" s="309"/>
      <c r="I129" s="309"/>
      <c r="J129" s="309"/>
      <c r="K129" s="309"/>
      <c r="L129" s="310"/>
      <c r="M129" s="308">
        <v>160</v>
      </c>
      <c r="N129" s="309"/>
      <c r="O129" s="309"/>
      <c r="P129" s="309"/>
      <c r="Q129" s="309"/>
      <c r="R129" s="309"/>
      <c r="S129" s="309"/>
      <c r="T129" s="309"/>
      <c r="U129" s="309"/>
      <c r="V129" s="309"/>
      <c r="W129" s="309"/>
      <c r="X129" s="309"/>
      <c r="Y129" s="309"/>
      <c r="Z129" s="309"/>
      <c r="AA129" s="310"/>
      <c r="AH129" s="3" t="s">
        <v>331</v>
      </c>
      <c r="AI129" s="259" t="s">
        <v>332</v>
      </c>
      <c r="AJ129" s="260"/>
      <c r="AK129" s="261"/>
      <c r="AL129" s="13"/>
      <c r="AM129" s="15"/>
      <c r="AN129" s="14"/>
      <c r="AO129" s="10" t="s">
        <v>480</v>
      </c>
      <c r="AP129" s="281"/>
      <c r="AQ129" s="312">
        <v>4.1000000000000002E-2</v>
      </c>
      <c r="AR129" s="265">
        <v>3.6999999999999998E-2</v>
      </c>
      <c r="AS129" s="265">
        <v>0.05</v>
      </c>
    </row>
    <row r="130" spans="2:45" ht="9.9499999999999993" customHeight="1" x14ac:dyDescent="0.15">
      <c r="B130" s="601"/>
      <c r="C130" s="603"/>
      <c r="D130" s="606"/>
      <c r="E130" s="22" t="s">
        <v>481</v>
      </c>
      <c r="F130" s="307">
        <v>32</v>
      </c>
      <c r="G130" s="308">
        <v>74</v>
      </c>
      <c r="H130" s="309"/>
      <c r="I130" s="309"/>
      <c r="J130" s="309"/>
      <c r="K130" s="309"/>
      <c r="L130" s="310"/>
      <c r="M130" s="308">
        <v>59</v>
      </c>
      <c r="N130" s="309"/>
      <c r="O130" s="309"/>
      <c r="P130" s="309"/>
      <c r="Q130" s="309"/>
      <c r="R130" s="309"/>
      <c r="S130" s="309"/>
      <c r="T130" s="309"/>
      <c r="U130" s="309"/>
      <c r="V130" s="309"/>
      <c r="W130" s="309"/>
      <c r="X130" s="309"/>
      <c r="Y130" s="309"/>
      <c r="Z130" s="309"/>
      <c r="AA130" s="310"/>
      <c r="AH130" s="5"/>
      <c r="AI130" s="259" t="s">
        <v>334</v>
      </c>
      <c r="AJ130" s="260"/>
      <c r="AK130" s="261"/>
      <c r="AL130" s="13"/>
      <c r="AM130" s="15"/>
      <c r="AN130" s="14"/>
      <c r="AO130" s="13"/>
      <c r="AP130" s="14"/>
      <c r="AQ130" s="312">
        <v>3.7999999999999999E-2</v>
      </c>
      <c r="AR130" s="265">
        <v>3.5999999999999997E-2</v>
      </c>
      <c r="AS130" s="265">
        <v>4.5999999999999999E-2</v>
      </c>
    </row>
    <row r="131" spans="2:45" ht="9.9499999999999993" customHeight="1" x14ac:dyDescent="0.15">
      <c r="B131" s="600" t="s">
        <v>482</v>
      </c>
      <c r="C131" s="610" t="s">
        <v>483</v>
      </c>
      <c r="D131" s="604" t="s">
        <v>477</v>
      </c>
      <c r="E131" s="22" t="s">
        <v>307</v>
      </c>
      <c r="F131" s="22" t="s">
        <v>322</v>
      </c>
      <c r="G131" s="4"/>
      <c r="H131" s="4"/>
      <c r="I131" s="4"/>
      <c r="J131" s="4"/>
      <c r="K131" s="22" t="s">
        <v>323</v>
      </c>
      <c r="L131" s="4"/>
      <c r="M131" s="329" t="s">
        <v>484</v>
      </c>
      <c r="N131" s="260"/>
      <c r="O131" s="260"/>
      <c r="P131" s="260"/>
      <c r="Q131" s="260"/>
      <c r="R131" s="260"/>
      <c r="S131" s="260"/>
      <c r="T131" s="260"/>
      <c r="U131" s="260"/>
      <c r="V131" s="260"/>
      <c r="W131" s="260"/>
      <c r="X131" s="260"/>
      <c r="Y131" s="260"/>
      <c r="Z131" s="260"/>
      <c r="AA131" s="261"/>
      <c r="AH131" s="5"/>
      <c r="AI131" s="259" t="s">
        <v>336</v>
      </c>
      <c r="AJ131" s="260"/>
      <c r="AK131" s="261"/>
      <c r="AL131" s="13"/>
      <c r="AM131" s="15"/>
      <c r="AN131" s="14"/>
      <c r="AO131" s="13"/>
      <c r="AP131" s="14"/>
      <c r="AQ131" s="312">
        <v>3.9E-2</v>
      </c>
      <c r="AR131" s="265">
        <v>4.2000000000000003E-2</v>
      </c>
      <c r="AS131" s="265">
        <v>4.7E-2</v>
      </c>
    </row>
    <row r="132" spans="2:45" ht="9.9499999999999993" customHeight="1" x14ac:dyDescent="0.15">
      <c r="B132" s="609"/>
      <c r="C132" s="616"/>
      <c r="D132" s="605"/>
      <c r="E132" s="22" t="s">
        <v>283</v>
      </c>
      <c r="F132" s="22" t="s">
        <v>110</v>
      </c>
      <c r="G132" s="4"/>
      <c r="H132" s="4"/>
      <c r="I132" s="4"/>
      <c r="J132" s="4"/>
      <c r="K132" s="22" t="s">
        <v>110</v>
      </c>
      <c r="L132" s="4"/>
      <c r="M132" s="329" t="s">
        <v>110</v>
      </c>
      <c r="N132" s="260"/>
      <c r="O132" s="260"/>
      <c r="P132" s="260"/>
      <c r="Q132" s="260"/>
      <c r="R132" s="260"/>
      <c r="S132" s="260"/>
      <c r="T132" s="260"/>
      <c r="U132" s="260"/>
      <c r="V132" s="260"/>
      <c r="W132" s="260"/>
      <c r="X132" s="260"/>
      <c r="Y132" s="260"/>
      <c r="Z132" s="260"/>
      <c r="AA132" s="261"/>
      <c r="AH132" s="5"/>
      <c r="AI132" s="259" t="s">
        <v>338</v>
      </c>
      <c r="AJ132" s="260"/>
      <c r="AK132" s="261"/>
      <c r="AL132" s="13"/>
      <c r="AM132" s="15"/>
      <c r="AN132" s="14"/>
      <c r="AO132" s="13"/>
      <c r="AP132" s="14"/>
      <c r="AQ132" s="312">
        <v>4.4999999999999998E-2</v>
      </c>
      <c r="AR132" s="265">
        <v>4.2000000000000003E-2</v>
      </c>
      <c r="AS132" s="265">
        <v>5.0999999999999997E-2</v>
      </c>
    </row>
    <row r="133" spans="2:45" ht="9.9499999999999993" customHeight="1" x14ac:dyDescent="0.15">
      <c r="B133" s="622"/>
      <c r="C133" s="617"/>
      <c r="D133" s="606"/>
      <c r="E133" s="22" t="s">
        <v>287</v>
      </c>
      <c r="F133" s="22" t="s">
        <v>110</v>
      </c>
      <c r="G133" s="4"/>
      <c r="H133" s="4"/>
      <c r="I133" s="4"/>
      <c r="J133" s="4"/>
      <c r="K133" s="22" t="s">
        <v>110</v>
      </c>
      <c r="L133" s="4"/>
      <c r="M133" s="329" t="s">
        <v>110</v>
      </c>
      <c r="N133" s="260"/>
      <c r="O133" s="260"/>
      <c r="P133" s="260"/>
      <c r="Q133" s="260"/>
      <c r="R133" s="260"/>
      <c r="S133" s="260"/>
      <c r="T133" s="260"/>
      <c r="U133" s="260"/>
      <c r="V133" s="260"/>
      <c r="W133" s="260"/>
      <c r="X133" s="260"/>
      <c r="Y133" s="260"/>
      <c r="Z133" s="260"/>
      <c r="AA133" s="261"/>
      <c r="AH133" s="7"/>
      <c r="AI133" s="259" t="s">
        <v>339</v>
      </c>
      <c r="AJ133" s="260"/>
      <c r="AK133" s="261"/>
      <c r="AL133" s="11"/>
      <c r="AM133" s="9"/>
      <c r="AN133" s="12"/>
      <c r="AO133" s="11"/>
      <c r="AP133" s="12"/>
      <c r="AQ133" s="312">
        <v>4.5999999999999999E-2</v>
      </c>
      <c r="AR133" s="265">
        <v>4.4999999999999998E-2</v>
      </c>
      <c r="AS133" s="265">
        <v>4.9000000000000002E-2</v>
      </c>
    </row>
    <row r="134" spans="2:45" ht="9.9499999999999993" customHeight="1" x14ac:dyDescent="0.15">
      <c r="B134" s="288" t="s">
        <v>429</v>
      </c>
      <c r="C134" s="260"/>
      <c r="D134" s="260"/>
      <c r="E134" s="260"/>
      <c r="F134" s="260"/>
      <c r="G134" s="260"/>
      <c r="H134" s="260"/>
      <c r="I134" s="260"/>
      <c r="J134" s="260"/>
      <c r="K134" s="260"/>
      <c r="L134" s="260"/>
      <c r="M134" s="260"/>
      <c r="N134" s="260"/>
      <c r="O134" s="260"/>
      <c r="P134" s="260"/>
      <c r="Q134" s="260"/>
      <c r="R134" s="260"/>
      <c r="S134" s="260"/>
      <c r="T134" s="260"/>
      <c r="U134" s="260"/>
      <c r="V134" s="260"/>
      <c r="W134" s="260"/>
      <c r="X134" s="260"/>
      <c r="Y134" s="260"/>
      <c r="Z134" s="260"/>
      <c r="AA134" s="260"/>
    </row>
    <row r="135" spans="2:45" ht="9.9499999999999993" customHeight="1" x14ac:dyDescent="0.15">
      <c r="B135" s="16"/>
      <c r="C135" s="3" t="s">
        <v>271</v>
      </c>
      <c r="D135" s="3" t="s">
        <v>85</v>
      </c>
      <c r="E135" s="3" t="s">
        <v>337</v>
      </c>
      <c r="F135" s="263">
        <v>43238</v>
      </c>
      <c r="G135" s="263">
        <v>43669</v>
      </c>
      <c r="H135" s="263">
        <v>43670</v>
      </c>
      <c r="I135" s="263">
        <v>43671</v>
      </c>
      <c r="J135" s="263">
        <v>43672</v>
      </c>
      <c r="K135" s="263">
        <v>43673</v>
      </c>
      <c r="L135" s="263">
        <v>43674</v>
      </c>
      <c r="M135" s="263">
        <v>43311</v>
      </c>
      <c r="N135" s="263">
        <v>43312</v>
      </c>
      <c r="O135" s="263">
        <v>43313</v>
      </c>
      <c r="P135" s="263">
        <v>43314</v>
      </c>
      <c r="Q135" s="263">
        <v>43315</v>
      </c>
      <c r="R135" s="263">
        <v>43318</v>
      </c>
      <c r="S135" s="263">
        <v>43319</v>
      </c>
      <c r="T135" s="263">
        <v>43320</v>
      </c>
      <c r="U135" s="263">
        <v>43321</v>
      </c>
      <c r="V135" s="263">
        <v>43322</v>
      </c>
      <c r="W135" s="263">
        <v>43325</v>
      </c>
      <c r="X135" s="263">
        <v>43326</v>
      </c>
      <c r="Y135" s="263">
        <v>43327</v>
      </c>
      <c r="Z135" s="263">
        <v>43328</v>
      </c>
      <c r="AA135" s="263">
        <v>43329</v>
      </c>
      <c r="AH135" s="336" t="s">
        <v>485</v>
      </c>
      <c r="AI135" s="274"/>
      <c r="AJ135" s="274"/>
      <c r="AK135" s="274"/>
      <c r="AL135" s="274"/>
      <c r="AM135" s="337"/>
    </row>
    <row r="136" spans="2:45" ht="9.9499999999999993" customHeight="1" x14ac:dyDescent="0.15">
      <c r="B136" s="7"/>
      <c r="C136" s="7"/>
      <c r="D136" s="7"/>
      <c r="E136" s="7"/>
      <c r="F136" s="264">
        <v>43238</v>
      </c>
      <c r="G136" s="264" t="s">
        <v>276</v>
      </c>
      <c r="H136" s="264" t="s">
        <v>277</v>
      </c>
      <c r="I136" s="264" t="s">
        <v>278</v>
      </c>
      <c r="J136" s="264" t="s">
        <v>279</v>
      </c>
      <c r="K136" s="264" t="s">
        <v>280</v>
      </c>
      <c r="L136" s="264" t="s">
        <v>281</v>
      </c>
      <c r="M136" s="264" t="s">
        <v>276</v>
      </c>
      <c r="N136" s="264" t="s">
        <v>277</v>
      </c>
      <c r="O136" s="264" t="s">
        <v>278</v>
      </c>
      <c r="P136" s="264" t="s">
        <v>279</v>
      </c>
      <c r="Q136" s="264" t="s">
        <v>280</v>
      </c>
      <c r="R136" s="264" t="s">
        <v>276</v>
      </c>
      <c r="S136" s="264" t="s">
        <v>277</v>
      </c>
      <c r="T136" s="264" t="s">
        <v>278</v>
      </c>
      <c r="U136" s="264" t="s">
        <v>279</v>
      </c>
      <c r="V136" s="264" t="s">
        <v>280</v>
      </c>
      <c r="W136" s="264" t="s">
        <v>276</v>
      </c>
      <c r="X136" s="264" t="s">
        <v>277</v>
      </c>
      <c r="Y136" s="264" t="s">
        <v>278</v>
      </c>
      <c r="Z136" s="264" t="s">
        <v>279</v>
      </c>
      <c r="AA136" s="264" t="s">
        <v>280</v>
      </c>
      <c r="AH136" s="291"/>
      <c r="AI136" s="318"/>
      <c r="AJ136" s="318"/>
      <c r="AK136" s="319"/>
      <c r="AL136" s="259" t="s">
        <v>271</v>
      </c>
      <c r="AM136" s="318"/>
      <c r="AN136" s="319"/>
      <c r="AO136" s="2" t="s">
        <v>272</v>
      </c>
      <c r="AP136" s="2" t="s">
        <v>273</v>
      </c>
      <c r="AQ136" s="2" t="s">
        <v>274</v>
      </c>
      <c r="AR136" s="2" t="s">
        <v>430</v>
      </c>
    </row>
    <row r="137" spans="2:45" ht="9.9499999999999993" customHeight="1" x14ac:dyDescent="0.15">
      <c r="B137" s="590" t="s">
        <v>269</v>
      </c>
      <c r="C137" s="290">
        <v>0.23</v>
      </c>
      <c r="D137" s="590" t="s">
        <v>486</v>
      </c>
      <c r="E137" s="2" t="s">
        <v>433</v>
      </c>
      <c r="F137" s="265">
        <v>4.2000000000000003E-2</v>
      </c>
      <c r="G137" s="265">
        <v>4.8000000000000001E-2</v>
      </c>
      <c r="H137" s="265">
        <v>0.06</v>
      </c>
      <c r="I137" s="265">
        <v>4.8000000000000001E-2</v>
      </c>
      <c r="J137" s="265">
        <v>5.3999999999999999E-2</v>
      </c>
      <c r="K137" s="265">
        <v>4.8000000000000001E-2</v>
      </c>
      <c r="L137" s="265">
        <v>5.3999999999999999E-2</v>
      </c>
      <c r="M137" s="265">
        <v>4.8000000000000001E-2</v>
      </c>
      <c r="N137" s="265">
        <v>5.3999999999999999E-2</v>
      </c>
      <c r="O137" s="265">
        <v>4.8000000000000001E-2</v>
      </c>
      <c r="P137" s="265">
        <v>4.8000000000000001E-2</v>
      </c>
      <c r="Q137" s="265">
        <v>4.8000000000000001E-2</v>
      </c>
      <c r="R137" s="265">
        <v>5.3999999999999999E-2</v>
      </c>
      <c r="S137" s="265">
        <v>5.3999999999999999E-2</v>
      </c>
      <c r="T137" s="265">
        <v>0.06</v>
      </c>
      <c r="U137" s="265">
        <v>0.06</v>
      </c>
      <c r="V137" s="265">
        <v>4.2000000000000003E-2</v>
      </c>
      <c r="W137" s="265">
        <v>0.06</v>
      </c>
      <c r="X137" s="265">
        <v>4.8000000000000001E-2</v>
      </c>
      <c r="Y137" s="265">
        <v>4.2000000000000003E-2</v>
      </c>
      <c r="Z137" s="265">
        <v>4.8000000000000001E-2</v>
      </c>
      <c r="AA137" s="265">
        <v>4.9000000000000002E-2</v>
      </c>
      <c r="AH137" s="259" t="s">
        <v>347</v>
      </c>
      <c r="AI137" s="318"/>
      <c r="AJ137" s="318"/>
      <c r="AK137" s="319"/>
      <c r="AL137" s="580" t="s">
        <v>348</v>
      </c>
      <c r="AM137" s="581"/>
      <c r="AN137" s="582"/>
      <c r="AO137" s="320">
        <v>43673</v>
      </c>
      <c r="AP137" s="2" t="s">
        <v>110</v>
      </c>
      <c r="AQ137" s="2" t="s">
        <v>110</v>
      </c>
      <c r="AR137" s="2" t="s">
        <v>110</v>
      </c>
    </row>
    <row r="138" spans="2:45" ht="9.9499999999999993" customHeight="1" x14ac:dyDescent="0.15">
      <c r="B138" s="591"/>
      <c r="C138" s="292"/>
      <c r="D138" s="591"/>
      <c r="E138" s="2" t="s">
        <v>487</v>
      </c>
      <c r="F138" s="265">
        <v>3.6999999999999998E-2</v>
      </c>
      <c r="G138" s="265">
        <v>4.2999999999999997E-2</v>
      </c>
      <c r="H138" s="265">
        <v>4.1000000000000002E-2</v>
      </c>
      <c r="I138" s="265">
        <v>3.9E-2</v>
      </c>
      <c r="J138" s="265">
        <v>4.1000000000000002E-2</v>
      </c>
      <c r="K138" s="265">
        <v>4.2000000000000003E-2</v>
      </c>
      <c r="L138" s="317"/>
      <c r="M138" s="265">
        <v>4.4999999999999998E-2</v>
      </c>
      <c r="N138" s="265">
        <v>3.9E-2</v>
      </c>
      <c r="O138" s="265">
        <v>4.2999999999999997E-2</v>
      </c>
      <c r="P138" s="265">
        <v>4.4999999999999998E-2</v>
      </c>
      <c r="Q138" s="265">
        <v>3.5999999999999997E-2</v>
      </c>
      <c r="R138" s="265">
        <v>4.2999999999999997E-2</v>
      </c>
      <c r="S138" s="265">
        <v>3.7999999999999999E-2</v>
      </c>
      <c r="T138" s="265">
        <v>3.4000000000000002E-2</v>
      </c>
      <c r="U138" s="265">
        <v>4.8000000000000001E-2</v>
      </c>
      <c r="V138" s="265">
        <v>4.2999999999999997E-2</v>
      </c>
      <c r="W138" s="265">
        <v>3.6999999999999998E-2</v>
      </c>
      <c r="X138" s="265">
        <v>4.2000000000000003E-2</v>
      </c>
      <c r="Y138" s="265">
        <v>3.9E-2</v>
      </c>
      <c r="Z138" s="265">
        <v>4.4999999999999998E-2</v>
      </c>
      <c r="AA138" s="265">
        <v>0.04</v>
      </c>
      <c r="AH138" s="259" t="s">
        <v>351</v>
      </c>
      <c r="AI138" s="318"/>
      <c r="AJ138" s="318"/>
      <c r="AK138" s="319"/>
      <c r="AL138" s="583"/>
      <c r="AM138" s="584"/>
      <c r="AN138" s="585"/>
      <c r="AO138" s="320">
        <v>43673</v>
      </c>
      <c r="AP138" s="2" t="s">
        <v>110</v>
      </c>
      <c r="AQ138" s="2" t="s">
        <v>110</v>
      </c>
      <c r="AR138" s="2" t="s">
        <v>110</v>
      </c>
    </row>
    <row r="139" spans="2:45" ht="9.9499999999999993" customHeight="1" x14ac:dyDescent="0.15">
      <c r="B139" s="591"/>
      <c r="C139" s="292"/>
      <c r="D139" s="591"/>
      <c r="E139" s="2" t="s">
        <v>488</v>
      </c>
      <c r="F139" s="265">
        <v>3.5999999999999997E-2</v>
      </c>
      <c r="G139" s="265">
        <v>3.6999999999999998E-2</v>
      </c>
      <c r="H139" s="265">
        <v>3.5000000000000003E-2</v>
      </c>
      <c r="I139" s="265">
        <v>0.04</v>
      </c>
      <c r="J139" s="265">
        <v>3.7999999999999999E-2</v>
      </c>
      <c r="K139" s="265">
        <v>3.6999999999999998E-2</v>
      </c>
      <c r="L139" s="317"/>
      <c r="M139" s="265">
        <v>3.4000000000000002E-2</v>
      </c>
      <c r="N139" s="265">
        <v>4.1000000000000002E-2</v>
      </c>
      <c r="O139" s="265">
        <v>3.7999999999999999E-2</v>
      </c>
      <c r="P139" s="265">
        <v>4.3999999999999997E-2</v>
      </c>
      <c r="Q139" s="265">
        <v>3.5999999999999997E-2</v>
      </c>
      <c r="R139" s="265">
        <v>3.5999999999999997E-2</v>
      </c>
      <c r="S139" s="265">
        <v>4.1000000000000002E-2</v>
      </c>
      <c r="T139" s="265">
        <v>3.6999999999999998E-2</v>
      </c>
      <c r="U139" s="265">
        <v>4.5999999999999999E-2</v>
      </c>
      <c r="V139" s="265">
        <v>3.2000000000000001E-2</v>
      </c>
      <c r="W139" s="265">
        <v>3.7999999999999999E-2</v>
      </c>
      <c r="X139" s="265">
        <v>3.6999999999999998E-2</v>
      </c>
      <c r="Y139" s="265">
        <v>4.2999999999999997E-2</v>
      </c>
      <c r="Z139" s="265">
        <v>3.7999999999999999E-2</v>
      </c>
      <c r="AA139" s="265">
        <v>3.5000000000000003E-2</v>
      </c>
      <c r="AH139" s="259" t="s">
        <v>353</v>
      </c>
      <c r="AI139" s="318"/>
      <c r="AJ139" s="318"/>
      <c r="AK139" s="319"/>
      <c r="AL139" s="583"/>
      <c r="AM139" s="584"/>
      <c r="AN139" s="585"/>
      <c r="AO139" s="343" t="s">
        <v>489</v>
      </c>
      <c r="AP139" s="22">
        <v>0.9</v>
      </c>
      <c r="AQ139" s="2" t="s">
        <v>110</v>
      </c>
      <c r="AR139" s="2" t="s">
        <v>434</v>
      </c>
    </row>
    <row r="140" spans="2:45" ht="9.9499999999999993" customHeight="1" x14ac:dyDescent="0.15">
      <c r="B140" s="5"/>
      <c r="C140" s="292"/>
      <c r="D140" s="601"/>
      <c r="E140" s="2" t="s">
        <v>346</v>
      </c>
      <c r="F140" s="265">
        <v>4.2000000000000003E-2</v>
      </c>
      <c r="G140" s="265">
        <v>4.7E-2</v>
      </c>
      <c r="H140" s="265">
        <v>4.1000000000000002E-2</v>
      </c>
      <c r="I140" s="265">
        <v>4.1000000000000002E-2</v>
      </c>
      <c r="J140" s="265">
        <v>0.04</v>
      </c>
      <c r="K140" s="265">
        <v>3.5000000000000003E-2</v>
      </c>
      <c r="L140" s="317"/>
      <c r="M140" s="265">
        <v>3.5999999999999997E-2</v>
      </c>
      <c r="N140" s="265">
        <v>3.7999999999999999E-2</v>
      </c>
      <c r="O140" s="265">
        <v>0.04</v>
      </c>
      <c r="P140" s="265">
        <v>4.7E-2</v>
      </c>
      <c r="Q140" s="265">
        <v>3.9E-2</v>
      </c>
      <c r="R140" s="265">
        <v>3.6999999999999998E-2</v>
      </c>
      <c r="S140" s="265">
        <v>3.5000000000000003E-2</v>
      </c>
      <c r="T140" s="265">
        <v>2.9000000000000001E-2</v>
      </c>
      <c r="U140" s="265">
        <v>4.2000000000000003E-2</v>
      </c>
      <c r="V140" s="265">
        <v>4.2000000000000003E-2</v>
      </c>
      <c r="W140" s="265">
        <v>3.7999999999999999E-2</v>
      </c>
      <c r="X140" s="265">
        <v>4.1000000000000002E-2</v>
      </c>
      <c r="Y140" s="265">
        <v>3.2000000000000001E-2</v>
      </c>
      <c r="Z140" s="265">
        <v>4.4999999999999998E-2</v>
      </c>
      <c r="AA140" s="265">
        <v>3.5000000000000003E-2</v>
      </c>
      <c r="AH140" s="259" t="s">
        <v>357</v>
      </c>
      <c r="AI140" s="318"/>
      <c r="AJ140" s="318"/>
      <c r="AK140" s="319"/>
      <c r="AL140" s="11" t="s">
        <v>288</v>
      </c>
      <c r="AM140" s="322"/>
      <c r="AN140" s="323"/>
      <c r="AO140" s="320">
        <v>43673</v>
      </c>
      <c r="AP140" s="2" t="s">
        <v>110</v>
      </c>
      <c r="AQ140" s="2" t="s">
        <v>110</v>
      </c>
      <c r="AR140" s="2" t="s">
        <v>110</v>
      </c>
    </row>
    <row r="141" spans="2:45" ht="9.9499999999999993" customHeight="1" x14ac:dyDescent="0.15">
      <c r="B141" s="5"/>
      <c r="C141" s="292"/>
      <c r="D141" s="3" t="s">
        <v>349</v>
      </c>
      <c r="E141" s="2" t="s">
        <v>350</v>
      </c>
      <c r="F141" s="265">
        <v>4.2000000000000003E-2</v>
      </c>
      <c r="G141" s="265">
        <v>5.0999999999999997E-2</v>
      </c>
      <c r="H141" s="265">
        <v>4.2000000000000003E-2</v>
      </c>
      <c r="I141" s="265">
        <v>4.3999999999999997E-2</v>
      </c>
      <c r="J141" s="265">
        <v>4.4999999999999998E-2</v>
      </c>
      <c r="K141" s="265">
        <v>4.8000000000000001E-2</v>
      </c>
      <c r="L141" s="317"/>
      <c r="M141" s="265">
        <v>3.9E-2</v>
      </c>
      <c r="N141" s="265">
        <v>3.9E-2</v>
      </c>
      <c r="O141" s="265">
        <v>4.1000000000000002E-2</v>
      </c>
      <c r="P141" s="265">
        <v>4.2000000000000003E-2</v>
      </c>
      <c r="Q141" s="265">
        <v>0.04</v>
      </c>
      <c r="R141" s="265">
        <v>3.3000000000000002E-2</v>
      </c>
      <c r="S141" s="265">
        <v>3.7999999999999999E-2</v>
      </c>
      <c r="T141" s="265">
        <v>4.2000000000000003E-2</v>
      </c>
      <c r="U141" s="265">
        <v>4.8000000000000001E-2</v>
      </c>
      <c r="V141" s="265">
        <v>4.2999999999999997E-2</v>
      </c>
      <c r="W141" s="265">
        <v>3.9E-2</v>
      </c>
      <c r="X141" s="265">
        <v>4.3999999999999997E-2</v>
      </c>
      <c r="Y141" s="265">
        <v>4.2000000000000003E-2</v>
      </c>
      <c r="Z141" s="265">
        <v>4.4999999999999998E-2</v>
      </c>
      <c r="AA141" s="265">
        <v>4.1000000000000002E-2</v>
      </c>
      <c r="AH141" s="344" t="s">
        <v>360</v>
      </c>
      <c r="AI141" s="324"/>
      <c r="AJ141" s="324"/>
      <c r="AK141" s="324"/>
      <c r="AL141" s="324"/>
      <c r="AM141" s="325"/>
    </row>
    <row r="142" spans="2:45" ht="9.9499999999999993" customHeight="1" x14ac:dyDescent="0.15">
      <c r="B142" s="7"/>
      <c r="C142" s="301"/>
      <c r="D142" s="7"/>
      <c r="E142" s="299" t="s">
        <v>490</v>
      </c>
      <c r="F142" s="265">
        <v>4.4999999999999998E-2</v>
      </c>
      <c r="G142" s="265">
        <v>4.4999999999999998E-2</v>
      </c>
      <c r="H142" s="265">
        <v>4.5999999999999999E-2</v>
      </c>
      <c r="I142" s="265">
        <v>4.7E-2</v>
      </c>
      <c r="J142" s="265">
        <v>4.9000000000000002E-2</v>
      </c>
      <c r="K142" s="265">
        <v>4.2000000000000003E-2</v>
      </c>
      <c r="L142" s="317"/>
      <c r="M142" s="265">
        <v>4.4999999999999998E-2</v>
      </c>
      <c r="N142" s="265">
        <v>4.3999999999999997E-2</v>
      </c>
      <c r="O142" s="265">
        <v>4.2000000000000003E-2</v>
      </c>
      <c r="P142" s="265">
        <v>4.4999999999999998E-2</v>
      </c>
      <c r="Q142" s="265">
        <v>4.4999999999999998E-2</v>
      </c>
      <c r="R142" s="265">
        <v>4.2999999999999997E-2</v>
      </c>
      <c r="S142" s="265">
        <v>3.7999999999999999E-2</v>
      </c>
      <c r="T142" s="265">
        <v>3.9E-2</v>
      </c>
      <c r="U142" s="265">
        <v>4.7E-2</v>
      </c>
      <c r="V142" s="265">
        <v>4.2000000000000003E-2</v>
      </c>
      <c r="W142" s="265">
        <v>4.1000000000000002E-2</v>
      </c>
      <c r="X142" s="265">
        <v>4.2999999999999997E-2</v>
      </c>
      <c r="Y142" s="265">
        <v>4.7E-2</v>
      </c>
      <c r="Z142" s="265">
        <v>4.7E-2</v>
      </c>
      <c r="AA142" s="265">
        <v>3.9E-2</v>
      </c>
      <c r="AH142" s="93" t="s">
        <v>366</v>
      </c>
    </row>
    <row r="143" spans="2:45" ht="9.9499999999999993" customHeight="1" x14ac:dyDescent="0.15">
      <c r="B143" s="288" t="s">
        <v>356</v>
      </c>
      <c r="C143" s="260"/>
      <c r="D143" s="260"/>
      <c r="E143" s="260"/>
      <c r="F143" s="260"/>
      <c r="G143" s="260"/>
      <c r="H143" s="260"/>
      <c r="I143" s="260"/>
      <c r="J143" s="260"/>
      <c r="K143" s="260"/>
      <c r="L143" s="260"/>
      <c r="M143" s="260"/>
      <c r="N143" s="260"/>
      <c r="O143" s="260"/>
      <c r="P143" s="260"/>
      <c r="Q143" s="260"/>
      <c r="R143" s="260"/>
      <c r="S143" s="260"/>
      <c r="T143" s="260"/>
      <c r="U143" s="260"/>
      <c r="V143" s="260"/>
      <c r="W143" s="260"/>
      <c r="X143" s="260"/>
      <c r="Y143" s="260"/>
      <c r="Z143" s="260"/>
      <c r="AA143" s="260"/>
      <c r="AH143" s="93" t="s">
        <v>491</v>
      </c>
    </row>
    <row r="144" spans="2:45" ht="9.9499999999999993" customHeight="1" x14ac:dyDescent="0.15">
      <c r="B144" s="16"/>
      <c r="C144" s="3" t="s">
        <v>271</v>
      </c>
      <c r="D144" s="607" t="s">
        <v>492</v>
      </c>
      <c r="E144" s="3" t="s">
        <v>359</v>
      </c>
      <c r="F144" s="263">
        <v>43238</v>
      </c>
      <c r="G144" s="263">
        <v>43669</v>
      </c>
      <c r="H144" s="263">
        <v>43670</v>
      </c>
      <c r="I144" s="263">
        <v>43671</v>
      </c>
      <c r="J144" s="263">
        <v>43672</v>
      </c>
      <c r="K144" s="263">
        <v>43673</v>
      </c>
      <c r="L144" s="263">
        <v>43674</v>
      </c>
      <c r="M144" s="263">
        <v>43311</v>
      </c>
      <c r="N144" s="263">
        <v>43312</v>
      </c>
      <c r="O144" s="263">
        <v>43313</v>
      </c>
      <c r="P144" s="263">
        <v>43314</v>
      </c>
      <c r="Q144" s="263">
        <v>43315</v>
      </c>
      <c r="R144" s="263">
        <v>43318</v>
      </c>
      <c r="S144" s="263">
        <v>43319</v>
      </c>
      <c r="T144" s="263">
        <v>43320</v>
      </c>
      <c r="U144" s="263">
        <v>43321</v>
      </c>
      <c r="V144" s="263">
        <v>43322</v>
      </c>
      <c r="W144" s="263">
        <v>43325</v>
      </c>
      <c r="X144" s="263">
        <v>43326</v>
      </c>
      <c r="Y144" s="263">
        <v>43327</v>
      </c>
      <c r="Z144" s="263">
        <v>43328</v>
      </c>
      <c r="AA144" s="263">
        <v>43329</v>
      </c>
      <c r="AH144" s="93" t="s">
        <v>361</v>
      </c>
    </row>
    <row r="145" spans="1:50" ht="9.9499999999999993" customHeight="1" x14ac:dyDescent="0.15">
      <c r="B145" s="7"/>
      <c r="C145" s="7"/>
      <c r="D145" s="608"/>
      <c r="E145" s="7"/>
      <c r="F145" s="264">
        <v>43238</v>
      </c>
      <c r="G145" s="264" t="s">
        <v>276</v>
      </c>
      <c r="H145" s="264" t="s">
        <v>277</v>
      </c>
      <c r="I145" s="264" t="s">
        <v>278</v>
      </c>
      <c r="J145" s="264" t="s">
        <v>279</v>
      </c>
      <c r="K145" s="264" t="s">
        <v>280</v>
      </c>
      <c r="L145" s="264" t="s">
        <v>281</v>
      </c>
      <c r="M145" s="264" t="s">
        <v>276</v>
      </c>
      <c r="N145" s="264" t="s">
        <v>277</v>
      </c>
      <c r="O145" s="264" t="s">
        <v>278</v>
      </c>
      <c r="P145" s="264" t="s">
        <v>279</v>
      </c>
      <c r="Q145" s="264" t="s">
        <v>280</v>
      </c>
      <c r="R145" s="264" t="s">
        <v>276</v>
      </c>
      <c r="S145" s="264" t="s">
        <v>277</v>
      </c>
      <c r="T145" s="264" t="s">
        <v>278</v>
      </c>
      <c r="U145" s="264" t="s">
        <v>279</v>
      </c>
      <c r="V145" s="264" t="s">
        <v>280</v>
      </c>
      <c r="W145" s="264" t="s">
        <v>276</v>
      </c>
      <c r="X145" s="264" t="s">
        <v>277</v>
      </c>
      <c r="Y145" s="264" t="s">
        <v>278</v>
      </c>
      <c r="Z145" s="264" t="s">
        <v>279</v>
      </c>
      <c r="AA145" s="264" t="s">
        <v>280</v>
      </c>
      <c r="AR145" s="1" t="s">
        <v>368</v>
      </c>
    </row>
    <row r="146" spans="1:50" ht="9.9499999999999993" customHeight="1" x14ac:dyDescent="0.15">
      <c r="B146" s="590" t="s">
        <v>269</v>
      </c>
      <c r="C146" s="290">
        <v>0.23</v>
      </c>
      <c r="D146" s="592" t="s">
        <v>465</v>
      </c>
      <c r="E146" s="2" t="s">
        <v>493</v>
      </c>
      <c r="F146" s="265">
        <v>4.2000000000000003E-2</v>
      </c>
      <c r="G146" s="265">
        <v>4.8000000000000001E-2</v>
      </c>
      <c r="H146" s="265">
        <v>5.3999999999999999E-2</v>
      </c>
      <c r="I146" s="265">
        <v>4.8000000000000001E-2</v>
      </c>
      <c r="J146" s="265">
        <v>4.2000000000000003E-2</v>
      </c>
      <c r="K146" s="265">
        <v>3.5999999999999997E-2</v>
      </c>
      <c r="L146" s="265">
        <v>3.5999999999999997E-2</v>
      </c>
      <c r="M146" s="265">
        <v>4.2000000000000003E-2</v>
      </c>
      <c r="N146" s="265">
        <v>4.8000000000000001E-2</v>
      </c>
      <c r="O146" s="265">
        <v>4.8000000000000001E-2</v>
      </c>
      <c r="P146" s="265">
        <v>4.8000000000000001E-2</v>
      </c>
      <c r="Q146" s="265">
        <v>4.2000000000000003E-2</v>
      </c>
      <c r="R146" s="265">
        <v>5.3999999999999999E-2</v>
      </c>
      <c r="S146" s="265">
        <v>6.6000000000000003E-2</v>
      </c>
      <c r="T146" s="265">
        <v>3.5999999999999997E-2</v>
      </c>
      <c r="U146" s="265">
        <v>0.06</v>
      </c>
      <c r="V146" s="265">
        <v>5.3999999999999999E-2</v>
      </c>
      <c r="W146" s="265">
        <v>4.8000000000000001E-2</v>
      </c>
      <c r="X146" s="265">
        <v>5.3999999999999999E-2</v>
      </c>
      <c r="Y146" s="265">
        <v>4.2000000000000003E-2</v>
      </c>
      <c r="Z146" s="265">
        <v>4.2000000000000003E-2</v>
      </c>
      <c r="AA146" s="265">
        <v>4.2000000000000003E-2</v>
      </c>
      <c r="AP146" s="22" t="s">
        <v>494</v>
      </c>
    </row>
    <row r="147" spans="1:50" ht="9.9499999999999993" customHeight="1" x14ac:dyDescent="0.15">
      <c r="B147" s="591"/>
      <c r="C147" s="292"/>
      <c r="D147" s="593"/>
      <c r="E147" s="2" t="s">
        <v>365</v>
      </c>
      <c r="F147" s="265">
        <v>4.7E-2</v>
      </c>
      <c r="G147" s="265">
        <v>3.5999999999999997E-2</v>
      </c>
      <c r="H147" s="265">
        <v>3.1E-2</v>
      </c>
      <c r="I147" s="265">
        <v>3.9E-2</v>
      </c>
      <c r="J147" s="265">
        <v>3.5000000000000003E-2</v>
      </c>
      <c r="K147" s="265">
        <v>3.5000000000000003E-2</v>
      </c>
      <c r="L147" s="265">
        <v>3.5000000000000003E-2</v>
      </c>
      <c r="M147" s="265">
        <v>3.7999999999999999E-2</v>
      </c>
      <c r="N147" s="265">
        <v>3.6999999999999998E-2</v>
      </c>
      <c r="O147" s="265">
        <v>3.9E-2</v>
      </c>
      <c r="P147" s="265">
        <v>3.7999999999999999E-2</v>
      </c>
      <c r="Q147" s="265">
        <v>4.5999999999999999E-2</v>
      </c>
      <c r="R147" s="265">
        <v>3.7999999999999999E-2</v>
      </c>
      <c r="S147" s="265">
        <v>4.2999999999999997E-2</v>
      </c>
      <c r="T147" s="265">
        <v>4.1000000000000002E-2</v>
      </c>
      <c r="U147" s="265">
        <v>4.4999999999999998E-2</v>
      </c>
      <c r="V147" s="265">
        <v>3.3000000000000002E-2</v>
      </c>
      <c r="W147" s="265">
        <v>3.9E-2</v>
      </c>
      <c r="X147" s="265">
        <v>3.5000000000000003E-2</v>
      </c>
      <c r="Y147" s="265">
        <v>3.7999999999999999E-2</v>
      </c>
      <c r="Z147" s="265">
        <v>4.7E-2</v>
      </c>
      <c r="AA147" s="265">
        <v>3.7999999999999999E-2</v>
      </c>
    </row>
    <row r="148" spans="1:50" ht="9.9499999999999993" customHeight="1" x14ac:dyDescent="0.15">
      <c r="B148" s="591"/>
      <c r="C148" s="292"/>
      <c r="D148" s="593"/>
      <c r="E148" s="2" t="s">
        <v>367</v>
      </c>
      <c r="F148" s="265">
        <v>5.5E-2</v>
      </c>
      <c r="G148" s="265">
        <v>5.1999999999999998E-2</v>
      </c>
      <c r="H148" s="265">
        <v>5.2999999999999999E-2</v>
      </c>
      <c r="I148" s="265">
        <v>5.0999999999999997E-2</v>
      </c>
      <c r="J148" s="265">
        <v>4.9000000000000002E-2</v>
      </c>
      <c r="K148" s="265">
        <v>0.05</v>
      </c>
      <c r="L148" s="265">
        <v>5.1999999999999998E-2</v>
      </c>
      <c r="M148" s="265">
        <v>4.9000000000000002E-2</v>
      </c>
      <c r="N148" s="265">
        <v>4.9000000000000002E-2</v>
      </c>
      <c r="O148" s="265">
        <v>4.9000000000000002E-2</v>
      </c>
      <c r="P148" s="265">
        <v>4.8000000000000001E-2</v>
      </c>
      <c r="Q148" s="265">
        <v>4.7E-2</v>
      </c>
      <c r="R148" s="265">
        <v>5.5E-2</v>
      </c>
      <c r="S148" s="265">
        <v>5.7000000000000002E-2</v>
      </c>
      <c r="T148" s="265">
        <v>4.8000000000000001E-2</v>
      </c>
      <c r="U148" s="265">
        <v>6.0999999999999999E-2</v>
      </c>
      <c r="V148" s="265">
        <v>3.7999999999999999E-2</v>
      </c>
      <c r="W148" s="265">
        <v>4.7E-2</v>
      </c>
      <c r="X148" s="265">
        <v>0.05</v>
      </c>
      <c r="Y148" s="265">
        <v>4.9000000000000002E-2</v>
      </c>
      <c r="Z148" s="265">
        <v>5.3999999999999999E-2</v>
      </c>
      <c r="AA148" s="265">
        <v>0.05</v>
      </c>
    </row>
    <row r="149" spans="1:50" ht="9.9499999999999993" customHeight="1" x14ac:dyDescent="0.15">
      <c r="B149" s="5"/>
      <c r="C149" s="292"/>
      <c r="D149" s="593"/>
      <c r="E149" s="2" t="s">
        <v>495</v>
      </c>
      <c r="F149" s="265">
        <v>4.5999999999999999E-2</v>
      </c>
      <c r="G149" s="265">
        <v>4.4999999999999998E-2</v>
      </c>
      <c r="H149" s="265">
        <v>4.3999999999999997E-2</v>
      </c>
      <c r="I149" s="265">
        <v>4.7E-2</v>
      </c>
      <c r="J149" s="265">
        <v>4.8000000000000001E-2</v>
      </c>
      <c r="K149" s="265">
        <v>4.8000000000000001E-2</v>
      </c>
      <c r="L149" s="265">
        <v>4.5999999999999999E-2</v>
      </c>
      <c r="M149" s="265">
        <v>4.7E-2</v>
      </c>
      <c r="N149" s="265">
        <v>4.4999999999999998E-2</v>
      </c>
      <c r="O149" s="265">
        <v>4.2000000000000003E-2</v>
      </c>
      <c r="P149" s="265">
        <v>4.7E-2</v>
      </c>
      <c r="Q149" s="265">
        <v>4.4999999999999998E-2</v>
      </c>
      <c r="R149" s="265">
        <v>4.4999999999999998E-2</v>
      </c>
      <c r="S149" s="265">
        <v>0.05</v>
      </c>
      <c r="T149" s="265">
        <v>4.1000000000000002E-2</v>
      </c>
      <c r="U149" s="265">
        <v>5.2999999999999999E-2</v>
      </c>
      <c r="V149" s="265">
        <v>4.2999999999999997E-2</v>
      </c>
      <c r="W149" s="265">
        <v>4.8000000000000001E-2</v>
      </c>
      <c r="X149" s="265">
        <v>4.2999999999999997E-2</v>
      </c>
      <c r="Y149" s="265">
        <v>4.7E-2</v>
      </c>
      <c r="Z149" s="265">
        <v>4.7E-2</v>
      </c>
      <c r="AA149" s="265">
        <v>0.04</v>
      </c>
    </row>
    <row r="150" spans="1:50" ht="9.9499999999999993" customHeight="1" x14ac:dyDescent="0.15">
      <c r="B150" s="5"/>
      <c r="C150" s="292"/>
      <c r="D150" s="5"/>
      <c r="E150" s="2" t="s">
        <v>297</v>
      </c>
      <c r="F150" s="265">
        <v>5.2999999999999999E-2</v>
      </c>
      <c r="G150" s="265">
        <v>3.7999999999999999E-2</v>
      </c>
      <c r="H150" s="265">
        <v>4.2999999999999997E-2</v>
      </c>
      <c r="I150" s="265">
        <v>4.3999999999999997E-2</v>
      </c>
      <c r="J150" s="265">
        <v>4.2999999999999997E-2</v>
      </c>
      <c r="K150" s="265">
        <v>4.8000000000000001E-2</v>
      </c>
      <c r="L150" s="265">
        <v>4.9000000000000002E-2</v>
      </c>
      <c r="M150" s="265">
        <v>4.3999999999999997E-2</v>
      </c>
      <c r="N150" s="265">
        <v>4.2000000000000003E-2</v>
      </c>
      <c r="O150" s="265">
        <v>4.5999999999999999E-2</v>
      </c>
      <c r="P150" s="265">
        <v>0.05</v>
      </c>
      <c r="Q150" s="265">
        <v>5.0999999999999997E-2</v>
      </c>
      <c r="R150" s="265">
        <v>4.5999999999999999E-2</v>
      </c>
      <c r="S150" s="265">
        <v>4.5999999999999999E-2</v>
      </c>
      <c r="T150" s="265">
        <v>4.5999999999999999E-2</v>
      </c>
      <c r="U150" s="265">
        <v>5.6000000000000001E-2</v>
      </c>
      <c r="V150" s="265">
        <v>0.04</v>
      </c>
      <c r="W150" s="265">
        <v>4.2000000000000003E-2</v>
      </c>
      <c r="X150" s="265">
        <v>4.2000000000000003E-2</v>
      </c>
      <c r="Y150" s="265">
        <v>4.2000000000000003E-2</v>
      </c>
      <c r="Z150" s="265">
        <v>5.8000000000000003E-2</v>
      </c>
      <c r="AA150" s="265">
        <v>4.2999999999999997E-2</v>
      </c>
    </row>
    <row r="151" spans="1:50" ht="9.9499999999999993" customHeight="1" x14ac:dyDescent="0.15">
      <c r="B151" s="5"/>
      <c r="C151" s="292"/>
      <c r="D151" s="5"/>
      <c r="E151" s="2" t="s">
        <v>370</v>
      </c>
      <c r="F151" s="265">
        <v>5.1999999999999998E-2</v>
      </c>
      <c r="G151" s="265">
        <v>5.0999999999999997E-2</v>
      </c>
      <c r="H151" s="265">
        <v>5.7000000000000002E-2</v>
      </c>
      <c r="I151" s="265">
        <v>4.9000000000000002E-2</v>
      </c>
      <c r="J151" s="265">
        <v>5.3999999999999999E-2</v>
      </c>
      <c r="K151" s="265">
        <v>0.05</v>
      </c>
      <c r="L151" s="265">
        <v>0.05</v>
      </c>
      <c r="M151" s="265">
        <v>4.2000000000000003E-2</v>
      </c>
      <c r="N151" s="265">
        <v>4.5999999999999999E-2</v>
      </c>
      <c r="O151" s="265">
        <v>5.5E-2</v>
      </c>
      <c r="P151" s="265">
        <v>5.1999999999999998E-2</v>
      </c>
      <c r="Q151" s="265">
        <v>5.1999999999999998E-2</v>
      </c>
      <c r="R151" s="265">
        <v>5.8000000000000003E-2</v>
      </c>
      <c r="S151" s="265">
        <v>5.8000000000000003E-2</v>
      </c>
      <c r="T151" s="265">
        <v>4.2999999999999997E-2</v>
      </c>
      <c r="U151" s="265">
        <v>6.0999999999999999E-2</v>
      </c>
      <c r="V151" s="265">
        <v>4.1000000000000002E-2</v>
      </c>
      <c r="W151" s="265">
        <v>4.8000000000000001E-2</v>
      </c>
      <c r="X151" s="265">
        <v>5.3999999999999999E-2</v>
      </c>
      <c r="Y151" s="265">
        <v>5.6000000000000001E-2</v>
      </c>
      <c r="Z151" s="265">
        <v>5.5E-2</v>
      </c>
      <c r="AA151" s="265">
        <v>4.7E-2</v>
      </c>
    </row>
    <row r="152" spans="1:50" ht="9.9499999999999993" customHeight="1" x14ac:dyDescent="0.15">
      <c r="B152" s="7"/>
      <c r="C152" s="301"/>
      <c r="D152" s="7"/>
      <c r="E152" s="2" t="s">
        <v>371</v>
      </c>
      <c r="F152" s="265">
        <v>4.8000000000000001E-2</v>
      </c>
      <c r="G152" s="265">
        <v>4.4999999999999998E-2</v>
      </c>
      <c r="H152" s="265">
        <v>4.8000000000000001E-2</v>
      </c>
      <c r="I152" s="265">
        <v>4.3999999999999997E-2</v>
      </c>
      <c r="J152" s="265">
        <v>3.9E-2</v>
      </c>
      <c r="K152" s="265">
        <v>4.4999999999999998E-2</v>
      </c>
      <c r="L152" s="265">
        <v>3.9E-2</v>
      </c>
      <c r="M152" s="265">
        <v>4.2000000000000003E-2</v>
      </c>
      <c r="N152" s="265">
        <v>4.2000000000000003E-2</v>
      </c>
      <c r="O152" s="265">
        <v>4.5999999999999999E-2</v>
      </c>
      <c r="P152" s="265">
        <v>4.4999999999999998E-2</v>
      </c>
      <c r="Q152" s="265">
        <v>4.4999999999999998E-2</v>
      </c>
      <c r="R152" s="265">
        <v>4.2999999999999997E-2</v>
      </c>
      <c r="S152" s="265">
        <v>4.2999999999999997E-2</v>
      </c>
      <c r="T152" s="265">
        <v>3.5999999999999997E-2</v>
      </c>
      <c r="U152" s="265">
        <v>4.9000000000000002E-2</v>
      </c>
      <c r="V152" s="265">
        <v>4.1000000000000002E-2</v>
      </c>
      <c r="W152" s="265">
        <v>3.6999999999999998E-2</v>
      </c>
      <c r="X152" s="265">
        <v>4.4999999999999998E-2</v>
      </c>
      <c r="Y152" s="265">
        <v>4.2000000000000003E-2</v>
      </c>
      <c r="Z152" s="265">
        <v>4.2000000000000003E-2</v>
      </c>
      <c r="AA152" s="265">
        <v>3.6999999999999998E-2</v>
      </c>
    </row>
    <row r="153" spans="1:50" ht="9.9499999999999993" customHeight="1" x14ac:dyDescent="0.15">
      <c r="B153" s="600" t="s">
        <v>372</v>
      </c>
      <c r="C153" s="610" t="s">
        <v>496</v>
      </c>
      <c r="D153" s="592" t="s">
        <v>497</v>
      </c>
      <c r="E153" s="326"/>
      <c r="F153" s="260"/>
      <c r="G153" s="260"/>
      <c r="H153" s="261"/>
      <c r="I153" s="321" t="s">
        <v>498</v>
      </c>
      <c r="J153" s="328">
        <v>43308</v>
      </c>
      <c r="K153" s="328">
        <v>43315</v>
      </c>
      <c r="L153" s="22" t="s">
        <v>345</v>
      </c>
      <c r="M153" s="280"/>
      <c r="N153" s="280"/>
      <c r="O153" s="280"/>
      <c r="P153" s="280"/>
      <c r="Q153" s="280"/>
      <c r="R153" s="280"/>
      <c r="S153" s="280"/>
      <c r="T153" s="280"/>
      <c r="U153" s="280"/>
      <c r="V153" s="280"/>
      <c r="W153" s="280"/>
      <c r="X153" s="280"/>
      <c r="Y153" s="280"/>
      <c r="Z153" s="280"/>
      <c r="AA153" s="280"/>
    </row>
    <row r="154" spans="1:50" ht="9.9499999999999993" customHeight="1" x14ac:dyDescent="0.15">
      <c r="B154" s="609"/>
      <c r="C154" s="611"/>
      <c r="D154" s="593"/>
      <c r="E154" s="329" t="s">
        <v>347</v>
      </c>
      <c r="F154" s="260"/>
      <c r="G154" s="260"/>
      <c r="H154" s="261"/>
      <c r="I154" s="22" t="s">
        <v>110</v>
      </c>
      <c r="J154" s="22" t="s">
        <v>110</v>
      </c>
      <c r="K154" s="22" t="s">
        <v>110</v>
      </c>
      <c r="L154" s="22" t="s">
        <v>110</v>
      </c>
      <c r="N154" s="15" t="s">
        <v>348</v>
      </c>
      <c r="O154" s="15"/>
      <c r="P154" s="15"/>
      <c r="Q154" s="15"/>
      <c r="R154" s="15"/>
      <c r="S154" s="15"/>
      <c r="T154" s="15"/>
      <c r="U154" s="15"/>
      <c r="V154" s="15"/>
      <c r="W154" s="15"/>
      <c r="X154" s="15"/>
      <c r="Y154" s="15"/>
      <c r="Z154" s="15"/>
      <c r="AA154" s="15"/>
    </row>
    <row r="155" spans="1:50" ht="9.9499999999999993" customHeight="1" x14ac:dyDescent="0.15">
      <c r="B155" s="609"/>
      <c r="C155" s="611"/>
      <c r="D155" s="593"/>
      <c r="E155" s="329" t="s">
        <v>376</v>
      </c>
      <c r="F155" s="260"/>
      <c r="G155" s="260"/>
      <c r="H155" s="261"/>
      <c r="I155" s="22" t="s">
        <v>110</v>
      </c>
      <c r="J155" s="22" t="s">
        <v>110</v>
      </c>
      <c r="K155" s="22" t="s">
        <v>110</v>
      </c>
      <c r="L155" s="22" t="s">
        <v>110</v>
      </c>
      <c r="N155" s="1" t="s">
        <v>377</v>
      </c>
      <c r="O155" s="15"/>
      <c r="P155" s="15"/>
      <c r="Q155" s="15"/>
      <c r="R155" s="15"/>
      <c r="S155" s="15"/>
      <c r="T155" s="15"/>
      <c r="U155" s="15"/>
      <c r="V155" s="15"/>
      <c r="W155" s="15"/>
      <c r="X155" s="15"/>
      <c r="Y155" s="15"/>
      <c r="Z155" s="15"/>
      <c r="AA155" s="15"/>
    </row>
    <row r="156" spans="1:50" ht="9.9499999999999993" customHeight="1" x14ac:dyDescent="0.15">
      <c r="B156" s="268"/>
      <c r="C156" s="611"/>
      <c r="D156" s="593"/>
      <c r="E156" s="329" t="s">
        <v>353</v>
      </c>
      <c r="F156" s="260"/>
      <c r="G156" s="260"/>
      <c r="H156" s="261"/>
      <c r="I156" s="22" t="s">
        <v>110</v>
      </c>
      <c r="J156" s="22">
        <v>0.9</v>
      </c>
      <c r="K156" s="22" t="s">
        <v>110</v>
      </c>
      <c r="L156" s="22" t="s">
        <v>355</v>
      </c>
      <c r="M156" s="8"/>
      <c r="N156" s="8"/>
      <c r="O156" s="8"/>
      <c r="P156" s="15"/>
      <c r="Q156" s="15"/>
      <c r="R156" s="15"/>
      <c r="S156" s="15"/>
      <c r="T156" s="15"/>
      <c r="U156" s="15"/>
      <c r="V156" s="15"/>
      <c r="W156" s="15"/>
      <c r="X156" s="15"/>
      <c r="Y156" s="15"/>
      <c r="Z156" s="15"/>
      <c r="AA156" s="15"/>
      <c r="AB156" s="15"/>
      <c r="AC156" s="15"/>
      <c r="AD156" s="15"/>
      <c r="AE156" s="15"/>
      <c r="AF156" s="15"/>
    </row>
    <row r="157" spans="1:50" ht="9.9499999999999993" customHeight="1" x14ac:dyDescent="0.15">
      <c r="B157" s="331"/>
      <c r="C157" s="612"/>
      <c r="D157" s="7"/>
      <c r="E157" s="329" t="s">
        <v>357</v>
      </c>
      <c r="F157" s="260"/>
      <c r="G157" s="260"/>
      <c r="H157" s="261"/>
      <c r="I157" s="22" t="s">
        <v>110</v>
      </c>
      <c r="J157" s="22" t="s">
        <v>110</v>
      </c>
      <c r="K157" s="22" t="s">
        <v>110</v>
      </c>
      <c r="L157" s="22" t="s">
        <v>110</v>
      </c>
      <c r="M157" s="8"/>
      <c r="N157" s="8"/>
      <c r="O157" s="8"/>
      <c r="P157" s="285"/>
      <c r="Q157" s="285"/>
      <c r="R157" s="285"/>
      <c r="S157" s="15"/>
      <c r="T157" s="15"/>
      <c r="U157" s="15"/>
      <c r="V157" s="15"/>
      <c r="W157" s="15"/>
      <c r="X157" s="15"/>
      <c r="Y157" s="15"/>
      <c r="Z157" s="15"/>
      <c r="AA157" s="15"/>
      <c r="AB157" s="15"/>
      <c r="AC157" s="15"/>
      <c r="AD157" s="15"/>
      <c r="AE157" s="15"/>
      <c r="AF157" s="15"/>
    </row>
    <row r="158" spans="1:50" ht="9.9499999999999993" customHeight="1" x14ac:dyDescent="0.15">
      <c r="B158" s="7"/>
      <c r="C158" s="345"/>
      <c r="D158" s="7"/>
      <c r="E158" s="259"/>
    </row>
    <row r="159" spans="1:50" ht="9.9499999999999993" customHeight="1" x14ac:dyDescent="0.15">
      <c r="A159" s="257"/>
      <c r="B159" s="258" t="s">
        <v>499</v>
      </c>
      <c r="C159" s="258"/>
      <c r="D159" s="258"/>
      <c r="E159" s="258"/>
      <c r="F159" s="258"/>
      <c r="G159" s="258"/>
      <c r="H159" s="258"/>
      <c r="I159" s="258"/>
      <c r="J159" s="258"/>
      <c r="K159" s="258"/>
      <c r="L159" s="258"/>
      <c r="M159" s="258"/>
      <c r="N159" s="258" t="s">
        <v>450</v>
      </c>
      <c r="O159" s="258"/>
      <c r="P159" s="258"/>
      <c r="Q159" s="258"/>
      <c r="R159" s="258"/>
      <c r="S159" s="258"/>
      <c r="T159" s="258"/>
      <c r="U159" s="258"/>
      <c r="V159" s="258"/>
      <c r="W159" s="8"/>
      <c r="X159" s="8"/>
      <c r="Y159" s="8"/>
      <c r="Z159" s="8"/>
      <c r="AA159" s="8"/>
    </row>
    <row r="160" spans="1:50" ht="9.9499999999999993" customHeight="1" x14ac:dyDescent="0.15">
      <c r="A160" s="257"/>
      <c r="B160" s="273" t="s">
        <v>451</v>
      </c>
      <c r="C160" s="8"/>
      <c r="D160" s="8"/>
      <c r="E160" s="8"/>
      <c r="F160" s="8"/>
      <c r="G160" s="9"/>
      <c r="H160" s="9"/>
      <c r="I160" s="9"/>
      <c r="J160" s="9"/>
      <c r="K160" s="9"/>
      <c r="L160" s="8"/>
      <c r="M160" s="8" t="s">
        <v>452</v>
      </c>
      <c r="N160" s="8"/>
      <c r="O160" s="8"/>
      <c r="P160" s="8"/>
      <c r="Q160" s="8"/>
      <c r="R160" s="8"/>
      <c r="S160" s="8"/>
      <c r="T160" s="8"/>
      <c r="U160" s="8"/>
      <c r="V160" s="8"/>
      <c r="W160" s="8"/>
      <c r="X160" s="8"/>
      <c r="Y160" s="8"/>
      <c r="Z160" s="8"/>
      <c r="AA160" s="8"/>
      <c r="AB160" s="8"/>
      <c r="AC160" s="8"/>
      <c r="AD160" s="8"/>
      <c r="AE160" s="8"/>
      <c r="AF160" s="257"/>
      <c r="AH160" s="273"/>
      <c r="AI160" s="8"/>
      <c r="AJ160" s="8"/>
      <c r="AK160" s="8"/>
      <c r="AL160" s="8"/>
      <c r="AM160" s="8"/>
      <c r="AN160" s="8"/>
      <c r="AO160" s="8"/>
      <c r="AP160" s="8"/>
      <c r="AQ160" s="8"/>
      <c r="AR160" s="8"/>
      <c r="AS160" s="8"/>
      <c r="AT160" s="8"/>
      <c r="AU160" s="257"/>
      <c r="AV160" s="257"/>
      <c r="AW160" s="257"/>
      <c r="AX160" s="257"/>
    </row>
    <row r="161" spans="2:46" ht="9.9499999999999993" customHeight="1" x14ac:dyDescent="0.15">
      <c r="B161" s="3" t="s">
        <v>453</v>
      </c>
      <c r="C161" s="3" t="s">
        <v>232</v>
      </c>
      <c r="D161" s="3" t="s">
        <v>233</v>
      </c>
      <c r="E161" s="3" t="s">
        <v>234</v>
      </c>
      <c r="F161" s="3" t="s">
        <v>235</v>
      </c>
      <c r="G161" s="259" t="s">
        <v>236</v>
      </c>
      <c r="H161" s="260"/>
      <c r="I161" s="260"/>
      <c r="J161" s="260"/>
      <c r="K161" s="261"/>
      <c r="L161" s="262"/>
      <c r="M161" s="3" t="s">
        <v>237</v>
      </c>
      <c r="N161" s="346">
        <v>43332</v>
      </c>
      <c r="O161" s="346">
        <v>43333</v>
      </c>
      <c r="P161" s="346">
        <v>43334</v>
      </c>
      <c r="Q161" s="346">
        <v>43335</v>
      </c>
      <c r="R161" s="346">
        <v>43336</v>
      </c>
      <c r="AH161" s="273" t="s">
        <v>500</v>
      </c>
      <c r="AI161" s="8"/>
      <c r="AJ161" s="8"/>
      <c r="AK161" s="8"/>
      <c r="AL161" s="8"/>
      <c r="AM161" s="8"/>
      <c r="AN161" s="8"/>
      <c r="AO161" s="8"/>
      <c r="AP161" s="8"/>
      <c r="AQ161" s="8"/>
      <c r="AR161" s="8"/>
      <c r="AS161" s="8"/>
      <c r="AT161" s="8"/>
    </row>
    <row r="162" spans="2:46" ht="9.9499999999999993" customHeight="1" x14ac:dyDescent="0.15">
      <c r="B162" s="5"/>
      <c r="C162" s="5"/>
      <c r="D162" s="5"/>
      <c r="E162" s="5"/>
      <c r="F162" s="5"/>
      <c r="G162" s="346">
        <v>43332</v>
      </c>
      <c r="H162" s="346">
        <v>43333</v>
      </c>
      <c r="I162" s="346">
        <v>43334</v>
      </c>
      <c r="J162" s="346">
        <v>43335</v>
      </c>
      <c r="K162" s="346">
        <v>43336</v>
      </c>
      <c r="L162" s="5"/>
      <c r="M162" s="7"/>
      <c r="N162" s="293" t="s">
        <v>276</v>
      </c>
      <c r="O162" s="293" t="s">
        <v>277</v>
      </c>
      <c r="P162" s="293" t="s">
        <v>278</v>
      </c>
      <c r="Q162" s="293" t="s">
        <v>279</v>
      </c>
      <c r="R162" s="293" t="s">
        <v>280</v>
      </c>
      <c r="AH162" s="257" t="s">
        <v>501</v>
      </c>
      <c r="AI162" s="257"/>
      <c r="AJ162" s="257"/>
      <c r="AK162" s="257"/>
      <c r="AL162" s="257"/>
      <c r="AM162" s="257"/>
      <c r="AN162" s="257"/>
      <c r="AO162" s="257"/>
      <c r="AP162" s="257"/>
      <c r="AQ162" s="257"/>
      <c r="AR162" s="257"/>
      <c r="AS162" s="257"/>
      <c r="AT162" s="257"/>
    </row>
    <row r="163" spans="2:46" ht="9.9499999999999993" customHeight="1" x14ac:dyDescent="0.15">
      <c r="B163" s="7"/>
      <c r="C163" s="7"/>
      <c r="D163" s="7"/>
      <c r="E163" s="7"/>
      <c r="F163" s="5"/>
      <c r="G163" s="293" t="s">
        <v>276</v>
      </c>
      <c r="H163" s="293" t="s">
        <v>277</v>
      </c>
      <c r="I163" s="293" t="s">
        <v>278</v>
      </c>
      <c r="J163" s="293" t="s">
        <v>279</v>
      </c>
      <c r="K163" s="293" t="s">
        <v>280</v>
      </c>
      <c r="L163" s="5"/>
      <c r="M163" s="2" t="s">
        <v>238</v>
      </c>
      <c r="N163" s="265">
        <v>4.4999999999999998E-2</v>
      </c>
      <c r="O163" s="265">
        <v>4.8000000000000001E-2</v>
      </c>
      <c r="P163" s="265">
        <v>4.9000000000000002E-2</v>
      </c>
      <c r="Q163" s="317"/>
      <c r="R163" s="317"/>
      <c r="AH163" s="257" t="s">
        <v>502</v>
      </c>
      <c r="AI163" s="257"/>
      <c r="AJ163" s="257"/>
      <c r="AK163" s="257"/>
      <c r="AL163" s="257"/>
      <c r="AM163" s="257"/>
      <c r="AN163" s="257"/>
      <c r="AO163" s="257"/>
      <c r="AP163" s="257"/>
      <c r="AQ163" s="257"/>
      <c r="AR163" s="257"/>
      <c r="AS163" s="257"/>
      <c r="AT163" s="257"/>
    </row>
    <row r="164" spans="2:46" ht="9.9499999999999993" customHeight="1" x14ac:dyDescent="0.15">
      <c r="B164" s="266" t="s">
        <v>503</v>
      </c>
      <c r="C164" s="266" t="s">
        <v>225</v>
      </c>
      <c r="D164" s="266" t="s">
        <v>240</v>
      </c>
      <c r="E164" s="267" t="s">
        <v>504</v>
      </c>
      <c r="F164" s="268"/>
      <c r="G164" s="269">
        <v>740</v>
      </c>
      <c r="H164" s="269">
        <v>870</v>
      </c>
      <c r="I164" s="269">
        <v>820</v>
      </c>
      <c r="J164" s="16"/>
      <c r="K164" s="16"/>
      <c r="L164" s="5"/>
      <c r="M164" s="2" t="s">
        <v>242</v>
      </c>
      <c r="N164" s="265">
        <v>0.05</v>
      </c>
      <c r="O164" s="265">
        <v>5.0999999999999997E-2</v>
      </c>
      <c r="P164" s="265">
        <v>0.05</v>
      </c>
      <c r="Q164" s="317"/>
      <c r="R164" s="317"/>
    </row>
    <row r="165" spans="2:46" ht="9.9499999999999993" customHeight="1" x14ac:dyDescent="0.15">
      <c r="B165" s="7"/>
      <c r="C165" s="7"/>
      <c r="D165" s="7"/>
      <c r="E165" s="7"/>
      <c r="F165" s="7"/>
      <c r="G165" s="270"/>
      <c r="H165" s="270"/>
      <c r="I165" s="270"/>
      <c r="J165" s="7"/>
      <c r="K165" s="271">
        <f>SUM(G164:K164)</f>
        <v>2430</v>
      </c>
      <c r="L165" s="272"/>
      <c r="M165" s="2" t="s">
        <v>243</v>
      </c>
      <c r="N165" s="265">
        <v>4.9000000000000002E-2</v>
      </c>
      <c r="O165" s="265">
        <v>0.05</v>
      </c>
      <c r="P165" s="265">
        <v>0.05</v>
      </c>
      <c r="Q165" s="317"/>
      <c r="R165" s="317"/>
      <c r="AH165" s="259" t="s">
        <v>259</v>
      </c>
      <c r="AI165" s="260"/>
      <c r="AJ165" s="261"/>
      <c r="AK165" s="259" t="s">
        <v>260</v>
      </c>
      <c r="AL165" s="261"/>
      <c r="AM165" s="2" t="s">
        <v>233</v>
      </c>
      <c r="AN165" s="259" t="s">
        <v>261</v>
      </c>
      <c r="AO165" s="261"/>
      <c r="AP165" s="259" t="s">
        <v>262</v>
      </c>
      <c r="AQ165" s="261"/>
      <c r="AR165" s="332"/>
      <c r="AS165" s="283"/>
      <c r="AT165" s="284"/>
    </row>
    <row r="166" spans="2:46" ht="9.9499999999999993" customHeight="1" x14ac:dyDescent="0.15">
      <c r="B166" s="8" t="s">
        <v>505</v>
      </c>
      <c r="C166" s="8"/>
      <c r="D166" s="8"/>
      <c r="E166" s="8"/>
      <c r="F166" s="8"/>
      <c r="G166" s="8"/>
      <c r="H166" s="8"/>
      <c r="I166" s="8"/>
      <c r="J166" s="8"/>
      <c r="K166" s="8"/>
      <c r="L166" s="8"/>
      <c r="M166" s="2" t="s">
        <v>245</v>
      </c>
      <c r="N166" s="265">
        <v>4.9000000000000002E-2</v>
      </c>
      <c r="O166" s="265">
        <v>0.05</v>
      </c>
      <c r="P166" s="265">
        <v>4.7E-2</v>
      </c>
      <c r="Q166" s="317"/>
      <c r="R166" s="317"/>
      <c r="AH166" s="259" t="s">
        <v>503</v>
      </c>
      <c r="AI166" s="260"/>
      <c r="AJ166" s="261"/>
      <c r="AK166" s="259" t="s">
        <v>225</v>
      </c>
      <c r="AL166" s="261"/>
      <c r="AM166" s="2" t="s">
        <v>240</v>
      </c>
      <c r="AN166" s="259" t="s">
        <v>264</v>
      </c>
      <c r="AO166" s="261"/>
      <c r="AP166" s="259" t="s">
        <v>506</v>
      </c>
      <c r="AQ166" s="261"/>
      <c r="AR166" s="285"/>
      <c r="AS166" s="286"/>
    </row>
    <row r="167" spans="2:46" ht="9.9499999999999993" customHeight="1" x14ac:dyDescent="0.15">
      <c r="B167" s="8" t="s">
        <v>507</v>
      </c>
      <c r="C167" s="8"/>
      <c r="D167" s="8"/>
      <c r="E167" s="8"/>
      <c r="F167" s="8"/>
      <c r="G167" s="8"/>
      <c r="H167" s="8"/>
      <c r="I167" s="8"/>
      <c r="J167" s="8"/>
      <c r="K167" s="8"/>
      <c r="L167" s="8"/>
      <c r="M167" s="274"/>
      <c r="N167" s="274"/>
      <c r="O167" s="274"/>
      <c r="P167" s="274"/>
      <c r="Q167" s="274"/>
      <c r="R167" s="274"/>
      <c r="AH167" s="288" t="s">
        <v>392</v>
      </c>
      <c r="AI167" s="260"/>
      <c r="AJ167" s="260"/>
      <c r="AK167" s="260"/>
      <c r="AL167" s="260"/>
      <c r="AM167" s="260"/>
      <c r="AN167" s="260"/>
      <c r="AO167" s="260"/>
      <c r="AP167" s="260"/>
      <c r="AQ167" s="260"/>
      <c r="AR167" s="260"/>
      <c r="AS167" s="289" t="s">
        <v>508</v>
      </c>
    </row>
    <row r="168" spans="2:46" ht="9.9499999999999993" customHeight="1" x14ac:dyDescent="0.15">
      <c r="B168" s="16"/>
      <c r="C168" s="3" t="s">
        <v>509</v>
      </c>
      <c r="D168" s="586" t="s">
        <v>358</v>
      </c>
      <c r="E168" s="276" t="s">
        <v>251</v>
      </c>
      <c r="F168" s="3" t="s">
        <v>396</v>
      </c>
      <c r="G168" s="259"/>
      <c r="H168" s="260"/>
      <c r="I168" s="260"/>
      <c r="J168" s="260"/>
      <c r="K168" s="260"/>
      <c r="L168" s="260"/>
      <c r="M168" s="260"/>
      <c r="N168" s="260"/>
      <c r="O168" s="260"/>
      <c r="P168" s="260" t="s">
        <v>253</v>
      </c>
      <c r="Q168" s="277"/>
      <c r="R168" s="260"/>
      <c r="S168" s="260"/>
      <c r="T168" s="260"/>
      <c r="U168" s="260"/>
      <c r="V168" s="260"/>
      <c r="W168" s="260"/>
      <c r="X168" s="260"/>
      <c r="Y168" s="260"/>
      <c r="Z168" s="260"/>
      <c r="AA168" s="261"/>
      <c r="AH168" s="291"/>
      <c r="AI168" s="260"/>
      <c r="AJ168" s="260"/>
      <c r="AK168" s="261"/>
      <c r="AL168" s="259" t="s">
        <v>271</v>
      </c>
      <c r="AM168" s="260"/>
      <c r="AN168" s="261"/>
      <c r="AO168" s="259" t="s">
        <v>272</v>
      </c>
      <c r="AP168" s="261"/>
      <c r="AQ168" s="259" t="s">
        <v>273</v>
      </c>
      <c r="AR168" s="2" t="s">
        <v>274</v>
      </c>
      <c r="AS168" s="2" t="s">
        <v>464</v>
      </c>
    </row>
    <row r="169" spans="2:46" ht="9.9499999999999993" customHeight="1" x14ac:dyDescent="0.15">
      <c r="B169" s="5"/>
      <c r="C169" s="5"/>
      <c r="D169" s="587"/>
      <c r="E169" s="5"/>
      <c r="F169" s="588" t="s">
        <v>254</v>
      </c>
      <c r="G169" s="259" t="s">
        <v>255</v>
      </c>
      <c r="H169" s="260"/>
      <c r="I169" s="260"/>
      <c r="J169" s="260"/>
      <c r="K169" s="260"/>
      <c r="L169" s="261"/>
      <c r="M169" s="10" t="s">
        <v>256</v>
      </c>
      <c r="N169" s="280"/>
      <c r="O169" s="280"/>
      <c r="P169" s="280"/>
      <c r="Q169" s="281"/>
      <c r="R169" s="282" t="s">
        <v>257</v>
      </c>
      <c r="S169" s="280"/>
      <c r="T169" s="280"/>
      <c r="U169" s="280"/>
      <c r="V169" s="281"/>
      <c r="W169" s="282" t="s">
        <v>258</v>
      </c>
      <c r="X169" s="280"/>
      <c r="Y169" s="280"/>
      <c r="Z169" s="280"/>
      <c r="AA169" s="281"/>
      <c r="AH169" s="10" t="s">
        <v>282</v>
      </c>
      <c r="AI169" s="281"/>
      <c r="AJ169" s="10" t="s">
        <v>283</v>
      </c>
      <c r="AK169" s="281"/>
      <c r="AL169" s="594" t="s">
        <v>284</v>
      </c>
      <c r="AM169" s="595"/>
      <c r="AN169" s="596"/>
      <c r="AO169" s="294">
        <v>43335</v>
      </c>
      <c r="AP169" s="281"/>
      <c r="AQ169" s="10" t="s">
        <v>110</v>
      </c>
      <c r="AR169" s="3" t="s">
        <v>110</v>
      </c>
      <c r="AS169" s="3" t="s">
        <v>110</v>
      </c>
    </row>
    <row r="170" spans="2:46" ht="9.9499999999999993" customHeight="1" x14ac:dyDescent="0.15">
      <c r="B170" s="5"/>
      <c r="C170" s="5"/>
      <c r="D170" s="587"/>
      <c r="E170" s="5"/>
      <c r="F170" s="589"/>
      <c r="G170" s="10" t="s">
        <v>263</v>
      </c>
      <c r="H170" s="280"/>
      <c r="I170" s="280"/>
      <c r="J170" s="280"/>
      <c r="K170" s="280"/>
      <c r="L170" s="280"/>
      <c r="M170" s="10"/>
      <c r="N170" s="280"/>
      <c r="O170" s="280"/>
      <c r="P170" s="280"/>
      <c r="Q170" s="281"/>
      <c r="R170" s="282"/>
      <c r="S170" s="280"/>
      <c r="T170" s="280"/>
      <c r="U170" s="280"/>
      <c r="V170" s="281"/>
      <c r="W170" s="280"/>
      <c r="X170" s="280"/>
      <c r="Y170" s="280"/>
      <c r="Z170" s="280"/>
      <c r="AA170" s="281"/>
      <c r="AH170" s="13"/>
      <c r="AI170" s="14"/>
      <c r="AJ170" s="11"/>
      <c r="AK170" s="12"/>
      <c r="AL170" s="597"/>
      <c r="AM170" s="598"/>
      <c r="AN170" s="599"/>
      <c r="AO170" s="340"/>
      <c r="AP170" s="12"/>
      <c r="AQ170" s="11"/>
      <c r="AR170" s="7"/>
      <c r="AS170" s="7"/>
    </row>
    <row r="171" spans="2:46" ht="9.9499999999999993" customHeight="1" x14ac:dyDescent="0.15">
      <c r="B171" s="5"/>
      <c r="C171" s="5"/>
      <c r="D171" s="5"/>
      <c r="E171" s="5"/>
      <c r="F171" s="625"/>
      <c r="G171" s="13"/>
      <c r="H171" s="273" t="s">
        <v>510</v>
      </c>
      <c r="I171" s="15"/>
      <c r="J171" s="15"/>
      <c r="K171" s="15" t="s">
        <v>511</v>
      </c>
      <c r="L171" s="8"/>
      <c r="M171" s="287" t="s">
        <v>267</v>
      </c>
      <c r="N171" s="8"/>
      <c r="O171" s="8"/>
      <c r="P171" s="8"/>
      <c r="Q171" s="14"/>
      <c r="R171" s="8"/>
      <c r="S171" s="8"/>
      <c r="T171" s="8"/>
      <c r="U171" s="8"/>
      <c r="V171" s="14"/>
      <c r="W171" s="8"/>
      <c r="X171" s="8"/>
      <c r="Y171" s="8"/>
      <c r="Z171" s="8"/>
      <c r="AA171" s="14"/>
      <c r="AH171" s="11"/>
      <c r="AI171" s="12"/>
      <c r="AJ171" s="259" t="s">
        <v>287</v>
      </c>
      <c r="AK171" s="261"/>
      <c r="AL171" s="11" t="s">
        <v>288</v>
      </c>
      <c r="AM171" s="9"/>
      <c r="AN171" s="12"/>
      <c r="AO171" s="295">
        <v>43335</v>
      </c>
      <c r="AP171" s="261"/>
      <c r="AQ171" s="259" t="s">
        <v>110</v>
      </c>
      <c r="AR171" s="2" t="s">
        <v>110</v>
      </c>
      <c r="AS171" s="2" t="s">
        <v>110</v>
      </c>
    </row>
    <row r="172" spans="2:46" ht="9.9499999999999993" customHeight="1" x14ac:dyDescent="0.15">
      <c r="B172" s="590" t="s">
        <v>512</v>
      </c>
      <c r="C172" s="290">
        <v>0.23</v>
      </c>
      <c r="D172" s="592" t="s">
        <v>465</v>
      </c>
      <c r="E172" s="3" t="s">
        <v>237</v>
      </c>
      <c r="F172" s="346">
        <v>43599</v>
      </c>
      <c r="G172" s="346">
        <v>43332</v>
      </c>
      <c r="H172" s="346">
        <v>43333</v>
      </c>
      <c r="I172" s="346">
        <v>43334</v>
      </c>
      <c r="J172" s="346">
        <v>43335</v>
      </c>
      <c r="K172" s="346">
        <v>43336</v>
      </c>
      <c r="L172" s="346">
        <v>43337</v>
      </c>
      <c r="M172" s="346">
        <v>43339</v>
      </c>
      <c r="N172" s="346">
        <v>43340</v>
      </c>
      <c r="O172" s="346">
        <v>43341</v>
      </c>
      <c r="P172" s="346">
        <v>43342</v>
      </c>
      <c r="Q172" s="346">
        <v>43343</v>
      </c>
      <c r="R172" s="346">
        <v>43346</v>
      </c>
      <c r="S172" s="346">
        <v>43347</v>
      </c>
      <c r="T172" s="346">
        <v>43348</v>
      </c>
      <c r="U172" s="346">
        <v>43349</v>
      </c>
      <c r="V172" s="346">
        <v>43350</v>
      </c>
      <c r="W172" s="346">
        <v>43353</v>
      </c>
      <c r="X172" s="346">
        <v>43354</v>
      </c>
      <c r="Y172" s="346">
        <v>43355</v>
      </c>
      <c r="Z172" s="346">
        <v>43356</v>
      </c>
      <c r="AA172" s="346">
        <v>43357</v>
      </c>
      <c r="AH172" s="288" t="s">
        <v>466</v>
      </c>
      <c r="AI172" s="260"/>
      <c r="AJ172" s="260"/>
      <c r="AK172" s="260"/>
      <c r="AL172" s="260"/>
      <c r="AM172" s="260"/>
      <c r="AN172" s="260"/>
      <c r="AO172" s="260"/>
      <c r="AP172" s="260"/>
      <c r="AQ172" s="260"/>
      <c r="AR172" s="260"/>
      <c r="AS172" s="289"/>
    </row>
    <row r="173" spans="2:46" ht="9.9499999999999993" customHeight="1" x14ac:dyDescent="0.15">
      <c r="B173" s="591"/>
      <c r="C173" s="292"/>
      <c r="D173" s="593"/>
      <c r="E173" s="7"/>
      <c r="F173" s="293" t="s">
        <v>276</v>
      </c>
      <c r="G173" s="293" t="s">
        <v>276</v>
      </c>
      <c r="H173" s="293" t="s">
        <v>277</v>
      </c>
      <c r="I173" s="293" t="s">
        <v>278</v>
      </c>
      <c r="J173" s="293" t="s">
        <v>279</v>
      </c>
      <c r="K173" s="293" t="s">
        <v>280</v>
      </c>
      <c r="L173" s="293" t="s">
        <v>281</v>
      </c>
      <c r="M173" s="293" t="s">
        <v>276</v>
      </c>
      <c r="N173" s="293" t="s">
        <v>277</v>
      </c>
      <c r="O173" s="293" t="s">
        <v>278</v>
      </c>
      <c r="P173" s="293" t="s">
        <v>279</v>
      </c>
      <c r="Q173" s="293" t="s">
        <v>280</v>
      </c>
      <c r="R173" s="293" t="s">
        <v>276</v>
      </c>
      <c r="S173" s="293" t="s">
        <v>277</v>
      </c>
      <c r="T173" s="293" t="s">
        <v>278</v>
      </c>
      <c r="U173" s="293" t="s">
        <v>279</v>
      </c>
      <c r="V173" s="293" t="s">
        <v>280</v>
      </c>
      <c r="W173" s="293" t="s">
        <v>276</v>
      </c>
      <c r="X173" s="293" t="s">
        <v>277</v>
      </c>
      <c r="Y173" s="293" t="s">
        <v>278</v>
      </c>
      <c r="Z173" s="293" t="s">
        <v>279</v>
      </c>
      <c r="AA173" s="293" t="s">
        <v>280</v>
      </c>
      <c r="AH173" s="259" t="s">
        <v>292</v>
      </c>
      <c r="AI173" s="260"/>
      <c r="AJ173" s="260"/>
      <c r="AK173" s="261"/>
      <c r="AL173" s="296" t="s">
        <v>401</v>
      </c>
      <c r="AM173" s="280"/>
      <c r="AN173" s="281"/>
      <c r="AO173" s="297" t="s">
        <v>513</v>
      </c>
      <c r="AP173" s="261"/>
      <c r="AQ173" s="298">
        <v>210</v>
      </c>
      <c r="AR173" s="6">
        <v>110</v>
      </c>
      <c r="AS173" s="22" t="s">
        <v>403</v>
      </c>
    </row>
    <row r="174" spans="2:46" ht="9.9499999999999993" customHeight="1" x14ac:dyDescent="0.15">
      <c r="B174" s="591"/>
      <c r="C174" s="292"/>
      <c r="D174" s="593"/>
      <c r="E174" s="2" t="s">
        <v>514</v>
      </c>
      <c r="F174" s="265">
        <v>4.8000000000000001E-2</v>
      </c>
      <c r="G174" s="265">
        <v>4.2000000000000003E-2</v>
      </c>
      <c r="H174" s="265">
        <v>4.8000000000000001E-2</v>
      </c>
      <c r="I174" s="265">
        <v>4.2000000000000003E-2</v>
      </c>
      <c r="J174" s="265">
        <v>4.8000000000000001E-2</v>
      </c>
      <c r="K174" s="265">
        <v>4.2000000000000003E-2</v>
      </c>
      <c r="L174" s="265">
        <v>0.06</v>
      </c>
      <c r="M174" s="265">
        <v>4.8000000000000001E-2</v>
      </c>
      <c r="N174" s="265">
        <v>4.2000000000000003E-2</v>
      </c>
      <c r="O174" s="265">
        <v>4.8000000000000001E-2</v>
      </c>
      <c r="P174" s="265">
        <v>3.5999999999999997E-2</v>
      </c>
      <c r="Q174" s="265">
        <v>4.2000000000000003E-2</v>
      </c>
      <c r="R174" s="265">
        <v>4.2000000000000003E-2</v>
      </c>
      <c r="S174" s="265">
        <v>4.2000000000000003E-2</v>
      </c>
      <c r="T174" s="265">
        <v>3.5999999999999997E-2</v>
      </c>
      <c r="U174" s="265">
        <v>3.5999999999999997E-2</v>
      </c>
      <c r="V174" s="265">
        <v>5.3999999999999999E-2</v>
      </c>
      <c r="W174" s="265">
        <v>5.3999999999999999E-2</v>
      </c>
      <c r="X174" s="265">
        <v>4.2000000000000003E-2</v>
      </c>
      <c r="Y174" s="265">
        <v>4.2000000000000003E-2</v>
      </c>
      <c r="Z174" s="265">
        <v>4.2000000000000003E-2</v>
      </c>
      <c r="AA174" s="265">
        <v>4.2000000000000003E-2</v>
      </c>
      <c r="AH174" s="259" t="s">
        <v>298</v>
      </c>
      <c r="AI174" s="260"/>
      <c r="AJ174" s="260"/>
      <c r="AK174" s="261"/>
      <c r="AL174" s="300" t="s">
        <v>299</v>
      </c>
      <c r="AM174" s="9"/>
      <c r="AN174" s="12"/>
      <c r="AO174" s="297" t="s">
        <v>513</v>
      </c>
      <c r="AP174" s="261"/>
      <c r="AQ174" s="298">
        <v>56</v>
      </c>
      <c r="AR174" s="6">
        <v>32</v>
      </c>
      <c r="AS174" s="2" t="s">
        <v>301</v>
      </c>
    </row>
    <row r="175" spans="2:46" ht="9.9499999999999993" customHeight="1" x14ac:dyDescent="0.15">
      <c r="B175" s="591"/>
      <c r="C175" s="292"/>
      <c r="D175" s="593"/>
      <c r="E175" s="2" t="s">
        <v>286</v>
      </c>
      <c r="F175" s="265">
        <v>3.2000000000000001E-2</v>
      </c>
      <c r="G175" s="265">
        <v>4.9000000000000002E-2</v>
      </c>
      <c r="H175" s="265">
        <v>4.2999999999999997E-2</v>
      </c>
      <c r="I175" s="265">
        <v>4.1000000000000002E-2</v>
      </c>
      <c r="J175" s="265">
        <v>4.5999999999999999E-2</v>
      </c>
      <c r="K175" s="265">
        <v>4.3999999999999997E-2</v>
      </c>
      <c r="L175" s="317"/>
      <c r="M175" s="265">
        <v>3.7999999999999999E-2</v>
      </c>
      <c r="N175" s="265">
        <v>4.9000000000000002E-2</v>
      </c>
      <c r="O175" s="265">
        <v>4.5999999999999999E-2</v>
      </c>
      <c r="P175" s="265">
        <v>4.1000000000000002E-2</v>
      </c>
      <c r="Q175" s="265">
        <v>0.05</v>
      </c>
      <c r="R175" s="265">
        <v>4.8000000000000001E-2</v>
      </c>
      <c r="S175" s="265">
        <v>4.1000000000000002E-2</v>
      </c>
      <c r="T175" s="265">
        <v>3.7999999999999999E-2</v>
      </c>
      <c r="U175" s="265">
        <v>4.1000000000000002E-2</v>
      </c>
      <c r="V175" s="265">
        <v>0.04</v>
      </c>
      <c r="W175" s="265">
        <v>4.5999999999999999E-2</v>
      </c>
      <c r="X175" s="265">
        <v>4.2999999999999997E-2</v>
      </c>
      <c r="Y175" s="265">
        <v>3.9E-2</v>
      </c>
      <c r="Z175" s="265">
        <v>4.9000000000000002E-2</v>
      </c>
      <c r="AA175" s="265">
        <v>3.9E-2</v>
      </c>
      <c r="AH175" s="341" t="s">
        <v>468</v>
      </c>
      <c r="AI175" s="8"/>
      <c r="AJ175" s="8"/>
      <c r="AK175" s="8"/>
      <c r="AL175" s="8"/>
      <c r="AM175" s="8"/>
      <c r="AN175" s="8"/>
      <c r="AO175" s="8"/>
      <c r="AP175" s="8"/>
      <c r="AQ175" s="95" t="s">
        <v>299</v>
      </c>
      <c r="AR175" s="8"/>
      <c r="AS175" s="8"/>
    </row>
    <row r="176" spans="2:46" ht="9.9499999999999993" customHeight="1" x14ac:dyDescent="0.15">
      <c r="B176" s="591"/>
      <c r="C176" s="292"/>
      <c r="D176" s="5"/>
      <c r="E176" s="2" t="s">
        <v>289</v>
      </c>
      <c r="F176" s="265">
        <v>4.2999999999999997E-2</v>
      </c>
      <c r="G176" s="265">
        <v>0.04</v>
      </c>
      <c r="H176" s="265">
        <v>4.4999999999999998E-2</v>
      </c>
      <c r="I176" s="265">
        <v>4.5999999999999999E-2</v>
      </c>
      <c r="J176" s="265">
        <v>4.2999999999999997E-2</v>
      </c>
      <c r="K176" s="265">
        <v>3.7999999999999999E-2</v>
      </c>
      <c r="L176" s="317"/>
      <c r="M176" s="265">
        <v>4.7E-2</v>
      </c>
      <c r="N176" s="265">
        <v>4.2000000000000003E-2</v>
      </c>
      <c r="O176" s="265">
        <v>0.04</v>
      </c>
      <c r="P176" s="265">
        <v>0.04</v>
      </c>
      <c r="Q176" s="265">
        <v>5.1999999999999998E-2</v>
      </c>
      <c r="R176" s="265">
        <v>0.04</v>
      </c>
      <c r="S176" s="265">
        <v>4.2000000000000003E-2</v>
      </c>
      <c r="T176" s="265">
        <v>4.3999999999999997E-2</v>
      </c>
      <c r="U176" s="265">
        <v>4.2999999999999997E-2</v>
      </c>
      <c r="V176" s="265">
        <v>3.9E-2</v>
      </c>
      <c r="W176" s="265">
        <v>3.7999999999999999E-2</v>
      </c>
      <c r="X176" s="265">
        <v>3.9E-2</v>
      </c>
      <c r="Y176" s="265">
        <v>4.2000000000000003E-2</v>
      </c>
      <c r="Z176" s="265">
        <v>0.04</v>
      </c>
      <c r="AA176" s="265">
        <v>4.2999999999999997E-2</v>
      </c>
      <c r="AH176" s="341" t="s">
        <v>469</v>
      </c>
      <c r="AI176" s="8"/>
      <c r="AJ176" s="8"/>
      <c r="AK176" s="8"/>
      <c r="AL176" s="8"/>
      <c r="AM176" s="8"/>
      <c r="AN176" s="8"/>
      <c r="AO176" s="8"/>
      <c r="AP176" s="8"/>
      <c r="AQ176" s="8"/>
      <c r="AR176" s="8"/>
    </row>
    <row r="177" spans="2:45" ht="9.9499999999999993" customHeight="1" x14ac:dyDescent="0.15">
      <c r="B177" s="591"/>
      <c r="C177" s="292"/>
      <c r="D177" s="5"/>
      <c r="E177" s="2" t="s">
        <v>470</v>
      </c>
      <c r="F177" s="265">
        <v>3.9E-2</v>
      </c>
      <c r="G177" s="265">
        <v>3.7999999999999999E-2</v>
      </c>
      <c r="H177" s="265">
        <v>3.3000000000000002E-2</v>
      </c>
      <c r="I177" s="265">
        <v>3.5000000000000003E-2</v>
      </c>
      <c r="J177" s="265">
        <v>3.4000000000000002E-2</v>
      </c>
      <c r="K177" s="265">
        <v>3.7999999999999999E-2</v>
      </c>
      <c r="L177" s="317"/>
      <c r="M177" s="265">
        <v>3.3000000000000002E-2</v>
      </c>
      <c r="N177" s="265">
        <v>4.2000000000000003E-2</v>
      </c>
      <c r="O177" s="265">
        <v>4.2000000000000003E-2</v>
      </c>
      <c r="P177" s="265">
        <v>3.7999999999999999E-2</v>
      </c>
      <c r="Q177" s="265">
        <v>4.2999999999999997E-2</v>
      </c>
      <c r="R177" s="265">
        <v>3.4000000000000002E-2</v>
      </c>
      <c r="S177" s="265">
        <v>3.3000000000000002E-2</v>
      </c>
      <c r="T177" s="265">
        <v>3.5999999999999997E-2</v>
      </c>
      <c r="U177" s="265">
        <v>3.5999999999999997E-2</v>
      </c>
      <c r="V177" s="265">
        <v>4.3999999999999997E-2</v>
      </c>
      <c r="W177" s="265">
        <v>3.7999999999999999E-2</v>
      </c>
      <c r="X177" s="265">
        <v>4.1000000000000002E-2</v>
      </c>
      <c r="Y177" s="265">
        <v>3.5000000000000003E-2</v>
      </c>
      <c r="Z177" s="265">
        <v>3.2000000000000001E-2</v>
      </c>
      <c r="AA177" s="265">
        <v>3.4000000000000002E-2</v>
      </c>
      <c r="AH177" s="278" t="s">
        <v>471</v>
      </c>
      <c r="AI177" s="9"/>
      <c r="AJ177" s="9"/>
      <c r="AK177" s="9"/>
      <c r="AL177" s="8"/>
      <c r="AM177" s="8"/>
      <c r="AN177" s="8"/>
      <c r="AO177" s="9"/>
      <c r="AP177" s="9"/>
      <c r="AQ177" s="9"/>
      <c r="AR177" s="9" t="s">
        <v>472</v>
      </c>
    </row>
    <row r="178" spans="2:45" ht="9.9499999999999993" customHeight="1" x14ac:dyDescent="0.15">
      <c r="B178" s="5"/>
      <c r="C178" s="292"/>
      <c r="D178" s="5"/>
      <c r="E178" s="2" t="s">
        <v>297</v>
      </c>
      <c r="F178" s="265">
        <v>4.8000000000000001E-2</v>
      </c>
      <c r="G178" s="265">
        <v>4.2000000000000003E-2</v>
      </c>
      <c r="H178" s="265">
        <v>4.3999999999999997E-2</v>
      </c>
      <c r="I178" s="265">
        <v>4.3999999999999997E-2</v>
      </c>
      <c r="J178" s="265">
        <v>4.2000000000000003E-2</v>
      </c>
      <c r="K178" s="265">
        <v>4.4999999999999998E-2</v>
      </c>
      <c r="L178" s="317"/>
      <c r="M178" s="265">
        <v>4.5999999999999999E-2</v>
      </c>
      <c r="N178" s="265">
        <v>4.3999999999999997E-2</v>
      </c>
      <c r="O178" s="265">
        <v>0.05</v>
      </c>
      <c r="P178" s="265">
        <v>4.8000000000000001E-2</v>
      </c>
      <c r="Q178" s="265">
        <v>5.1999999999999998E-2</v>
      </c>
      <c r="R178" s="265">
        <v>4.5999999999999999E-2</v>
      </c>
      <c r="S178" s="265">
        <v>4.4999999999999998E-2</v>
      </c>
      <c r="T178" s="265">
        <v>4.7E-2</v>
      </c>
      <c r="U178" s="265">
        <v>4.3999999999999997E-2</v>
      </c>
      <c r="V178" s="265">
        <v>0.05</v>
      </c>
      <c r="W178" s="265">
        <v>0.04</v>
      </c>
      <c r="X178" s="265">
        <v>4.1000000000000002E-2</v>
      </c>
      <c r="Y178" s="265">
        <v>4.1000000000000002E-2</v>
      </c>
      <c r="Z178" s="265">
        <v>4.9000000000000002E-2</v>
      </c>
      <c r="AA178" s="265">
        <v>4.3999999999999997E-2</v>
      </c>
      <c r="AH178" s="259" t="s">
        <v>316</v>
      </c>
      <c r="AI178" s="260"/>
      <c r="AJ178" s="260"/>
      <c r="AK178" s="261"/>
      <c r="AL178" s="10" t="s">
        <v>473</v>
      </c>
      <c r="AM178" s="280"/>
      <c r="AN178" s="281"/>
      <c r="AO178" s="259" t="s">
        <v>515</v>
      </c>
      <c r="AP178" s="261"/>
      <c r="AQ178" s="312">
        <v>4.9000000000000002E-2</v>
      </c>
      <c r="AR178" s="265" t="s">
        <v>301</v>
      </c>
      <c r="AS178" s="265">
        <v>0.113</v>
      </c>
    </row>
    <row r="179" spans="2:45" ht="9.9499999999999993" customHeight="1" x14ac:dyDescent="0.15">
      <c r="B179" s="7"/>
      <c r="C179" s="301"/>
      <c r="D179" s="7"/>
      <c r="E179" s="2" t="s">
        <v>302</v>
      </c>
      <c r="F179" s="265">
        <v>0.04</v>
      </c>
      <c r="G179" s="265">
        <v>4.2000000000000003E-2</v>
      </c>
      <c r="H179" s="265">
        <v>4.2999999999999997E-2</v>
      </c>
      <c r="I179" s="265">
        <v>3.4000000000000002E-2</v>
      </c>
      <c r="J179" s="265">
        <v>3.9E-2</v>
      </c>
      <c r="K179" s="265">
        <v>4.2999999999999997E-2</v>
      </c>
      <c r="L179" s="317"/>
      <c r="M179" s="265">
        <v>3.5999999999999997E-2</v>
      </c>
      <c r="N179" s="265">
        <v>4.5999999999999999E-2</v>
      </c>
      <c r="O179" s="265">
        <v>4.8000000000000001E-2</v>
      </c>
      <c r="P179" s="265">
        <v>3.5000000000000003E-2</v>
      </c>
      <c r="Q179" s="265">
        <v>5.2999999999999999E-2</v>
      </c>
      <c r="R179" s="265">
        <v>3.5999999999999997E-2</v>
      </c>
      <c r="S179" s="265">
        <v>3.5999999999999997E-2</v>
      </c>
      <c r="T179" s="265">
        <v>3.9E-2</v>
      </c>
      <c r="U179" s="265">
        <v>3.5999999999999997E-2</v>
      </c>
      <c r="V179" s="265">
        <v>4.7E-2</v>
      </c>
      <c r="W179" s="265">
        <v>4.9000000000000002E-2</v>
      </c>
      <c r="X179" s="265">
        <v>4.2999999999999997E-2</v>
      </c>
      <c r="Y179" s="265">
        <v>3.7999999999999999E-2</v>
      </c>
      <c r="Z179" s="265">
        <v>3.5999999999999997E-2</v>
      </c>
      <c r="AA179" s="265">
        <v>4.1000000000000002E-2</v>
      </c>
      <c r="AH179" s="259" t="s">
        <v>325</v>
      </c>
      <c r="AI179" s="260"/>
      <c r="AJ179" s="260"/>
      <c r="AK179" s="261"/>
      <c r="AL179" s="13"/>
      <c r="AM179" s="15"/>
      <c r="AN179" s="14"/>
      <c r="AO179" s="10" t="s">
        <v>516</v>
      </c>
      <c r="AP179" s="281"/>
      <c r="AQ179" s="312">
        <v>4.1000000000000002E-2</v>
      </c>
      <c r="AR179" s="347" t="s">
        <v>418</v>
      </c>
      <c r="AS179" s="265">
        <v>0.06</v>
      </c>
    </row>
    <row r="180" spans="2:45" ht="9.9499999999999993" customHeight="1" x14ac:dyDescent="0.15">
      <c r="B180" s="600" t="s">
        <v>517</v>
      </c>
      <c r="C180" s="590" t="s">
        <v>305</v>
      </c>
      <c r="D180" s="604" t="s">
        <v>477</v>
      </c>
      <c r="E180" s="22" t="s">
        <v>307</v>
      </c>
      <c r="F180" s="22" t="s">
        <v>322</v>
      </c>
      <c r="G180" s="303"/>
      <c r="H180" s="4"/>
      <c r="I180" s="329" t="s">
        <v>518</v>
      </c>
      <c r="J180" s="260"/>
      <c r="K180" s="261"/>
      <c r="L180" s="4"/>
      <c r="M180" s="305">
        <v>43356</v>
      </c>
      <c r="N180" s="260"/>
      <c r="O180" s="260"/>
      <c r="P180" s="260"/>
      <c r="Q180" s="260"/>
      <c r="R180" s="260"/>
      <c r="S180" s="260"/>
      <c r="T180" s="260"/>
      <c r="U180" s="260"/>
      <c r="V180" s="260"/>
      <c r="W180" s="260"/>
      <c r="X180" s="260"/>
      <c r="Y180" s="260"/>
      <c r="Z180" s="260"/>
      <c r="AA180" s="261"/>
      <c r="AH180" s="259" t="s">
        <v>519</v>
      </c>
      <c r="AI180" s="260"/>
      <c r="AJ180" s="260"/>
      <c r="AK180" s="261"/>
      <c r="AL180" s="13"/>
      <c r="AM180" s="15"/>
      <c r="AN180" s="14"/>
      <c r="AO180" s="11"/>
      <c r="AP180" s="12"/>
      <c r="AQ180" s="312">
        <v>4.3999999999999997E-2</v>
      </c>
      <c r="AR180" s="347" t="s">
        <v>330</v>
      </c>
      <c r="AS180" s="265">
        <v>6.2E-2</v>
      </c>
    </row>
    <row r="181" spans="2:45" ht="9.9499999999999993" customHeight="1" x14ac:dyDescent="0.15">
      <c r="B181" s="591"/>
      <c r="C181" s="602"/>
      <c r="D181" s="605"/>
      <c r="E181" s="22" t="s">
        <v>422</v>
      </c>
      <c r="F181" s="307">
        <v>110</v>
      </c>
      <c r="G181" s="308">
        <v>210</v>
      </c>
      <c r="H181" s="309"/>
      <c r="I181" s="309"/>
      <c r="J181" s="309"/>
      <c r="K181" s="309"/>
      <c r="L181" s="310"/>
      <c r="M181" s="308">
        <v>176</v>
      </c>
      <c r="N181" s="309"/>
      <c r="O181" s="309"/>
      <c r="P181" s="309"/>
      <c r="Q181" s="309"/>
      <c r="R181" s="309"/>
      <c r="S181" s="309"/>
      <c r="T181" s="309"/>
      <c r="U181" s="309"/>
      <c r="V181" s="309"/>
      <c r="W181" s="309"/>
      <c r="X181" s="309"/>
      <c r="Y181" s="309"/>
      <c r="Z181" s="309"/>
      <c r="AA181" s="310"/>
      <c r="AH181" s="3" t="s">
        <v>331</v>
      </c>
      <c r="AI181" s="259" t="s">
        <v>332</v>
      </c>
      <c r="AJ181" s="260"/>
      <c r="AK181" s="261"/>
      <c r="AL181" s="13"/>
      <c r="AM181" s="15"/>
      <c r="AN181" s="14"/>
      <c r="AO181" s="10" t="s">
        <v>516</v>
      </c>
      <c r="AP181" s="281"/>
      <c r="AQ181" s="312">
        <v>4.2999999999999997E-2</v>
      </c>
      <c r="AR181" s="265">
        <v>3.6999999999999998E-2</v>
      </c>
      <c r="AS181" s="265">
        <v>5.2999999999999999E-2</v>
      </c>
    </row>
    <row r="182" spans="2:45" ht="9.9499999999999993" customHeight="1" x14ac:dyDescent="0.15">
      <c r="B182" s="601"/>
      <c r="C182" s="603"/>
      <c r="D182" s="606"/>
      <c r="E182" s="22" t="s">
        <v>423</v>
      </c>
      <c r="F182" s="307">
        <v>32</v>
      </c>
      <c r="G182" s="308">
        <v>56</v>
      </c>
      <c r="H182" s="309"/>
      <c r="I182" s="309"/>
      <c r="J182" s="309"/>
      <c r="K182" s="309"/>
      <c r="L182" s="310"/>
      <c r="M182" s="308">
        <v>33</v>
      </c>
      <c r="N182" s="309"/>
      <c r="O182" s="309"/>
      <c r="P182" s="309"/>
      <c r="Q182" s="309"/>
      <c r="R182" s="309"/>
      <c r="S182" s="309"/>
      <c r="T182" s="309"/>
      <c r="U182" s="309"/>
      <c r="V182" s="309"/>
      <c r="W182" s="309"/>
      <c r="X182" s="309"/>
      <c r="Y182" s="309"/>
      <c r="Z182" s="309"/>
      <c r="AA182" s="310"/>
      <c r="AH182" s="5"/>
      <c r="AI182" s="259" t="s">
        <v>334</v>
      </c>
      <c r="AJ182" s="260"/>
      <c r="AK182" s="261"/>
      <c r="AL182" s="13"/>
      <c r="AM182" s="15"/>
      <c r="AN182" s="14"/>
      <c r="AO182" s="13"/>
      <c r="AP182" s="14"/>
      <c r="AQ182" s="312">
        <v>4.1000000000000002E-2</v>
      </c>
      <c r="AR182" s="265">
        <v>3.5999999999999997E-2</v>
      </c>
      <c r="AS182" s="265">
        <v>5.8000000000000003E-2</v>
      </c>
    </row>
    <row r="183" spans="2:45" ht="9.9499999999999993" customHeight="1" x14ac:dyDescent="0.15">
      <c r="B183" s="600" t="s">
        <v>520</v>
      </c>
      <c r="C183" s="610" t="s">
        <v>483</v>
      </c>
      <c r="D183" s="604" t="s">
        <v>477</v>
      </c>
      <c r="E183" s="22" t="s">
        <v>307</v>
      </c>
      <c r="F183" s="22" t="s">
        <v>322</v>
      </c>
      <c r="G183" s="4"/>
      <c r="H183" s="4"/>
      <c r="I183" s="4"/>
      <c r="J183" s="22" t="s">
        <v>323</v>
      </c>
      <c r="K183" s="4"/>
      <c r="L183" s="4"/>
      <c r="M183" s="329" t="s">
        <v>521</v>
      </c>
      <c r="N183" s="260"/>
      <c r="O183" s="260"/>
      <c r="P183" s="260"/>
      <c r="Q183" s="260"/>
      <c r="R183" s="260"/>
      <c r="S183" s="260"/>
      <c r="T183" s="260"/>
      <c r="U183" s="260"/>
      <c r="V183" s="260"/>
      <c r="W183" s="260"/>
      <c r="X183" s="260"/>
      <c r="Y183" s="260"/>
      <c r="Z183" s="260"/>
      <c r="AA183" s="261"/>
      <c r="AH183" s="5"/>
      <c r="AI183" s="259" t="s">
        <v>336</v>
      </c>
      <c r="AJ183" s="260"/>
      <c r="AK183" s="261"/>
      <c r="AL183" s="13"/>
      <c r="AM183" s="15"/>
      <c r="AN183" s="14"/>
      <c r="AO183" s="13"/>
      <c r="AP183" s="14"/>
      <c r="AQ183" s="312">
        <v>0.04</v>
      </c>
      <c r="AR183" s="265">
        <v>4.2000000000000003E-2</v>
      </c>
      <c r="AS183" s="265">
        <v>5.7000000000000002E-2</v>
      </c>
    </row>
    <row r="184" spans="2:45" ht="9.9499999999999993" customHeight="1" x14ac:dyDescent="0.15">
      <c r="B184" s="609"/>
      <c r="C184" s="616"/>
      <c r="D184" s="605"/>
      <c r="E184" s="22" t="s">
        <v>283</v>
      </c>
      <c r="F184" s="22" t="s">
        <v>110</v>
      </c>
      <c r="G184" s="4"/>
      <c r="H184" s="4"/>
      <c r="I184" s="4"/>
      <c r="J184" s="22" t="s">
        <v>110</v>
      </c>
      <c r="K184" s="4"/>
      <c r="L184" s="4"/>
      <c r="M184" s="329" t="s">
        <v>110</v>
      </c>
      <c r="N184" s="260"/>
      <c r="O184" s="260"/>
      <c r="P184" s="260"/>
      <c r="Q184" s="260"/>
      <c r="R184" s="260"/>
      <c r="S184" s="260"/>
      <c r="T184" s="260"/>
      <c r="U184" s="260"/>
      <c r="V184" s="260"/>
      <c r="W184" s="260"/>
      <c r="X184" s="260"/>
      <c r="Y184" s="260"/>
      <c r="Z184" s="260"/>
      <c r="AA184" s="261"/>
      <c r="AH184" s="5"/>
      <c r="AI184" s="259" t="s">
        <v>338</v>
      </c>
      <c r="AJ184" s="260"/>
      <c r="AK184" s="261"/>
      <c r="AL184" s="13"/>
      <c r="AM184" s="15"/>
      <c r="AN184" s="14"/>
      <c r="AO184" s="13"/>
      <c r="AP184" s="14"/>
      <c r="AQ184" s="312">
        <v>4.2999999999999997E-2</v>
      </c>
      <c r="AR184" s="265">
        <v>4.2000000000000003E-2</v>
      </c>
      <c r="AS184" s="265">
        <v>5.5E-2</v>
      </c>
    </row>
    <row r="185" spans="2:45" ht="9.9499999999999993" customHeight="1" x14ac:dyDescent="0.15">
      <c r="B185" s="622"/>
      <c r="C185" s="617"/>
      <c r="D185" s="606"/>
      <c r="E185" s="22" t="s">
        <v>287</v>
      </c>
      <c r="F185" s="22" t="s">
        <v>110</v>
      </c>
      <c r="G185" s="4"/>
      <c r="H185" s="4"/>
      <c r="I185" s="4"/>
      <c r="J185" s="22" t="s">
        <v>110</v>
      </c>
      <c r="K185" s="4"/>
      <c r="L185" s="4"/>
      <c r="M185" s="329" t="s">
        <v>110</v>
      </c>
      <c r="N185" s="260"/>
      <c r="O185" s="260"/>
      <c r="P185" s="260"/>
      <c r="Q185" s="260"/>
      <c r="R185" s="260"/>
      <c r="S185" s="260"/>
      <c r="T185" s="260"/>
      <c r="U185" s="260"/>
      <c r="V185" s="260"/>
      <c r="W185" s="260"/>
      <c r="X185" s="260"/>
      <c r="Y185" s="260"/>
      <c r="Z185" s="260"/>
      <c r="AA185" s="261"/>
      <c r="AH185" s="7"/>
      <c r="AI185" s="259" t="s">
        <v>339</v>
      </c>
      <c r="AJ185" s="260"/>
      <c r="AK185" s="261"/>
      <c r="AL185" s="11"/>
      <c r="AM185" s="9"/>
      <c r="AN185" s="12"/>
      <c r="AO185" s="11"/>
      <c r="AP185" s="12"/>
      <c r="AQ185" s="312">
        <v>4.5999999999999999E-2</v>
      </c>
      <c r="AR185" s="265">
        <v>4.4999999999999998E-2</v>
      </c>
      <c r="AS185" s="265">
        <v>5.8000000000000003E-2</v>
      </c>
    </row>
    <row r="186" spans="2:45" ht="9.9499999999999993" customHeight="1" x14ac:dyDescent="0.15">
      <c r="B186" s="288" t="s">
        <v>522</v>
      </c>
      <c r="C186" s="260"/>
      <c r="D186" s="260"/>
      <c r="E186" s="260"/>
      <c r="F186" s="260"/>
      <c r="G186" s="260"/>
      <c r="H186" s="260"/>
      <c r="I186" s="260"/>
      <c r="J186" s="260"/>
      <c r="K186" s="260"/>
      <c r="L186" s="260"/>
      <c r="M186" s="260"/>
      <c r="N186" s="260"/>
      <c r="O186" s="260"/>
      <c r="P186" s="260"/>
      <c r="Q186" s="260"/>
      <c r="R186" s="260"/>
      <c r="S186" s="260"/>
      <c r="T186" s="260"/>
      <c r="U186" s="260"/>
      <c r="V186" s="260"/>
      <c r="W186" s="260"/>
      <c r="X186" s="260"/>
      <c r="Y186" s="260"/>
      <c r="Z186" s="260"/>
      <c r="AA186" s="289"/>
      <c r="AH186" s="336" t="s">
        <v>523</v>
      </c>
      <c r="AI186" s="274"/>
      <c r="AJ186" s="274"/>
      <c r="AK186" s="274"/>
      <c r="AL186" s="274"/>
      <c r="AM186" s="337"/>
      <c r="AR186" s="1" t="s">
        <v>524</v>
      </c>
    </row>
    <row r="187" spans="2:45" ht="9.9499999999999993" customHeight="1" x14ac:dyDescent="0.15">
      <c r="B187" s="16"/>
      <c r="C187" s="3" t="s">
        <v>271</v>
      </c>
      <c r="D187" s="3" t="s">
        <v>85</v>
      </c>
      <c r="E187" s="3" t="s">
        <v>337</v>
      </c>
      <c r="F187" s="346">
        <v>43238</v>
      </c>
      <c r="G187" s="346">
        <v>43332</v>
      </c>
      <c r="H187" s="346">
        <v>43333</v>
      </c>
      <c r="I187" s="346">
        <v>43334</v>
      </c>
      <c r="J187" s="346">
        <v>43335</v>
      </c>
      <c r="K187" s="346">
        <v>43336</v>
      </c>
      <c r="L187" s="346">
        <v>43337</v>
      </c>
      <c r="M187" s="346">
        <v>43339</v>
      </c>
      <c r="N187" s="346">
        <v>43340</v>
      </c>
      <c r="O187" s="346">
        <v>43341</v>
      </c>
      <c r="P187" s="346">
        <v>43342</v>
      </c>
      <c r="Q187" s="346">
        <v>43343</v>
      </c>
      <c r="R187" s="346">
        <v>43346</v>
      </c>
      <c r="S187" s="346">
        <v>43347</v>
      </c>
      <c r="T187" s="346">
        <v>43348</v>
      </c>
      <c r="U187" s="346">
        <v>43349</v>
      </c>
      <c r="V187" s="346">
        <v>43350</v>
      </c>
      <c r="W187" s="346">
        <v>43353</v>
      </c>
      <c r="X187" s="346">
        <v>43354</v>
      </c>
      <c r="Y187" s="346">
        <v>43355</v>
      </c>
      <c r="Z187" s="346">
        <v>43356</v>
      </c>
      <c r="AA187" s="346">
        <v>43357</v>
      </c>
      <c r="AH187" s="291"/>
      <c r="AI187" s="318"/>
      <c r="AJ187" s="318"/>
      <c r="AK187" s="319"/>
      <c r="AL187" s="259" t="s">
        <v>271</v>
      </c>
      <c r="AM187" s="318"/>
      <c r="AN187" s="319"/>
      <c r="AO187" s="2" t="s">
        <v>272</v>
      </c>
      <c r="AP187" s="2" t="s">
        <v>273</v>
      </c>
      <c r="AQ187" s="2" t="s">
        <v>274</v>
      </c>
      <c r="AR187" s="2" t="s">
        <v>430</v>
      </c>
    </row>
    <row r="188" spans="2:45" ht="9.9499999999999993" customHeight="1" x14ac:dyDescent="0.15">
      <c r="B188" s="7"/>
      <c r="C188" s="7"/>
      <c r="D188" s="7"/>
      <c r="E188" s="7"/>
      <c r="F188" s="293" t="s">
        <v>280</v>
      </c>
      <c r="G188" s="293" t="s">
        <v>276</v>
      </c>
      <c r="H188" s="293" t="s">
        <v>277</v>
      </c>
      <c r="I188" s="293" t="s">
        <v>278</v>
      </c>
      <c r="J188" s="293" t="s">
        <v>279</v>
      </c>
      <c r="K188" s="293" t="s">
        <v>280</v>
      </c>
      <c r="L188" s="293" t="s">
        <v>281</v>
      </c>
      <c r="M188" s="293" t="s">
        <v>276</v>
      </c>
      <c r="N188" s="293" t="s">
        <v>277</v>
      </c>
      <c r="O188" s="293" t="s">
        <v>278</v>
      </c>
      <c r="P188" s="293" t="s">
        <v>279</v>
      </c>
      <c r="Q188" s="293" t="s">
        <v>280</v>
      </c>
      <c r="R188" s="293" t="s">
        <v>276</v>
      </c>
      <c r="S188" s="293" t="s">
        <v>277</v>
      </c>
      <c r="T188" s="293" t="s">
        <v>278</v>
      </c>
      <c r="U188" s="293" t="s">
        <v>279</v>
      </c>
      <c r="V188" s="293" t="s">
        <v>280</v>
      </c>
      <c r="W188" s="293" t="s">
        <v>276</v>
      </c>
      <c r="X188" s="293" t="s">
        <v>277</v>
      </c>
      <c r="Y188" s="293" t="s">
        <v>278</v>
      </c>
      <c r="Z188" s="293" t="s">
        <v>279</v>
      </c>
      <c r="AA188" s="293" t="s">
        <v>280</v>
      </c>
      <c r="AH188" s="259" t="s">
        <v>347</v>
      </c>
      <c r="AI188" s="318"/>
      <c r="AJ188" s="318"/>
      <c r="AK188" s="319"/>
      <c r="AL188" s="580" t="s">
        <v>348</v>
      </c>
      <c r="AM188" s="581"/>
      <c r="AN188" s="582"/>
      <c r="AO188" s="320">
        <v>43336</v>
      </c>
      <c r="AP188" s="2" t="s">
        <v>110</v>
      </c>
      <c r="AQ188" s="2" t="s">
        <v>110</v>
      </c>
      <c r="AR188" s="2" t="s">
        <v>110</v>
      </c>
    </row>
    <row r="189" spans="2:45" ht="9.9499999999999993" customHeight="1" x14ac:dyDescent="0.15">
      <c r="B189" s="590" t="s">
        <v>269</v>
      </c>
      <c r="C189" s="290">
        <v>0.23</v>
      </c>
      <c r="D189" s="590" t="s">
        <v>525</v>
      </c>
      <c r="E189" s="2" t="s">
        <v>526</v>
      </c>
      <c r="F189" s="265">
        <v>4.2000000000000003E-2</v>
      </c>
      <c r="G189" s="265">
        <v>5.3999999999999999E-2</v>
      </c>
      <c r="H189" s="265">
        <v>5.3999999999999999E-2</v>
      </c>
      <c r="I189" s="265">
        <v>5.3999999999999999E-2</v>
      </c>
      <c r="J189" s="265">
        <v>4.2000000000000003E-2</v>
      </c>
      <c r="K189" s="265">
        <v>4.8000000000000001E-2</v>
      </c>
      <c r="L189" s="265">
        <v>4.2000000000000003E-2</v>
      </c>
      <c r="M189" s="265">
        <v>4.2000000000000003E-2</v>
      </c>
      <c r="N189" s="265">
        <v>0.06</v>
      </c>
      <c r="O189" s="265">
        <v>5.3999999999999999E-2</v>
      </c>
      <c r="P189" s="265">
        <v>6.6000000000000003E-2</v>
      </c>
      <c r="Q189" s="265">
        <v>5.3999999999999999E-2</v>
      </c>
      <c r="R189" s="265">
        <v>4.2000000000000003E-2</v>
      </c>
      <c r="S189" s="265">
        <v>5.3999999999999999E-2</v>
      </c>
      <c r="T189" s="265">
        <v>4.8000000000000001E-2</v>
      </c>
      <c r="U189" s="265">
        <v>4.8000000000000001E-2</v>
      </c>
      <c r="V189" s="265">
        <v>5.3999999999999999E-2</v>
      </c>
      <c r="W189" s="265">
        <v>4.8000000000000001E-2</v>
      </c>
      <c r="X189" s="265">
        <v>4.8000000000000001E-2</v>
      </c>
      <c r="Y189" s="265">
        <v>4.8000000000000001E-2</v>
      </c>
      <c r="Z189" s="265">
        <v>4.2000000000000003E-2</v>
      </c>
      <c r="AA189" s="265">
        <v>5.3999999999999999E-2</v>
      </c>
      <c r="AH189" s="259" t="s">
        <v>527</v>
      </c>
      <c r="AI189" s="318"/>
      <c r="AJ189" s="318"/>
      <c r="AK189" s="319"/>
      <c r="AL189" s="583"/>
      <c r="AM189" s="584"/>
      <c r="AN189" s="585"/>
      <c r="AO189" s="320">
        <v>43336</v>
      </c>
      <c r="AP189" s="2" t="s">
        <v>110</v>
      </c>
      <c r="AQ189" s="2" t="s">
        <v>110</v>
      </c>
      <c r="AR189" s="2" t="s">
        <v>110</v>
      </c>
    </row>
    <row r="190" spans="2:45" ht="9.9499999999999993" customHeight="1" x14ac:dyDescent="0.15">
      <c r="B190" s="591"/>
      <c r="C190" s="292"/>
      <c r="D190" s="591"/>
      <c r="E190" s="2" t="s">
        <v>528</v>
      </c>
      <c r="F190" s="265">
        <v>3.6999999999999998E-2</v>
      </c>
      <c r="G190" s="265">
        <v>3.6999999999999998E-2</v>
      </c>
      <c r="H190" s="265">
        <v>4.9000000000000002E-2</v>
      </c>
      <c r="I190" s="265">
        <v>3.9E-2</v>
      </c>
      <c r="J190" s="265">
        <v>4.1000000000000002E-2</v>
      </c>
      <c r="K190" s="265">
        <v>3.9E-2</v>
      </c>
      <c r="L190" s="317"/>
      <c r="M190" s="265">
        <v>4.1000000000000002E-2</v>
      </c>
      <c r="N190" s="265">
        <v>4.5999999999999999E-2</v>
      </c>
      <c r="O190" s="265">
        <v>4.5999999999999999E-2</v>
      </c>
      <c r="P190" s="265">
        <v>5.2999999999999999E-2</v>
      </c>
      <c r="Q190" s="265">
        <v>4.2999999999999997E-2</v>
      </c>
      <c r="R190" s="265">
        <v>3.7999999999999999E-2</v>
      </c>
      <c r="S190" s="265">
        <v>3.5999999999999997E-2</v>
      </c>
      <c r="T190" s="265">
        <v>0.04</v>
      </c>
      <c r="U190" s="265">
        <v>4.3999999999999997E-2</v>
      </c>
      <c r="V190" s="265">
        <v>4.2999999999999997E-2</v>
      </c>
      <c r="W190" s="265">
        <v>3.9E-2</v>
      </c>
      <c r="X190" s="265">
        <v>3.6999999999999998E-2</v>
      </c>
      <c r="Y190" s="265">
        <v>0.04</v>
      </c>
      <c r="Z190" s="265">
        <v>0.04</v>
      </c>
      <c r="AA190" s="265">
        <v>0.04</v>
      </c>
      <c r="AH190" s="259" t="s">
        <v>353</v>
      </c>
      <c r="AI190" s="318"/>
      <c r="AJ190" s="318"/>
      <c r="AK190" s="319"/>
      <c r="AL190" s="583"/>
      <c r="AM190" s="584"/>
      <c r="AN190" s="585"/>
      <c r="AO190" s="320">
        <v>43701</v>
      </c>
      <c r="AP190" s="22">
        <v>0.9</v>
      </c>
      <c r="AQ190" s="2" t="s">
        <v>110</v>
      </c>
      <c r="AR190" s="22" t="s">
        <v>355</v>
      </c>
    </row>
    <row r="191" spans="2:45" ht="9.9499999999999993" customHeight="1" x14ac:dyDescent="0.15">
      <c r="B191" s="591"/>
      <c r="C191" s="292"/>
      <c r="D191" s="591"/>
      <c r="E191" s="2" t="s">
        <v>488</v>
      </c>
      <c r="F191" s="265">
        <v>3.5999999999999997E-2</v>
      </c>
      <c r="G191" s="265">
        <v>3.3000000000000002E-2</v>
      </c>
      <c r="H191" s="265">
        <v>4.2999999999999997E-2</v>
      </c>
      <c r="I191" s="265">
        <v>4.2000000000000003E-2</v>
      </c>
      <c r="J191" s="265">
        <v>3.9E-2</v>
      </c>
      <c r="K191" s="265">
        <v>3.6999999999999998E-2</v>
      </c>
      <c r="L191" s="317"/>
      <c r="M191" s="265">
        <v>4.2999999999999997E-2</v>
      </c>
      <c r="N191" s="265">
        <v>4.2999999999999997E-2</v>
      </c>
      <c r="O191" s="265">
        <v>3.7999999999999999E-2</v>
      </c>
      <c r="P191" s="265">
        <v>5.8000000000000003E-2</v>
      </c>
      <c r="Q191" s="265">
        <v>0.04</v>
      </c>
      <c r="R191" s="265">
        <v>3.4000000000000002E-2</v>
      </c>
      <c r="S191" s="265">
        <v>3.5999999999999997E-2</v>
      </c>
      <c r="T191" s="265">
        <v>0.04</v>
      </c>
      <c r="U191" s="265">
        <v>3.6999999999999998E-2</v>
      </c>
      <c r="V191" s="265">
        <v>3.5000000000000003E-2</v>
      </c>
      <c r="W191" s="265">
        <v>3.7999999999999999E-2</v>
      </c>
      <c r="X191" s="265">
        <v>0.04</v>
      </c>
      <c r="Y191" s="265">
        <v>3.9E-2</v>
      </c>
      <c r="Z191" s="265">
        <v>3.5999999999999997E-2</v>
      </c>
      <c r="AA191" s="265">
        <v>3.7999999999999999E-2</v>
      </c>
      <c r="AH191" s="259" t="s">
        <v>357</v>
      </c>
      <c r="AI191" s="318"/>
      <c r="AJ191" s="318"/>
      <c r="AK191" s="319"/>
      <c r="AL191" s="11" t="s">
        <v>288</v>
      </c>
      <c r="AM191" s="322"/>
      <c r="AN191" s="323"/>
      <c r="AO191" s="320">
        <v>43336</v>
      </c>
      <c r="AP191" s="2" t="s">
        <v>110</v>
      </c>
      <c r="AQ191" s="2" t="s">
        <v>110</v>
      </c>
      <c r="AR191" s="2" t="s">
        <v>110</v>
      </c>
    </row>
    <row r="192" spans="2:45" ht="9.9499999999999993" customHeight="1" x14ac:dyDescent="0.15">
      <c r="B192" s="5"/>
      <c r="C192" s="292"/>
      <c r="D192" s="601"/>
      <c r="E192" s="2" t="s">
        <v>346</v>
      </c>
      <c r="F192" s="265">
        <v>4.2000000000000003E-2</v>
      </c>
      <c r="G192" s="265">
        <v>3.9E-2</v>
      </c>
      <c r="H192" s="265">
        <v>3.4000000000000002E-2</v>
      </c>
      <c r="I192" s="265">
        <v>4.3999999999999997E-2</v>
      </c>
      <c r="J192" s="265">
        <v>4.2000000000000003E-2</v>
      </c>
      <c r="K192" s="265">
        <v>3.1E-2</v>
      </c>
      <c r="L192" s="317"/>
      <c r="M192" s="265">
        <v>4.2000000000000003E-2</v>
      </c>
      <c r="N192" s="265">
        <v>4.1000000000000002E-2</v>
      </c>
      <c r="O192" s="265">
        <v>3.6999999999999998E-2</v>
      </c>
      <c r="P192" s="265">
        <v>5.7000000000000002E-2</v>
      </c>
      <c r="Q192" s="265">
        <v>3.1E-2</v>
      </c>
      <c r="R192" s="265">
        <v>3.4000000000000002E-2</v>
      </c>
      <c r="S192" s="265">
        <v>3.4000000000000002E-2</v>
      </c>
      <c r="T192" s="265">
        <v>4.1000000000000002E-2</v>
      </c>
      <c r="U192" s="265">
        <v>3.5999999999999997E-2</v>
      </c>
      <c r="V192" s="265">
        <v>3.9E-2</v>
      </c>
      <c r="W192" s="265">
        <v>4.1000000000000002E-2</v>
      </c>
      <c r="X192" s="265">
        <v>3.1E-2</v>
      </c>
      <c r="Y192" s="265">
        <v>3.5999999999999997E-2</v>
      </c>
      <c r="Z192" s="265">
        <v>4.1000000000000002E-2</v>
      </c>
      <c r="AA192" s="265">
        <v>3.5999999999999997E-2</v>
      </c>
      <c r="AH192" s="344" t="s">
        <v>360</v>
      </c>
      <c r="AI192" s="324"/>
      <c r="AJ192" s="324"/>
      <c r="AK192" s="324"/>
      <c r="AL192" s="324"/>
      <c r="AM192" s="325"/>
    </row>
    <row r="193" spans="2:42" ht="9.9499999999999993" customHeight="1" x14ac:dyDescent="0.15">
      <c r="B193" s="5"/>
      <c r="C193" s="292"/>
      <c r="D193" s="3" t="s">
        <v>349</v>
      </c>
      <c r="E193" s="2" t="s">
        <v>350</v>
      </c>
      <c r="F193" s="265">
        <v>4.2000000000000003E-2</v>
      </c>
      <c r="G193" s="265">
        <v>3.7999999999999999E-2</v>
      </c>
      <c r="H193" s="265">
        <v>0.04</v>
      </c>
      <c r="I193" s="265">
        <v>4.5999999999999999E-2</v>
      </c>
      <c r="J193" s="265">
        <v>4.2999999999999997E-2</v>
      </c>
      <c r="K193" s="265">
        <v>4.2999999999999997E-2</v>
      </c>
      <c r="L193" s="317"/>
      <c r="M193" s="265">
        <v>4.2000000000000003E-2</v>
      </c>
      <c r="N193" s="265">
        <v>4.5999999999999999E-2</v>
      </c>
      <c r="O193" s="265">
        <v>0.04</v>
      </c>
      <c r="P193" s="265">
        <v>5.5E-2</v>
      </c>
      <c r="Q193" s="265">
        <v>3.5000000000000003E-2</v>
      </c>
      <c r="R193" s="265">
        <v>4.4999999999999998E-2</v>
      </c>
      <c r="S193" s="265">
        <v>3.6999999999999998E-2</v>
      </c>
      <c r="T193" s="265">
        <v>4.2000000000000003E-2</v>
      </c>
      <c r="U193" s="265">
        <v>4.2000000000000003E-2</v>
      </c>
      <c r="V193" s="265">
        <v>4.2999999999999997E-2</v>
      </c>
      <c r="W193" s="265">
        <v>4.4999999999999998E-2</v>
      </c>
      <c r="X193" s="265">
        <v>4.2000000000000003E-2</v>
      </c>
      <c r="Y193" s="265">
        <v>4.1000000000000002E-2</v>
      </c>
      <c r="Z193" s="265">
        <v>3.4000000000000002E-2</v>
      </c>
      <c r="AA193" s="265">
        <v>3.9E-2</v>
      </c>
      <c r="AH193" s="93" t="s">
        <v>366</v>
      </c>
    </row>
    <row r="194" spans="2:42" ht="9.9499999999999993" customHeight="1" x14ac:dyDescent="0.15">
      <c r="B194" s="7"/>
      <c r="C194" s="301"/>
      <c r="D194" s="7"/>
      <c r="E194" s="299" t="s">
        <v>490</v>
      </c>
      <c r="F194" s="265">
        <v>4.4999999999999998E-2</v>
      </c>
      <c r="G194" s="265">
        <v>4.2999999999999997E-2</v>
      </c>
      <c r="H194" s="265">
        <v>4.9000000000000002E-2</v>
      </c>
      <c r="I194" s="265">
        <v>4.2999999999999997E-2</v>
      </c>
      <c r="J194" s="265">
        <v>4.5999999999999999E-2</v>
      </c>
      <c r="K194" s="265">
        <v>3.5999999999999997E-2</v>
      </c>
      <c r="L194" s="317"/>
      <c r="M194" s="265">
        <v>4.2999999999999997E-2</v>
      </c>
      <c r="N194" s="265">
        <v>5.8000000000000003E-2</v>
      </c>
      <c r="O194" s="265">
        <v>4.4999999999999998E-2</v>
      </c>
      <c r="P194" s="265">
        <v>5.5E-2</v>
      </c>
      <c r="Q194" s="265">
        <v>4.2999999999999997E-2</v>
      </c>
      <c r="R194" s="265">
        <v>4.2000000000000003E-2</v>
      </c>
      <c r="S194" s="265">
        <v>4.5999999999999999E-2</v>
      </c>
      <c r="T194" s="265">
        <v>3.9E-2</v>
      </c>
      <c r="U194" s="265">
        <v>4.7E-2</v>
      </c>
      <c r="V194" s="265">
        <v>3.6999999999999998E-2</v>
      </c>
      <c r="W194" s="265">
        <v>5.0999999999999997E-2</v>
      </c>
      <c r="X194" s="265">
        <v>4.8000000000000001E-2</v>
      </c>
      <c r="Y194" s="265">
        <v>3.9E-2</v>
      </c>
      <c r="Z194" s="265">
        <v>4.2999999999999997E-2</v>
      </c>
      <c r="AA194" s="265">
        <v>4.2999999999999997E-2</v>
      </c>
      <c r="AH194" s="93" t="s">
        <v>529</v>
      </c>
    </row>
    <row r="195" spans="2:42" ht="9.9499999999999993" customHeight="1" x14ac:dyDescent="0.15">
      <c r="B195" s="288" t="s">
        <v>356</v>
      </c>
      <c r="C195" s="260"/>
      <c r="D195" s="260"/>
      <c r="E195" s="260"/>
      <c r="F195" s="260"/>
      <c r="G195" s="260"/>
      <c r="H195" s="260"/>
      <c r="I195" s="260"/>
      <c r="J195" s="260"/>
      <c r="K195" s="260"/>
      <c r="L195" s="260"/>
      <c r="M195" s="260"/>
      <c r="N195" s="260"/>
      <c r="O195" s="260"/>
      <c r="P195" s="260"/>
      <c r="Q195" s="260"/>
      <c r="R195" s="260"/>
      <c r="S195" s="260"/>
      <c r="T195" s="260"/>
      <c r="U195" s="260"/>
      <c r="V195" s="260"/>
      <c r="W195" s="260"/>
      <c r="X195" s="260"/>
      <c r="Y195" s="260"/>
      <c r="Z195" s="260"/>
      <c r="AA195" s="289"/>
      <c r="AH195" s="93" t="s">
        <v>361</v>
      </c>
    </row>
    <row r="196" spans="2:42" ht="9.9499999999999993" customHeight="1" x14ac:dyDescent="0.15">
      <c r="B196" s="16"/>
      <c r="C196" s="3" t="s">
        <v>271</v>
      </c>
      <c r="D196" s="607" t="s">
        <v>492</v>
      </c>
      <c r="E196" s="3" t="s">
        <v>359</v>
      </c>
      <c r="F196" s="346">
        <v>43238</v>
      </c>
      <c r="G196" s="346">
        <v>43332</v>
      </c>
      <c r="H196" s="346">
        <v>43333</v>
      </c>
      <c r="I196" s="346">
        <v>43334</v>
      </c>
      <c r="J196" s="346">
        <v>43335</v>
      </c>
      <c r="K196" s="346">
        <v>43336</v>
      </c>
      <c r="L196" s="346">
        <v>43337</v>
      </c>
      <c r="M196" s="346">
        <v>43339</v>
      </c>
      <c r="N196" s="346">
        <v>43340</v>
      </c>
      <c r="O196" s="346">
        <v>43341</v>
      </c>
      <c r="P196" s="346">
        <v>43342</v>
      </c>
      <c r="Q196" s="346">
        <v>43343</v>
      </c>
      <c r="R196" s="346">
        <v>43346</v>
      </c>
      <c r="S196" s="346">
        <v>43347</v>
      </c>
      <c r="T196" s="346">
        <v>43348</v>
      </c>
      <c r="U196" s="346">
        <v>43349</v>
      </c>
      <c r="V196" s="346">
        <v>43350</v>
      </c>
      <c r="W196" s="346">
        <v>43353</v>
      </c>
      <c r="X196" s="346">
        <v>43354</v>
      </c>
      <c r="Y196" s="346">
        <v>43355</v>
      </c>
      <c r="Z196" s="346">
        <v>43356</v>
      </c>
      <c r="AA196" s="346">
        <v>43357</v>
      </c>
    </row>
    <row r="197" spans="2:42" ht="9.9499999999999993" customHeight="1" x14ac:dyDescent="0.15">
      <c r="B197" s="7"/>
      <c r="C197" s="7"/>
      <c r="D197" s="608"/>
      <c r="E197" s="7"/>
      <c r="F197" s="293" t="s">
        <v>280</v>
      </c>
      <c r="G197" s="293" t="s">
        <v>276</v>
      </c>
      <c r="H197" s="293" t="s">
        <v>277</v>
      </c>
      <c r="I197" s="293" t="s">
        <v>278</v>
      </c>
      <c r="J197" s="293" t="s">
        <v>279</v>
      </c>
      <c r="K197" s="293" t="s">
        <v>280</v>
      </c>
      <c r="L197" s="293" t="s">
        <v>281</v>
      </c>
      <c r="M197" s="293" t="s">
        <v>276</v>
      </c>
      <c r="N197" s="293" t="s">
        <v>277</v>
      </c>
      <c r="O197" s="293" t="s">
        <v>278</v>
      </c>
      <c r="P197" s="293" t="s">
        <v>279</v>
      </c>
      <c r="Q197" s="293" t="s">
        <v>280</v>
      </c>
      <c r="R197" s="293" t="s">
        <v>276</v>
      </c>
      <c r="S197" s="293" t="s">
        <v>277</v>
      </c>
      <c r="T197" s="293" t="s">
        <v>278</v>
      </c>
      <c r="U197" s="293" t="s">
        <v>279</v>
      </c>
      <c r="V197" s="293" t="s">
        <v>280</v>
      </c>
      <c r="W197" s="293" t="s">
        <v>276</v>
      </c>
      <c r="X197" s="293" t="s">
        <v>277</v>
      </c>
      <c r="Y197" s="293" t="s">
        <v>278</v>
      </c>
      <c r="Z197" s="293" t="s">
        <v>279</v>
      </c>
      <c r="AA197" s="293" t="s">
        <v>280</v>
      </c>
      <c r="AP197" s="22" t="s">
        <v>494</v>
      </c>
    </row>
    <row r="198" spans="2:42" ht="9.9499999999999993" customHeight="1" x14ac:dyDescent="0.15">
      <c r="B198" s="590" t="s">
        <v>269</v>
      </c>
      <c r="C198" s="290">
        <v>0.23</v>
      </c>
      <c r="D198" s="592" t="s">
        <v>465</v>
      </c>
      <c r="E198" s="2" t="s">
        <v>493</v>
      </c>
      <c r="F198" s="265">
        <v>4.2000000000000003E-2</v>
      </c>
      <c r="G198" s="265">
        <v>4.8000000000000001E-2</v>
      </c>
      <c r="H198" s="265">
        <v>0.06</v>
      </c>
      <c r="I198" s="265">
        <v>4.8000000000000001E-2</v>
      </c>
      <c r="J198" s="265">
        <v>4.2000000000000003E-2</v>
      </c>
      <c r="K198" s="265">
        <v>5.3999999999999999E-2</v>
      </c>
      <c r="L198" s="265">
        <v>4.8000000000000001E-2</v>
      </c>
      <c r="M198" s="265">
        <v>3.5999999999999997E-2</v>
      </c>
      <c r="N198" s="265">
        <v>5.3999999999999999E-2</v>
      </c>
      <c r="O198" s="265">
        <v>3.5999999999999997E-2</v>
      </c>
      <c r="P198" s="265">
        <v>5.3999999999999999E-2</v>
      </c>
      <c r="Q198" s="265">
        <v>6.6000000000000003E-2</v>
      </c>
      <c r="R198" s="265">
        <v>4.2000000000000003E-2</v>
      </c>
      <c r="S198" s="265">
        <v>4.8000000000000001E-2</v>
      </c>
      <c r="T198" s="265">
        <v>3.5999999999999997E-2</v>
      </c>
      <c r="U198" s="265">
        <v>5.3999999999999999E-2</v>
      </c>
      <c r="V198" s="265">
        <v>5.3999999999999999E-2</v>
      </c>
      <c r="W198" s="265">
        <v>0.06</v>
      </c>
      <c r="X198" s="265">
        <v>5.3999999999999999E-2</v>
      </c>
      <c r="Y198" s="265">
        <v>5.3999999999999999E-2</v>
      </c>
      <c r="Z198" s="265">
        <v>4.2000000000000003E-2</v>
      </c>
      <c r="AA198" s="265">
        <v>5.3999999999999999E-2</v>
      </c>
    </row>
    <row r="199" spans="2:42" ht="9.9499999999999993" customHeight="1" x14ac:dyDescent="0.15">
      <c r="B199" s="591"/>
      <c r="C199" s="292"/>
      <c r="D199" s="593"/>
      <c r="E199" s="2" t="s">
        <v>365</v>
      </c>
      <c r="F199" s="265">
        <v>4.7E-2</v>
      </c>
      <c r="G199" s="265">
        <v>3.4000000000000002E-2</v>
      </c>
      <c r="H199" s="265">
        <v>3.6999999999999998E-2</v>
      </c>
      <c r="I199" s="265">
        <v>3.5999999999999997E-2</v>
      </c>
      <c r="J199" s="265">
        <v>3.6999999999999998E-2</v>
      </c>
      <c r="K199" s="265">
        <v>3.6999999999999998E-2</v>
      </c>
      <c r="L199" s="317"/>
      <c r="M199" s="265">
        <v>3.2000000000000001E-2</v>
      </c>
      <c r="N199" s="265">
        <v>0.04</v>
      </c>
      <c r="O199" s="265">
        <v>4.1000000000000002E-2</v>
      </c>
      <c r="P199" s="265">
        <v>3.5000000000000003E-2</v>
      </c>
      <c r="Q199" s="265">
        <v>4.8000000000000001E-2</v>
      </c>
      <c r="R199" s="265">
        <v>2.8000000000000001E-2</v>
      </c>
      <c r="S199" s="265">
        <v>3.7999999999999999E-2</v>
      </c>
      <c r="T199" s="265">
        <v>3.6999999999999998E-2</v>
      </c>
      <c r="U199" s="265">
        <v>2.9000000000000001E-2</v>
      </c>
      <c r="V199" s="265">
        <v>0.04</v>
      </c>
      <c r="W199" s="265">
        <v>3.9E-2</v>
      </c>
      <c r="X199" s="265">
        <v>3.5999999999999997E-2</v>
      </c>
      <c r="Y199" s="265">
        <v>3.9E-2</v>
      </c>
      <c r="Z199" s="265">
        <v>3.1E-2</v>
      </c>
      <c r="AA199" s="265">
        <v>3.2000000000000001E-2</v>
      </c>
    </row>
    <row r="200" spans="2:42" ht="9.9499999999999993" customHeight="1" x14ac:dyDescent="0.15">
      <c r="B200" s="591"/>
      <c r="C200" s="292"/>
      <c r="D200" s="593"/>
      <c r="E200" s="2" t="s">
        <v>367</v>
      </c>
      <c r="F200" s="265">
        <v>5.5E-2</v>
      </c>
      <c r="G200" s="265">
        <v>4.3999999999999997E-2</v>
      </c>
      <c r="H200" s="265">
        <v>4.7E-2</v>
      </c>
      <c r="I200" s="265">
        <v>5.3999999999999999E-2</v>
      </c>
      <c r="J200" s="265">
        <v>4.8000000000000001E-2</v>
      </c>
      <c r="K200" s="265">
        <v>5.0999999999999997E-2</v>
      </c>
      <c r="L200" s="317"/>
      <c r="M200" s="265">
        <v>4.4999999999999998E-2</v>
      </c>
      <c r="N200" s="265">
        <v>6.2E-2</v>
      </c>
      <c r="O200" s="265">
        <v>5.7000000000000002E-2</v>
      </c>
      <c r="P200" s="265">
        <v>5.0999999999999997E-2</v>
      </c>
      <c r="Q200" s="265">
        <v>5.7000000000000002E-2</v>
      </c>
      <c r="R200" s="265">
        <v>4.7E-2</v>
      </c>
      <c r="S200" s="265">
        <v>4.8000000000000001E-2</v>
      </c>
      <c r="T200" s="265">
        <v>4.8000000000000001E-2</v>
      </c>
      <c r="U200" s="265">
        <v>4.5999999999999999E-2</v>
      </c>
      <c r="V200" s="265">
        <v>4.3999999999999997E-2</v>
      </c>
      <c r="W200" s="265">
        <v>4.7E-2</v>
      </c>
      <c r="X200" s="265">
        <v>4.2999999999999997E-2</v>
      </c>
      <c r="Y200" s="265">
        <v>4.5999999999999999E-2</v>
      </c>
      <c r="Z200" s="265">
        <v>4.4999999999999998E-2</v>
      </c>
      <c r="AA200" s="265">
        <v>4.8000000000000001E-2</v>
      </c>
    </row>
    <row r="201" spans="2:42" ht="9.9499999999999993" customHeight="1" x14ac:dyDescent="0.15">
      <c r="B201" s="5"/>
      <c r="C201" s="292"/>
      <c r="D201" s="593"/>
      <c r="E201" s="2" t="s">
        <v>495</v>
      </c>
      <c r="F201" s="265">
        <v>4.5999999999999999E-2</v>
      </c>
      <c r="G201" s="265">
        <v>4.2999999999999997E-2</v>
      </c>
      <c r="H201" s="265">
        <v>4.1000000000000002E-2</v>
      </c>
      <c r="I201" s="265">
        <v>4.7E-2</v>
      </c>
      <c r="J201" s="265">
        <v>4.8000000000000001E-2</v>
      </c>
      <c r="K201" s="265">
        <v>4.4999999999999998E-2</v>
      </c>
      <c r="L201" s="317"/>
      <c r="M201" s="265">
        <v>4.3999999999999997E-2</v>
      </c>
      <c r="N201" s="265">
        <v>5.2999999999999999E-2</v>
      </c>
      <c r="O201" s="265">
        <v>4.7E-2</v>
      </c>
      <c r="P201" s="265">
        <v>0.04</v>
      </c>
      <c r="Q201" s="265">
        <v>5.8999999999999997E-2</v>
      </c>
      <c r="R201" s="265">
        <v>0.04</v>
      </c>
      <c r="S201" s="265">
        <v>4.3999999999999997E-2</v>
      </c>
      <c r="T201" s="265">
        <v>0.04</v>
      </c>
      <c r="U201" s="265">
        <v>4.5999999999999999E-2</v>
      </c>
      <c r="V201" s="265">
        <v>4.8000000000000001E-2</v>
      </c>
      <c r="W201" s="265">
        <v>0.05</v>
      </c>
      <c r="X201" s="265">
        <v>4.2999999999999997E-2</v>
      </c>
      <c r="Y201" s="265">
        <v>4.5999999999999999E-2</v>
      </c>
      <c r="Z201" s="265">
        <v>4.4999999999999998E-2</v>
      </c>
      <c r="AA201" s="265">
        <v>4.5999999999999999E-2</v>
      </c>
    </row>
    <row r="202" spans="2:42" ht="9.9499999999999993" customHeight="1" x14ac:dyDescent="0.15">
      <c r="B202" s="5"/>
      <c r="C202" s="292"/>
      <c r="D202" s="628"/>
      <c r="E202" s="2" t="s">
        <v>297</v>
      </c>
      <c r="F202" s="265">
        <v>5.2999999999999999E-2</v>
      </c>
      <c r="G202" s="265">
        <v>4.2999999999999997E-2</v>
      </c>
      <c r="H202" s="265">
        <v>4.2999999999999997E-2</v>
      </c>
      <c r="I202" s="265">
        <v>4.2000000000000003E-2</v>
      </c>
      <c r="J202" s="265">
        <v>4.3999999999999997E-2</v>
      </c>
      <c r="K202" s="265">
        <v>3.7999999999999999E-2</v>
      </c>
      <c r="L202" s="317"/>
      <c r="M202" s="265">
        <v>3.5999999999999997E-2</v>
      </c>
      <c r="N202" s="265">
        <v>5.0999999999999997E-2</v>
      </c>
      <c r="O202" s="265">
        <v>4.8000000000000001E-2</v>
      </c>
      <c r="P202" s="265">
        <v>4.2000000000000003E-2</v>
      </c>
      <c r="Q202" s="265">
        <v>4.7E-2</v>
      </c>
      <c r="R202" s="265">
        <v>0.04</v>
      </c>
      <c r="S202" s="265">
        <v>3.5999999999999997E-2</v>
      </c>
      <c r="T202" s="265">
        <v>4.3999999999999997E-2</v>
      </c>
      <c r="U202" s="265">
        <v>3.7999999999999999E-2</v>
      </c>
      <c r="V202" s="265">
        <v>4.5999999999999999E-2</v>
      </c>
      <c r="W202" s="265">
        <v>0.04</v>
      </c>
      <c r="X202" s="265">
        <v>0.04</v>
      </c>
      <c r="Y202" s="265">
        <v>3.6999999999999998E-2</v>
      </c>
      <c r="Z202" s="265">
        <v>3.5999999999999997E-2</v>
      </c>
      <c r="AA202" s="265">
        <v>4.2000000000000003E-2</v>
      </c>
    </row>
    <row r="203" spans="2:42" ht="9.9499999999999993" customHeight="1" x14ac:dyDescent="0.15">
      <c r="B203" s="5"/>
      <c r="C203" s="292"/>
      <c r="D203" s="5"/>
      <c r="E203" s="2" t="s">
        <v>370</v>
      </c>
      <c r="F203" s="265">
        <v>5.1999999999999998E-2</v>
      </c>
      <c r="G203" s="265">
        <v>5.2999999999999999E-2</v>
      </c>
      <c r="H203" s="265">
        <v>4.8000000000000001E-2</v>
      </c>
      <c r="I203" s="265">
        <v>0.05</v>
      </c>
      <c r="J203" s="265">
        <v>4.8000000000000001E-2</v>
      </c>
      <c r="K203" s="265">
        <v>4.8000000000000001E-2</v>
      </c>
      <c r="L203" s="317"/>
      <c r="M203" s="265">
        <v>4.5999999999999999E-2</v>
      </c>
      <c r="N203" s="265">
        <v>5.7000000000000002E-2</v>
      </c>
      <c r="O203" s="265">
        <v>5.5E-2</v>
      </c>
      <c r="P203" s="265">
        <v>4.7E-2</v>
      </c>
      <c r="Q203" s="265">
        <v>5.8999999999999997E-2</v>
      </c>
      <c r="R203" s="265">
        <v>4.5999999999999999E-2</v>
      </c>
      <c r="S203" s="265">
        <v>4.5999999999999999E-2</v>
      </c>
      <c r="T203" s="265">
        <v>4.3999999999999997E-2</v>
      </c>
      <c r="U203" s="265">
        <v>4.2999999999999997E-2</v>
      </c>
      <c r="V203" s="265">
        <v>5.0999999999999997E-2</v>
      </c>
      <c r="W203" s="265">
        <v>5.3999999999999999E-2</v>
      </c>
      <c r="X203" s="265">
        <v>4.2000000000000003E-2</v>
      </c>
      <c r="Y203" s="265">
        <v>4.4999999999999998E-2</v>
      </c>
      <c r="Z203" s="265">
        <v>4.7E-2</v>
      </c>
      <c r="AA203" s="265">
        <v>0.05</v>
      </c>
    </row>
    <row r="204" spans="2:42" ht="9.9499999999999993" customHeight="1" x14ac:dyDescent="0.15">
      <c r="B204" s="7"/>
      <c r="C204" s="301"/>
      <c r="D204" s="7"/>
      <c r="E204" s="2" t="s">
        <v>371</v>
      </c>
      <c r="F204" s="265">
        <v>4.8000000000000001E-2</v>
      </c>
      <c r="G204" s="265">
        <v>3.5000000000000003E-2</v>
      </c>
      <c r="H204" s="265">
        <v>3.5000000000000003E-2</v>
      </c>
      <c r="I204" s="265">
        <v>4.2999999999999997E-2</v>
      </c>
      <c r="J204" s="265">
        <v>0.04</v>
      </c>
      <c r="K204" s="265">
        <v>3.9E-2</v>
      </c>
      <c r="L204" s="317"/>
      <c r="M204" s="265">
        <v>3.6999999999999998E-2</v>
      </c>
      <c r="N204" s="265">
        <v>4.9000000000000002E-2</v>
      </c>
      <c r="O204" s="265">
        <v>4.3999999999999997E-2</v>
      </c>
      <c r="P204" s="265">
        <v>3.4000000000000002E-2</v>
      </c>
      <c r="Q204" s="265">
        <v>4.5999999999999999E-2</v>
      </c>
      <c r="R204" s="265">
        <v>3.3000000000000002E-2</v>
      </c>
      <c r="S204" s="265">
        <v>3.3000000000000002E-2</v>
      </c>
      <c r="T204" s="265">
        <v>3.6999999999999998E-2</v>
      </c>
      <c r="U204" s="265">
        <v>3.5999999999999997E-2</v>
      </c>
      <c r="V204" s="265">
        <v>3.9E-2</v>
      </c>
      <c r="W204" s="265">
        <v>3.6999999999999998E-2</v>
      </c>
      <c r="X204" s="265">
        <v>0.03</v>
      </c>
      <c r="Y204" s="265">
        <v>3.3000000000000002E-2</v>
      </c>
      <c r="Z204" s="265">
        <v>3.2000000000000001E-2</v>
      </c>
      <c r="AA204" s="265">
        <v>3.2000000000000001E-2</v>
      </c>
    </row>
    <row r="205" spans="2:42" ht="9.9499999999999993" customHeight="1" x14ac:dyDescent="0.15">
      <c r="B205" s="600" t="s">
        <v>372</v>
      </c>
      <c r="C205" s="610" t="s">
        <v>496</v>
      </c>
      <c r="D205" s="592" t="s">
        <v>497</v>
      </c>
      <c r="E205" s="326"/>
      <c r="F205" s="260"/>
      <c r="G205" s="260"/>
      <c r="H205" s="261"/>
      <c r="I205" s="321" t="s">
        <v>498</v>
      </c>
      <c r="J205" s="348">
        <v>43305</v>
      </c>
      <c r="K205" s="348">
        <v>43348</v>
      </c>
      <c r="L205" s="22" t="s">
        <v>345</v>
      </c>
      <c r="M205" s="280"/>
      <c r="N205" s="280"/>
      <c r="O205" s="280"/>
      <c r="P205" s="280"/>
      <c r="Q205" s="280"/>
      <c r="R205" s="280"/>
      <c r="S205" s="280"/>
      <c r="T205" s="280"/>
      <c r="U205" s="280"/>
      <c r="V205" s="280"/>
      <c r="W205" s="280"/>
      <c r="X205" s="280"/>
      <c r="Y205" s="280"/>
      <c r="Z205" s="280"/>
      <c r="AA205" s="349"/>
    </row>
    <row r="206" spans="2:42" ht="9.9499999999999993" customHeight="1" x14ac:dyDescent="0.15">
      <c r="B206" s="609"/>
      <c r="C206" s="611"/>
      <c r="D206" s="593"/>
      <c r="E206" s="329" t="s">
        <v>347</v>
      </c>
      <c r="F206" s="260"/>
      <c r="G206" s="260"/>
      <c r="H206" s="261"/>
      <c r="I206" s="22" t="s">
        <v>110</v>
      </c>
      <c r="J206" s="22" t="s">
        <v>110</v>
      </c>
      <c r="K206" s="22" t="s">
        <v>110</v>
      </c>
      <c r="L206" s="22" t="s">
        <v>110</v>
      </c>
      <c r="N206" s="15" t="s">
        <v>348</v>
      </c>
      <c r="O206" s="15"/>
      <c r="P206" s="15"/>
      <c r="Q206" s="15"/>
      <c r="R206" s="15"/>
      <c r="S206" s="15"/>
      <c r="T206" s="15"/>
      <c r="U206" s="15"/>
      <c r="V206" s="15"/>
      <c r="W206" s="15"/>
      <c r="X206" s="15"/>
      <c r="Y206" s="15"/>
      <c r="Z206" s="15"/>
      <c r="AA206" s="279"/>
    </row>
    <row r="207" spans="2:42" ht="9.9499999999999993" customHeight="1" x14ac:dyDescent="0.15">
      <c r="B207" s="609"/>
      <c r="C207" s="611"/>
      <c r="D207" s="593"/>
      <c r="E207" s="329" t="s">
        <v>376</v>
      </c>
      <c r="F207" s="260"/>
      <c r="G207" s="260"/>
      <c r="H207" s="261"/>
      <c r="I207" s="22" t="s">
        <v>110</v>
      </c>
      <c r="J207" s="22" t="s">
        <v>110</v>
      </c>
      <c r="K207" s="22" t="s">
        <v>110</v>
      </c>
      <c r="L207" s="22" t="s">
        <v>110</v>
      </c>
      <c r="N207" s="1" t="s">
        <v>377</v>
      </c>
      <c r="O207" s="15"/>
      <c r="P207" s="15"/>
      <c r="Q207" s="15"/>
      <c r="R207" s="15"/>
      <c r="S207" s="15"/>
      <c r="T207" s="15"/>
      <c r="U207" s="15"/>
      <c r="V207" s="15"/>
      <c r="W207" s="15"/>
      <c r="X207" s="15"/>
      <c r="Y207" s="15"/>
      <c r="Z207" s="15"/>
      <c r="AA207" s="279"/>
    </row>
    <row r="208" spans="2:42" ht="9.9499999999999993" customHeight="1" x14ac:dyDescent="0.15">
      <c r="B208" s="268"/>
      <c r="C208" s="611"/>
      <c r="D208" s="593"/>
      <c r="E208" s="329" t="s">
        <v>353</v>
      </c>
      <c r="F208" s="260"/>
      <c r="G208" s="260"/>
      <c r="H208" s="261"/>
      <c r="I208" s="22" t="s">
        <v>110</v>
      </c>
      <c r="J208" s="350">
        <v>0.9</v>
      </c>
      <c r="K208" s="350">
        <v>1</v>
      </c>
      <c r="L208" s="22" t="s">
        <v>355</v>
      </c>
      <c r="M208" s="8"/>
      <c r="N208" s="8"/>
      <c r="O208" s="8"/>
      <c r="P208" s="15"/>
      <c r="Q208" s="15"/>
      <c r="R208" s="15"/>
      <c r="S208" s="15"/>
      <c r="T208" s="15"/>
      <c r="U208" s="15"/>
      <c r="V208" s="15"/>
      <c r="W208" s="15"/>
      <c r="X208" s="15"/>
      <c r="Y208" s="15"/>
      <c r="Z208" s="15"/>
      <c r="AA208" s="279"/>
    </row>
    <row r="209" spans="1:50" ht="9.9499999999999993" customHeight="1" x14ac:dyDescent="0.15">
      <c r="B209" s="331"/>
      <c r="C209" s="612"/>
      <c r="D209" s="7"/>
      <c r="E209" s="329" t="s">
        <v>357</v>
      </c>
      <c r="F209" s="260"/>
      <c r="G209" s="260"/>
      <c r="H209" s="261"/>
      <c r="I209" s="22" t="s">
        <v>110</v>
      </c>
      <c r="J209" s="22" t="s">
        <v>110</v>
      </c>
      <c r="K209" s="22" t="s">
        <v>110</v>
      </c>
      <c r="L209" s="22" t="s">
        <v>110</v>
      </c>
      <c r="M209" s="8"/>
      <c r="N209" s="8"/>
      <c r="O209" s="8"/>
      <c r="P209" s="285"/>
      <c r="Q209" s="285"/>
      <c r="R209" s="285"/>
      <c r="S209" s="15"/>
      <c r="T209" s="15"/>
      <c r="U209" s="15"/>
      <c r="V209" s="15"/>
      <c r="W209" s="15"/>
      <c r="X209" s="15"/>
      <c r="Y209" s="15"/>
      <c r="Z209" s="15"/>
      <c r="AA209" s="279"/>
    </row>
    <row r="210" spans="1:50" ht="9.9499999999999993" customHeight="1" x14ac:dyDescent="0.15">
      <c r="B210" s="8"/>
      <c r="C210" s="8"/>
      <c r="D210" s="8"/>
      <c r="E210" s="273"/>
      <c r="F210" s="8"/>
      <c r="G210" s="8"/>
      <c r="H210" s="8"/>
      <c r="I210" s="273"/>
      <c r="J210" s="273"/>
      <c r="K210" s="273"/>
      <c r="L210" s="8"/>
      <c r="M210" s="8"/>
      <c r="N210" s="8"/>
      <c r="O210" s="8"/>
      <c r="P210" s="8"/>
      <c r="Q210" s="8"/>
      <c r="R210" s="8"/>
      <c r="S210" s="15"/>
      <c r="T210" s="15"/>
      <c r="U210" s="15"/>
      <c r="V210" s="15"/>
      <c r="W210" s="15"/>
      <c r="X210" s="15"/>
      <c r="Y210" s="15"/>
      <c r="Z210" s="15"/>
      <c r="AA210" s="279"/>
    </row>
    <row r="211" spans="1:50" ht="9.9499999999999993" customHeight="1" x14ac:dyDescent="0.15">
      <c r="A211" s="257"/>
      <c r="B211" s="258" t="s">
        <v>530</v>
      </c>
      <c r="C211" s="258"/>
      <c r="D211" s="258"/>
      <c r="E211" s="258"/>
      <c r="F211" s="258"/>
      <c r="G211" s="258"/>
      <c r="H211" s="258"/>
      <c r="I211" s="258"/>
      <c r="J211" s="258"/>
      <c r="K211" s="258"/>
      <c r="L211" s="258"/>
      <c r="M211" s="258"/>
      <c r="N211" s="258" t="s">
        <v>531</v>
      </c>
      <c r="O211" s="258"/>
      <c r="P211" s="258"/>
      <c r="Q211" s="258"/>
      <c r="R211" s="258"/>
      <c r="S211" s="258"/>
      <c r="T211" s="258"/>
      <c r="U211" s="258"/>
      <c r="V211" s="258"/>
      <c r="W211" s="8"/>
      <c r="X211" s="8"/>
      <c r="Y211" s="8"/>
      <c r="Z211" s="8"/>
      <c r="AA211" s="8"/>
      <c r="AH211" s="1" t="s">
        <v>532</v>
      </c>
    </row>
    <row r="212" spans="1:50" ht="9.9499999999999993" customHeight="1" x14ac:dyDescent="0.15">
      <c r="A212" s="257"/>
      <c r="B212" s="273" t="s">
        <v>451</v>
      </c>
      <c r="C212" s="8"/>
      <c r="D212" s="8"/>
      <c r="E212" s="8"/>
      <c r="F212" s="8"/>
      <c r="G212" s="9"/>
      <c r="H212" s="9"/>
      <c r="I212" s="9"/>
      <c r="J212" s="9"/>
      <c r="K212" s="9"/>
      <c r="L212" s="8"/>
      <c r="M212" s="8" t="s">
        <v>533</v>
      </c>
      <c r="N212" s="8"/>
      <c r="O212" s="8"/>
      <c r="P212" s="8"/>
      <c r="Q212" s="8"/>
      <c r="R212" s="8"/>
      <c r="S212" s="8"/>
      <c r="T212" s="8"/>
      <c r="U212" s="8"/>
      <c r="V212" s="8"/>
      <c r="W212" s="8"/>
      <c r="X212" s="8"/>
      <c r="Y212" s="8"/>
      <c r="Z212" s="8"/>
      <c r="AA212" s="8"/>
      <c r="AB212" s="8"/>
      <c r="AC212" s="8"/>
      <c r="AD212" s="8"/>
      <c r="AE212" s="8"/>
      <c r="AF212" s="257"/>
      <c r="AH212" s="273"/>
      <c r="AI212" s="8"/>
      <c r="AJ212" s="8"/>
      <c r="AK212" s="8"/>
      <c r="AL212" s="8"/>
      <c r="AM212" s="8"/>
      <c r="AN212" s="8"/>
      <c r="AO212" s="8"/>
      <c r="AP212" s="8"/>
      <c r="AQ212" s="8"/>
      <c r="AR212" s="8"/>
      <c r="AS212" s="8"/>
      <c r="AT212" s="8"/>
      <c r="AU212" s="257"/>
      <c r="AV212" s="257"/>
      <c r="AW212" s="257"/>
      <c r="AX212" s="257"/>
    </row>
    <row r="213" spans="1:50" ht="9.9499999999999993" customHeight="1" x14ac:dyDescent="0.15">
      <c r="A213" s="257"/>
      <c r="B213" s="3" t="s">
        <v>534</v>
      </c>
      <c r="C213" s="3" t="s">
        <v>260</v>
      </c>
      <c r="D213" s="3" t="s">
        <v>233</v>
      </c>
      <c r="E213" s="3" t="s">
        <v>261</v>
      </c>
      <c r="F213" s="3" t="s">
        <v>235</v>
      </c>
      <c r="G213" s="259" t="s">
        <v>535</v>
      </c>
      <c r="H213" s="260"/>
      <c r="I213" s="260"/>
      <c r="J213" s="260"/>
      <c r="K213" s="260"/>
      <c r="L213" s="262"/>
      <c r="M213" s="3" t="s">
        <v>237</v>
      </c>
      <c r="N213" s="346">
        <v>43360</v>
      </c>
      <c r="O213" s="346">
        <v>43361</v>
      </c>
      <c r="P213" s="346">
        <v>43362</v>
      </c>
      <c r="Q213" s="346">
        <v>43363</v>
      </c>
      <c r="R213" s="346">
        <v>43364</v>
      </c>
      <c r="S213" s="15"/>
      <c r="T213" s="15"/>
      <c r="U213" s="15"/>
      <c r="V213" s="15"/>
      <c r="W213" s="15"/>
      <c r="X213" s="15"/>
      <c r="Y213" s="15"/>
      <c r="Z213" s="15"/>
      <c r="AA213" s="279"/>
      <c r="AH213" s="257" t="s">
        <v>455</v>
      </c>
      <c r="AI213" s="257"/>
      <c r="AJ213" s="257"/>
      <c r="AK213" s="257"/>
      <c r="AL213" s="257"/>
      <c r="AM213" s="257"/>
      <c r="AN213" s="257"/>
      <c r="AO213" s="257"/>
      <c r="AP213" s="257"/>
      <c r="AQ213" s="257"/>
      <c r="AR213" s="257"/>
      <c r="AS213" s="257"/>
      <c r="AT213" s="257"/>
      <c r="AU213" s="257"/>
      <c r="AV213" s="257"/>
      <c r="AW213" s="257"/>
      <c r="AX213" s="257"/>
    </row>
    <row r="214" spans="1:50" ht="9.9499999999999993" customHeight="1" x14ac:dyDescent="0.15">
      <c r="A214" s="257"/>
      <c r="B214" s="5"/>
      <c r="C214" s="5"/>
      <c r="D214" s="5"/>
      <c r="E214" s="5"/>
      <c r="F214" s="5"/>
      <c r="G214" s="346">
        <v>43360</v>
      </c>
      <c r="H214" s="346">
        <v>43361</v>
      </c>
      <c r="I214" s="346">
        <v>43362</v>
      </c>
      <c r="J214" s="346">
        <v>43363</v>
      </c>
      <c r="K214" s="346">
        <v>43364</v>
      </c>
      <c r="L214" s="5"/>
      <c r="M214" s="7"/>
      <c r="N214" s="293" t="s">
        <v>276</v>
      </c>
      <c r="O214" s="293" t="s">
        <v>277</v>
      </c>
      <c r="P214" s="351" t="s">
        <v>278</v>
      </c>
      <c r="Q214" s="351" t="s">
        <v>279</v>
      </c>
      <c r="R214" s="351" t="s">
        <v>280</v>
      </c>
      <c r="S214" s="15"/>
      <c r="T214" s="15"/>
      <c r="U214" s="15"/>
      <c r="V214" s="15"/>
      <c r="W214" s="15"/>
      <c r="X214" s="15"/>
      <c r="Y214" s="15"/>
      <c r="Z214" s="15"/>
      <c r="AA214" s="279"/>
      <c r="AH214" s="257" t="s">
        <v>536</v>
      </c>
      <c r="AI214" s="257"/>
      <c r="AJ214" s="257"/>
      <c r="AK214" s="257"/>
      <c r="AL214" s="257"/>
      <c r="AM214" s="257"/>
      <c r="AN214" s="257"/>
      <c r="AO214" s="257"/>
      <c r="AP214" s="257"/>
      <c r="AQ214" s="257"/>
      <c r="AR214" s="257"/>
      <c r="AS214" s="257"/>
      <c r="AT214" s="257"/>
      <c r="AU214" s="257"/>
      <c r="AV214" s="257"/>
      <c r="AW214" s="257"/>
      <c r="AX214" s="257"/>
    </row>
    <row r="215" spans="1:50" ht="9.9499999999999993" customHeight="1" x14ac:dyDescent="0.15">
      <c r="A215" s="257"/>
      <c r="B215" s="7"/>
      <c r="C215" s="7"/>
      <c r="D215" s="7"/>
      <c r="E215" s="7"/>
      <c r="F215" s="5"/>
      <c r="G215" s="293" t="s">
        <v>276</v>
      </c>
      <c r="H215" s="293" t="s">
        <v>277</v>
      </c>
      <c r="I215" s="351" t="s">
        <v>278</v>
      </c>
      <c r="J215" s="351" t="s">
        <v>279</v>
      </c>
      <c r="K215" s="351" t="s">
        <v>280</v>
      </c>
      <c r="L215" s="5"/>
      <c r="M215" s="2" t="s">
        <v>238</v>
      </c>
      <c r="N215" s="265">
        <v>4.4999999999999998E-2</v>
      </c>
      <c r="O215" s="265">
        <v>4.9000000000000002E-2</v>
      </c>
      <c r="P215" s="265">
        <v>4.9000000000000002E-2</v>
      </c>
      <c r="Q215" s="312">
        <v>4.7E-2</v>
      </c>
      <c r="R215" s="265">
        <v>0.05</v>
      </c>
      <c r="S215" s="15"/>
      <c r="T215" s="15"/>
      <c r="U215" s="15"/>
      <c r="V215" s="15"/>
      <c r="W215" s="15"/>
      <c r="X215" s="15"/>
      <c r="Y215" s="15"/>
      <c r="Z215" s="15"/>
      <c r="AA215" s="279"/>
      <c r="AR215" s="257"/>
      <c r="AS215" s="257"/>
      <c r="AT215" s="257"/>
      <c r="AU215" s="257"/>
      <c r="AV215" s="257"/>
      <c r="AW215" s="257"/>
      <c r="AX215" s="257"/>
    </row>
    <row r="216" spans="1:50" ht="9.9499999999999993" customHeight="1" x14ac:dyDescent="0.15">
      <c r="A216" s="257"/>
      <c r="B216" s="3" t="s">
        <v>537</v>
      </c>
      <c r="C216" s="266" t="s">
        <v>223</v>
      </c>
      <c r="D216" s="266" t="s">
        <v>240</v>
      </c>
      <c r="E216" s="266" t="s">
        <v>538</v>
      </c>
      <c r="F216" s="268"/>
      <c r="G216" s="269">
        <v>550</v>
      </c>
      <c r="H216" s="269">
        <v>840</v>
      </c>
      <c r="I216" s="352">
        <v>760</v>
      </c>
      <c r="J216" s="352">
        <v>860</v>
      </c>
      <c r="K216" s="352">
        <v>860</v>
      </c>
      <c r="L216" s="5"/>
      <c r="M216" s="2" t="s">
        <v>242</v>
      </c>
      <c r="N216" s="265">
        <v>4.2999999999999997E-2</v>
      </c>
      <c r="O216" s="265">
        <v>4.2000000000000003E-2</v>
      </c>
      <c r="P216" s="265">
        <v>4.4999999999999998E-2</v>
      </c>
      <c r="Q216" s="312">
        <v>0.05</v>
      </c>
      <c r="R216" s="265">
        <v>4.9000000000000002E-2</v>
      </c>
      <c r="S216" s="15"/>
      <c r="T216" s="15"/>
      <c r="U216" s="15"/>
      <c r="V216" s="15"/>
      <c r="W216" s="15"/>
      <c r="X216" s="15"/>
      <c r="Y216" s="15"/>
      <c r="Z216" s="15"/>
      <c r="AA216" s="279"/>
      <c r="AH216" s="353" t="s">
        <v>259</v>
      </c>
      <c r="AI216" s="260"/>
      <c r="AJ216" s="261"/>
      <c r="AK216" s="353" t="s">
        <v>260</v>
      </c>
      <c r="AL216" s="261"/>
      <c r="AM216" s="19" t="s">
        <v>233</v>
      </c>
      <c r="AN216" s="353" t="s">
        <v>261</v>
      </c>
      <c r="AO216" s="261"/>
      <c r="AP216" s="353" t="s">
        <v>262</v>
      </c>
      <c r="AQ216" s="261"/>
      <c r="AR216" s="257"/>
      <c r="AS216" s="257"/>
      <c r="AT216" s="257"/>
      <c r="AU216" s="257"/>
      <c r="AV216" s="257"/>
      <c r="AW216" s="257"/>
      <c r="AX216" s="257"/>
    </row>
    <row r="217" spans="1:50" ht="9.9499999999999993" customHeight="1" x14ac:dyDescent="0.15">
      <c r="A217" s="257"/>
      <c r="B217" s="7"/>
      <c r="C217" s="7"/>
      <c r="D217" s="7"/>
      <c r="E217" s="7"/>
      <c r="F217" s="7"/>
      <c r="G217" s="270"/>
      <c r="H217" s="270"/>
      <c r="I217" s="354"/>
      <c r="J217" s="354"/>
      <c r="K217" s="271">
        <f>SUM(G216:K216)</f>
        <v>3870</v>
      </c>
      <c r="L217" s="272"/>
      <c r="M217" s="2" t="s">
        <v>243</v>
      </c>
      <c r="N217" s="265">
        <v>4.5999999999999999E-2</v>
      </c>
      <c r="O217" s="265">
        <v>4.3999999999999997E-2</v>
      </c>
      <c r="P217" s="265">
        <v>4.7E-2</v>
      </c>
      <c r="Q217" s="312">
        <v>5.3999999999999999E-2</v>
      </c>
      <c r="R217" s="265">
        <v>4.3999999999999997E-2</v>
      </c>
      <c r="S217" s="13"/>
      <c r="T217" s="8"/>
      <c r="U217" s="8"/>
      <c r="V217" s="8"/>
      <c r="W217" s="8"/>
      <c r="X217" s="8"/>
      <c r="Y217" s="8"/>
      <c r="Z217" s="8"/>
      <c r="AA217" s="8"/>
      <c r="AB217" s="8"/>
      <c r="AC217" s="8"/>
      <c r="AD217" s="8"/>
      <c r="AE217" s="8"/>
      <c r="AF217" s="279"/>
      <c r="AG217" s="257"/>
      <c r="AH217" s="353" t="s">
        <v>537</v>
      </c>
      <c r="AI217" s="260"/>
      <c r="AJ217" s="261"/>
      <c r="AK217" s="353" t="s">
        <v>223</v>
      </c>
      <c r="AL217" s="261"/>
      <c r="AM217" s="19" t="s">
        <v>240</v>
      </c>
      <c r="AN217" s="353" t="s">
        <v>539</v>
      </c>
      <c r="AO217" s="261"/>
      <c r="AP217" s="355" t="s">
        <v>540</v>
      </c>
      <c r="AQ217" s="261"/>
      <c r="AR217" s="257"/>
      <c r="AS217" s="257"/>
      <c r="AT217" s="257"/>
      <c r="AU217" s="257"/>
      <c r="AV217" s="257"/>
      <c r="AW217" s="257"/>
      <c r="AX217" s="257"/>
    </row>
    <row r="218" spans="1:50" ht="9.9499999999999993" customHeight="1" x14ac:dyDescent="0.15">
      <c r="A218" s="257"/>
      <c r="B218" s="8"/>
      <c r="C218" s="8"/>
      <c r="D218" s="8"/>
      <c r="E218" s="8"/>
      <c r="F218" s="8"/>
      <c r="G218" s="8"/>
      <c r="H218" s="8"/>
      <c r="I218" s="8"/>
      <c r="J218" s="8"/>
      <c r="K218" s="8"/>
      <c r="L218" s="8"/>
      <c r="M218" s="2" t="s">
        <v>245</v>
      </c>
      <c r="N218" s="265">
        <v>4.5999999999999999E-2</v>
      </c>
      <c r="O218" s="265">
        <v>4.2000000000000003E-2</v>
      </c>
      <c r="P218" s="265">
        <v>5.1999999999999998E-2</v>
      </c>
      <c r="Q218" s="312">
        <v>5.1999999999999998E-2</v>
      </c>
      <c r="R218" s="265">
        <v>4.8000000000000001E-2</v>
      </c>
      <c r="S218" s="13"/>
      <c r="T218" s="8"/>
      <c r="U218" s="8"/>
      <c r="V218" s="8"/>
      <c r="W218" s="8"/>
      <c r="X218" s="8"/>
      <c r="Y218" s="8"/>
      <c r="Z218" s="8"/>
      <c r="AA218" s="8"/>
      <c r="AB218" s="8"/>
      <c r="AC218" s="8"/>
      <c r="AD218" s="8"/>
      <c r="AE218" s="8"/>
      <c r="AF218" s="279"/>
      <c r="AG218" s="257"/>
      <c r="AH218" s="356" t="s">
        <v>392</v>
      </c>
      <c r="AI218" s="260"/>
      <c r="AJ218" s="260"/>
      <c r="AK218" s="260"/>
      <c r="AL218" s="260"/>
      <c r="AM218" s="260"/>
      <c r="AN218" s="260"/>
      <c r="AO218" s="260"/>
      <c r="AP218" s="260"/>
      <c r="AQ218" s="260"/>
      <c r="AR218" s="257"/>
      <c r="AS218" s="257" t="s">
        <v>393</v>
      </c>
      <c r="AT218" s="257"/>
      <c r="AU218" s="257"/>
      <c r="AV218" s="257"/>
      <c r="AW218" s="257"/>
      <c r="AX218" s="257"/>
    </row>
    <row r="219" spans="1:50" ht="9.9499999999999993" customHeight="1" x14ac:dyDescent="0.15">
      <c r="A219" s="257"/>
      <c r="B219" s="8" t="s">
        <v>507</v>
      </c>
      <c r="C219" s="8"/>
      <c r="D219" s="8"/>
      <c r="E219" s="8"/>
      <c r="F219" s="8"/>
      <c r="G219" s="8"/>
      <c r="H219" s="8"/>
      <c r="I219" s="8"/>
      <c r="J219" s="8"/>
      <c r="K219" s="8"/>
      <c r="L219" s="8"/>
      <c r="M219" s="8"/>
      <c r="N219" s="8"/>
      <c r="O219" s="8"/>
      <c r="P219" s="8"/>
      <c r="Q219" s="8"/>
      <c r="R219" s="8"/>
      <c r="S219" s="8"/>
      <c r="T219" s="8"/>
      <c r="U219" s="8"/>
      <c r="V219" s="8"/>
      <c r="W219" s="8"/>
      <c r="X219" s="8"/>
      <c r="Y219" s="8"/>
      <c r="Z219" s="8"/>
      <c r="AA219" s="8"/>
      <c r="AB219" s="8"/>
      <c r="AC219" s="8"/>
      <c r="AD219" s="8"/>
      <c r="AE219" s="8"/>
      <c r="AF219" s="8"/>
      <c r="AG219" s="257"/>
      <c r="AH219" s="291"/>
      <c r="AI219" s="260"/>
      <c r="AJ219" s="260"/>
      <c r="AK219" s="261"/>
      <c r="AL219" s="259" t="s">
        <v>271</v>
      </c>
      <c r="AM219" s="260"/>
      <c r="AN219" s="261"/>
      <c r="AO219" s="353" t="s">
        <v>272</v>
      </c>
      <c r="AP219" s="261"/>
      <c r="AQ219" s="353" t="s">
        <v>273</v>
      </c>
      <c r="AR219" s="19" t="s">
        <v>274</v>
      </c>
      <c r="AS219" s="19" t="s">
        <v>464</v>
      </c>
      <c r="AT219" s="257"/>
      <c r="AU219" s="257"/>
      <c r="AV219" s="257"/>
      <c r="AW219" s="257"/>
      <c r="AX219" s="257"/>
    </row>
    <row r="220" spans="1:50" ht="9.9499999999999993" customHeight="1" x14ac:dyDescent="0.15">
      <c r="A220" s="257"/>
      <c r="B220" s="16"/>
      <c r="C220" s="3" t="s">
        <v>463</v>
      </c>
      <c r="D220" s="586" t="s">
        <v>358</v>
      </c>
      <c r="E220" s="3" t="s">
        <v>359</v>
      </c>
      <c r="F220" s="3" t="s">
        <v>396</v>
      </c>
      <c r="G220" s="259" t="s">
        <v>273</v>
      </c>
      <c r="H220" s="260"/>
      <c r="I220" s="260"/>
      <c r="J220" s="260"/>
      <c r="K220" s="260"/>
      <c r="L220" s="260"/>
      <c r="M220" s="260"/>
      <c r="N220" s="260"/>
      <c r="O220" s="260"/>
      <c r="P220" s="260"/>
      <c r="Q220" s="260"/>
      <c r="R220" s="260"/>
      <c r="S220" s="260"/>
      <c r="T220" s="260"/>
      <c r="U220" s="260"/>
      <c r="V220" s="260"/>
      <c r="W220" s="260"/>
      <c r="X220" s="260"/>
      <c r="Y220" s="260"/>
      <c r="Z220" s="260"/>
      <c r="AA220" s="260"/>
      <c r="AB220" s="260"/>
      <c r="AC220" s="260"/>
      <c r="AD220" s="260"/>
      <c r="AE220" s="260"/>
      <c r="AF220" s="261"/>
      <c r="AG220" s="257"/>
      <c r="AH220" s="18" t="s">
        <v>282</v>
      </c>
      <c r="AI220" s="281"/>
      <c r="AJ220" s="18" t="s">
        <v>283</v>
      </c>
      <c r="AK220" s="281"/>
      <c r="AL220" s="594" t="s">
        <v>284</v>
      </c>
      <c r="AM220" s="595"/>
      <c r="AN220" s="596"/>
      <c r="AO220" s="357">
        <v>43364</v>
      </c>
      <c r="AP220" s="281"/>
      <c r="AQ220" s="18" t="s">
        <v>110</v>
      </c>
      <c r="AR220" s="17" t="s">
        <v>110</v>
      </c>
      <c r="AS220" s="17" t="s">
        <v>110</v>
      </c>
      <c r="AT220" s="257"/>
      <c r="AU220" s="257"/>
      <c r="AV220" s="257"/>
      <c r="AW220" s="257"/>
      <c r="AX220" s="257"/>
    </row>
    <row r="221" spans="1:50" ht="9.9499999999999993" customHeight="1" x14ac:dyDescent="0.15">
      <c r="A221" s="257"/>
      <c r="B221" s="5"/>
      <c r="C221" s="5"/>
      <c r="D221" s="587"/>
      <c r="E221" s="5"/>
      <c r="F221" s="588" t="s">
        <v>254</v>
      </c>
      <c r="G221" s="259" t="s">
        <v>397</v>
      </c>
      <c r="H221" s="260"/>
      <c r="I221" s="260"/>
      <c r="J221" s="260"/>
      <c r="K221" s="260"/>
      <c r="L221" s="261"/>
      <c r="M221" s="259" t="s">
        <v>256</v>
      </c>
      <c r="N221" s="260"/>
      <c r="O221" s="260"/>
      <c r="P221" s="260"/>
      <c r="Q221" s="261"/>
      <c r="R221" s="259" t="s">
        <v>257</v>
      </c>
      <c r="S221" s="260"/>
      <c r="T221" s="260"/>
      <c r="U221" s="260"/>
      <c r="V221" s="261"/>
      <c r="W221" s="259" t="s">
        <v>258</v>
      </c>
      <c r="X221" s="260"/>
      <c r="Y221" s="260"/>
      <c r="Z221" s="260"/>
      <c r="AA221" s="261"/>
      <c r="AB221" s="259" t="s">
        <v>398</v>
      </c>
      <c r="AC221" s="260"/>
      <c r="AD221" s="260"/>
      <c r="AE221" s="260"/>
      <c r="AF221" s="261"/>
      <c r="AG221" s="257"/>
      <c r="AH221" s="13"/>
      <c r="AI221" s="14"/>
      <c r="AJ221" s="11"/>
      <c r="AK221" s="12"/>
      <c r="AL221" s="597"/>
      <c r="AM221" s="598"/>
      <c r="AN221" s="599"/>
      <c r="AO221" s="340"/>
      <c r="AP221" s="12"/>
      <c r="AQ221" s="11"/>
      <c r="AR221" s="7"/>
      <c r="AS221" s="7"/>
      <c r="AT221" s="257"/>
      <c r="AU221" s="257"/>
      <c r="AV221" s="257"/>
      <c r="AW221" s="257"/>
      <c r="AX221" s="257"/>
    </row>
    <row r="222" spans="1:50" ht="9.9499999999999993" customHeight="1" x14ac:dyDescent="0.15">
      <c r="A222" s="257"/>
      <c r="B222" s="5"/>
      <c r="C222" s="5"/>
      <c r="D222" s="587"/>
      <c r="E222" s="5"/>
      <c r="F222" s="589"/>
      <c r="G222" s="10" t="s">
        <v>263</v>
      </c>
      <c r="H222" s="280"/>
      <c r="I222" s="280"/>
      <c r="J222" s="280"/>
      <c r="K222" s="280"/>
      <c r="L222" s="280"/>
      <c r="M222" s="10"/>
      <c r="N222" s="280"/>
      <c r="O222" s="280"/>
      <c r="P222" s="280"/>
      <c r="Q222" s="281"/>
      <c r="R222" s="282"/>
      <c r="S222" s="280"/>
      <c r="T222" s="280"/>
      <c r="U222" s="280"/>
      <c r="V222" s="281"/>
      <c r="W222" s="280"/>
      <c r="X222" s="280"/>
      <c r="Y222" s="280"/>
      <c r="Z222" s="280"/>
      <c r="AA222" s="281"/>
      <c r="AB222" s="334"/>
      <c r="AC222" s="280"/>
      <c r="AD222" s="280"/>
      <c r="AE222" s="280"/>
      <c r="AF222" s="281"/>
      <c r="AG222" s="257"/>
      <c r="AH222" s="11"/>
      <c r="AI222" s="12"/>
      <c r="AJ222" s="353" t="s">
        <v>287</v>
      </c>
      <c r="AK222" s="261"/>
      <c r="AL222" s="11" t="s">
        <v>288</v>
      </c>
      <c r="AM222" s="9"/>
      <c r="AN222" s="12"/>
      <c r="AO222" s="358">
        <v>43364</v>
      </c>
      <c r="AP222" s="261"/>
      <c r="AQ222" s="353" t="s">
        <v>110</v>
      </c>
      <c r="AR222" s="19" t="s">
        <v>110</v>
      </c>
      <c r="AS222" s="19" t="s">
        <v>110</v>
      </c>
      <c r="AT222" s="257"/>
      <c r="AU222" s="257"/>
      <c r="AV222" s="257"/>
      <c r="AW222" s="257"/>
      <c r="AX222" s="257"/>
    </row>
    <row r="223" spans="1:50" ht="9.9499999999999993" customHeight="1" x14ac:dyDescent="0.15">
      <c r="A223" s="257"/>
      <c r="B223" s="5"/>
      <c r="C223" s="5"/>
      <c r="D223" s="5"/>
      <c r="E223" s="5"/>
      <c r="F223" s="625"/>
      <c r="G223" s="11"/>
      <c r="H223" s="278" t="s">
        <v>266</v>
      </c>
      <c r="I223" s="9"/>
      <c r="J223" s="9"/>
      <c r="K223" s="9"/>
      <c r="L223" s="9"/>
      <c r="M223" s="335" t="s">
        <v>400</v>
      </c>
      <c r="N223" s="9"/>
      <c r="O223" s="9"/>
      <c r="P223" s="9"/>
      <c r="Q223" s="12"/>
      <c r="R223" s="9"/>
      <c r="S223" s="9"/>
      <c r="T223" s="9"/>
      <c r="U223" s="9"/>
      <c r="V223" s="12"/>
      <c r="W223" s="9"/>
      <c r="X223" s="9"/>
      <c r="Y223" s="9"/>
      <c r="Z223" s="9"/>
      <c r="AA223" s="12"/>
      <c r="AB223" s="11"/>
      <c r="AC223" s="9"/>
      <c r="AD223" s="9"/>
      <c r="AE223" s="9"/>
      <c r="AF223" s="12"/>
      <c r="AG223" s="257"/>
      <c r="AH223" s="356" t="s">
        <v>466</v>
      </c>
      <c r="AI223" s="260"/>
      <c r="AJ223" s="260"/>
      <c r="AK223" s="260"/>
      <c r="AL223" s="260"/>
      <c r="AM223" s="260"/>
      <c r="AN223" s="260"/>
      <c r="AO223" s="260"/>
      <c r="AP223" s="260"/>
      <c r="AQ223" s="260"/>
      <c r="AR223" s="260"/>
      <c r="AS223" s="289"/>
      <c r="AT223" s="257"/>
      <c r="AU223" s="257"/>
      <c r="AV223" s="257"/>
      <c r="AW223" s="257"/>
      <c r="AX223" s="257"/>
    </row>
    <row r="224" spans="1:50" ht="9.9499999999999993" customHeight="1" x14ac:dyDescent="0.15">
      <c r="A224" s="257"/>
      <c r="B224" s="590" t="s">
        <v>431</v>
      </c>
      <c r="C224" s="290">
        <v>0.23</v>
      </c>
      <c r="D224" s="629" t="s">
        <v>465</v>
      </c>
      <c r="E224" s="3" t="s">
        <v>237</v>
      </c>
      <c r="F224" s="346">
        <v>43234</v>
      </c>
      <c r="G224" s="346">
        <v>43360</v>
      </c>
      <c r="H224" s="346">
        <v>43361</v>
      </c>
      <c r="I224" s="346">
        <v>43362</v>
      </c>
      <c r="J224" s="346">
        <v>43363</v>
      </c>
      <c r="K224" s="346">
        <v>43364</v>
      </c>
      <c r="L224" s="346">
        <v>43365</v>
      </c>
      <c r="M224" s="346">
        <v>43367</v>
      </c>
      <c r="N224" s="346">
        <v>43368</v>
      </c>
      <c r="O224" s="346">
        <v>43369</v>
      </c>
      <c r="P224" s="346">
        <v>43370</v>
      </c>
      <c r="Q224" s="346">
        <v>43371</v>
      </c>
      <c r="R224" s="346">
        <v>43374</v>
      </c>
      <c r="S224" s="346">
        <v>43375</v>
      </c>
      <c r="T224" s="346">
        <v>43376</v>
      </c>
      <c r="U224" s="346">
        <v>43377</v>
      </c>
      <c r="V224" s="346">
        <v>43378</v>
      </c>
      <c r="W224" s="346">
        <v>43381</v>
      </c>
      <c r="X224" s="346">
        <v>43382</v>
      </c>
      <c r="Y224" s="346">
        <v>43383</v>
      </c>
      <c r="Z224" s="346">
        <v>43384</v>
      </c>
      <c r="AA224" s="346">
        <v>43385</v>
      </c>
      <c r="AB224" s="346">
        <v>43388</v>
      </c>
      <c r="AC224" s="346">
        <v>43389</v>
      </c>
      <c r="AD224" s="346">
        <v>43390</v>
      </c>
      <c r="AE224" s="346">
        <v>43391</v>
      </c>
      <c r="AF224" s="346">
        <v>43392</v>
      </c>
      <c r="AG224" s="257"/>
      <c r="AH224" s="353" t="s">
        <v>292</v>
      </c>
      <c r="AI224" s="260"/>
      <c r="AJ224" s="260"/>
      <c r="AK224" s="261"/>
      <c r="AL224" s="296" t="s">
        <v>401</v>
      </c>
      <c r="AM224" s="280"/>
      <c r="AN224" s="281"/>
      <c r="AO224" s="297" t="s">
        <v>541</v>
      </c>
      <c r="AP224" s="261"/>
      <c r="AQ224" s="359">
        <v>253</v>
      </c>
      <c r="AR224" s="20">
        <v>110</v>
      </c>
      <c r="AS224" s="22" t="s">
        <v>403</v>
      </c>
      <c r="AT224" s="257"/>
      <c r="AU224" s="257"/>
      <c r="AV224" s="257"/>
      <c r="AW224" s="257"/>
      <c r="AX224" s="257"/>
    </row>
    <row r="225" spans="1:50" ht="9.9499999999999993" customHeight="1" x14ac:dyDescent="0.15">
      <c r="A225" s="257"/>
      <c r="B225" s="591"/>
      <c r="C225" s="292"/>
      <c r="D225" s="630"/>
      <c r="E225" s="7"/>
      <c r="F225" s="293" t="s">
        <v>276</v>
      </c>
      <c r="G225" s="293" t="s">
        <v>276</v>
      </c>
      <c r="H225" s="293" t="s">
        <v>277</v>
      </c>
      <c r="I225" s="351" t="s">
        <v>278</v>
      </c>
      <c r="J225" s="351" t="s">
        <v>279</v>
      </c>
      <c r="K225" s="351" t="s">
        <v>280</v>
      </c>
      <c r="L225" s="293" t="s">
        <v>281</v>
      </c>
      <c r="M225" s="293" t="s">
        <v>276</v>
      </c>
      <c r="N225" s="293" t="s">
        <v>277</v>
      </c>
      <c r="O225" s="351" t="s">
        <v>278</v>
      </c>
      <c r="P225" s="351" t="s">
        <v>279</v>
      </c>
      <c r="Q225" s="351" t="s">
        <v>280</v>
      </c>
      <c r="R225" s="293" t="s">
        <v>276</v>
      </c>
      <c r="S225" s="293" t="s">
        <v>277</v>
      </c>
      <c r="T225" s="293" t="s">
        <v>278</v>
      </c>
      <c r="U225" s="351" t="s">
        <v>279</v>
      </c>
      <c r="V225" s="351" t="s">
        <v>280</v>
      </c>
      <c r="W225" s="351" t="s">
        <v>276</v>
      </c>
      <c r="X225" s="293" t="s">
        <v>277</v>
      </c>
      <c r="Y225" s="293" t="s">
        <v>278</v>
      </c>
      <c r="Z225" s="293" t="s">
        <v>279</v>
      </c>
      <c r="AA225" s="351" t="s">
        <v>280</v>
      </c>
      <c r="AB225" s="351" t="s">
        <v>276</v>
      </c>
      <c r="AC225" s="351" t="s">
        <v>277</v>
      </c>
      <c r="AD225" s="293" t="s">
        <v>278</v>
      </c>
      <c r="AE225" s="351" t="s">
        <v>279</v>
      </c>
      <c r="AF225" s="293" t="s">
        <v>280</v>
      </c>
      <c r="AG225" s="257"/>
      <c r="AH225" s="353" t="s">
        <v>298</v>
      </c>
      <c r="AI225" s="260"/>
      <c r="AJ225" s="260"/>
      <c r="AK225" s="261"/>
      <c r="AL225" s="300" t="s">
        <v>299</v>
      </c>
      <c r="AM225" s="9"/>
      <c r="AN225" s="12"/>
      <c r="AO225" s="297" t="s">
        <v>541</v>
      </c>
      <c r="AP225" s="261"/>
      <c r="AQ225" s="359">
        <v>56</v>
      </c>
      <c r="AR225" s="20">
        <v>32</v>
      </c>
      <c r="AS225" s="19" t="s">
        <v>301</v>
      </c>
      <c r="AT225" s="257"/>
      <c r="AU225" s="257"/>
      <c r="AV225" s="257"/>
      <c r="AW225" s="257"/>
      <c r="AX225" s="257"/>
    </row>
    <row r="226" spans="1:50" ht="9.9499999999999993" customHeight="1" x14ac:dyDescent="0.15">
      <c r="A226" s="257"/>
      <c r="B226" s="591"/>
      <c r="C226" s="292"/>
      <c r="D226" s="630"/>
      <c r="E226" s="2" t="s">
        <v>285</v>
      </c>
      <c r="F226" s="265">
        <v>4.8000000000000001E-2</v>
      </c>
      <c r="G226" s="265">
        <v>5.3999999999999999E-2</v>
      </c>
      <c r="H226" s="265">
        <v>4.8000000000000001E-2</v>
      </c>
      <c r="I226" s="312">
        <v>4.2000000000000003E-2</v>
      </c>
      <c r="J226" s="312">
        <v>4.8000000000000001E-2</v>
      </c>
      <c r="K226" s="312">
        <v>3.5999999999999997E-2</v>
      </c>
      <c r="L226" s="265">
        <v>4.8000000000000001E-2</v>
      </c>
      <c r="M226" s="265">
        <v>5.3999999999999999E-2</v>
      </c>
      <c r="N226" s="265">
        <v>4.2000000000000003E-2</v>
      </c>
      <c r="O226" s="265">
        <v>0.06</v>
      </c>
      <c r="P226" s="265">
        <v>3.5999999999999997E-2</v>
      </c>
      <c r="Q226" s="312">
        <v>4.2000000000000003E-2</v>
      </c>
      <c r="R226" s="265">
        <v>4.2000000000000003E-2</v>
      </c>
      <c r="S226" s="265">
        <v>4.8000000000000001E-2</v>
      </c>
      <c r="T226" s="265">
        <v>5.3999999999999999E-2</v>
      </c>
      <c r="U226" s="265">
        <v>4.2000000000000003E-2</v>
      </c>
      <c r="V226" s="265">
        <v>5.3999999999999999E-2</v>
      </c>
      <c r="W226" s="265">
        <v>3.5999999999999997E-2</v>
      </c>
      <c r="X226" s="265">
        <v>4.2000000000000003E-2</v>
      </c>
      <c r="Y226" s="265">
        <v>4.2000000000000003E-2</v>
      </c>
      <c r="Z226" s="265">
        <v>0.03</v>
      </c>
      <c r="AA226" s="265">
        <v>5.3999999999999999E-2</v>
      </c>
      <c r="AB226" s="265">
        <v>4.2000000000000003E-2</v>
      </c>
      <c r="AC226" s="265">
        <v>4.8000000000000001E-2</v>
      </c>
      <c r="AD226" s="265">
        <v>5.3999999999999999E-2</v>
      </c>
      <c r="AE226" s="265">
        <v>4.2000000000000003E-2</v>
      </c>
      <c r="AF226" s="265">
        <v>5.3999999999999999E-2</v>
      </c>
      <c r="AG226" s="257"/>
      <c r="AH226" s="341" t="s">
        <v>468</v>
      </c>
      <c r="AI226" s="280"/>
      <c r="AJ226" s="280"/>
      <c r="AK226" s="280"/>
      <c r="AL226" s="280"/>
      <c r="AM226" s="280"/>
      <c r="AN226" s="280"/>
      <c r="AO226" s="280"/>
      <c r="AP226" s="280"/>
      <c r="AQ226" s="95" t="s">
        <v>299</v>
      </c>
      <c r="AR226" s="280"/>
      <c r="AS226" s="280"/>
      <c r="AT226" s="257"/>
      <c r="AU226" s="257"/>
      <c r="AV226" s="257"/>
      <c r="AW226" s="257"/>
      <c r="AX226" s="257"/>
    </row>
    <row r="227" spans="1:50" ht="9.9499999999999993" customHeight="1" x14ac:dyDescent="0.15">
      <c r="A227" s="257"/>
      <c r="B227" s="591"/>
      <c r="C227" s="292"/>
      <c r="D227" s="630"/>
      <c r="E227" s="2" t="s">
        <v>286</v>
      </c>
      <c r="F227" s="265">
        <v>3.2000000000000001E-2</v>
      </c>
      <c r="G227" s="265">
        <v>3.7999999999999999E-2</v>
      </c>
      <c r="H227" s="265">
        <v>3.9E-2</v>
      </c>
      <c r="I227" s="312">
        <v>4.1000000000000002E-2</v>
      </c>
      <c r="J227" s="312">
        <v>4.2000000000000003E-2</v>
      </c>
      <c r="K227" s="312">
        <v>4.2000000000000003E-2</v>
      </c>
      <c r="L227" s="265">
        <v>5.8999999999999997E-2</v>
      </c>
      <c r="M227" s="265">
        <v>4.4999999999999998E-2</v>
      </c>
      <c r="N227" s="265">
        <v>5.0999999999999997E-2</v>
      </c>
      <c r="O227" s="265">
        <v>4.4999999999999998E-2</v>
      </c>
      <c r="P227" s="265">
        <v>4.4999999999999998E-2</v>
      </c>
      <c r="Q227" s="312">
        <v>0.06</v>
      </c>
      <c r="R227" s="265">
        <v>4.1000000000000002E-2</v>
      </c>
      <c r="S227" s="265">
        <v>4.1000000000000002E-2</v>
      </c>
      <c r="T227" s="265">
        <v>3.7999999999999999E-2</v>
      </c>
      <c r="U227" s="265">
        <v>4.4999999999999998E-2</v>
      </c>
      <c r="V227" s="265">
        <v>4.2999999999999997E-2</v>
      </c>
      <c r="W227" s="265">
        <v>3.3000000000000002E-2</v>
      </c>
      <c r="X227" s="265">
        <v>0.04</v>
      </c>
      <c r="Y227" s="265">
        <v>4.2000000000000003E-2</v>
      </c>
      <c r="Z227" s="265">
        <v>3.7999999999999999E-2</v>
      </c>
      <c r="AA227" s="265">
        <v>4.2000000000000003E-2</v>
      </c>
      <c r="AB227" s="265">
        <v>4.1000000000000002E-2</v>
      </c>
      <c r="AC227" s="265">
        <v>4.3999999999999997E-2</v>
      </c>
      <c r="AD227" s="265">
        <v>4.2000000000000003E-2</v>
      </c>
      <c r="AE227" s="265">
        <v>5.1999999999999998E-2</v>
      </c>
      <c r="AF227" s="265">
        <v>4.2000000000000003E-2</v>
      </c>
      <c r="AG227" s="257"/>
      <c r="AH227" s="341" t="s">
        <v>469</v>
      </c>
      <c r="AT227" s="257"/>
      <c r="AU227" s="257"/>
      <c r="AV227" s="257"/>
      <c r="AW227" s="257"/>
      <c r="AX227" s="257"/>
    </row>
    <row r="228" spans="1:50" ht="9.9499999999999993" customHeight="1" x14ac:dyDescent="0.15">
      <c r="A228" s="257"/>
      <c r="B228" s="591"/>
      <c r="C228" s="292"/>
      <c r="D228" s="628"/>
      <c r="E228" s="2" t="s">
        <v>542</v>
      </c>
      <c r="F228" s="265">
        <v>4.2999999999999997E-2</v>
      </c>
      <c r="G228" s="265">
        <v>3.6999999999999998E-2</v>
      </c>
      <c r="H228" s="265">
        <v>4.2999999999999997E-2</v>
      </c>
      <c r="I228" s="312">
        <v>4.4999999999999998E-2</v>
      </c>
      <c r="J228" s="312">
        <v>4.1000000000000002E-2</v>
      </c>
      <c r="K228" s="312">
        <v>4.5999999999999999E-2</v>
      </c>
      <c r="L228" s="265">
        <v>5.6000000000000001E-2</v>
      </c>
      <c r="M228" s="265">
        <v>4.4999999999999998E-2</v>
      </c>
      <c r="N228" s="265">
        <v>4.8000000000000001E-2</v>
      </c>
      <c r="O228" s="265">
        <v>4.2000000000000003E-2</v>
      </c>
      <c r="P228" s="265">
        <v>4.7E-2</v>
      </c>
      <c r="Q228" s="312">
        <v>0.06</v>
      </c>
      <c r="R228" s="265">
        <v>3.3000000000000002E-2</v>
      </c>
      <c r="S228" s="265">
        <v>4.1000000000000002E-2</v>
      </c>
      <c r="T228" s="265">
        <v>3.7999999999999999E-2</v>
      </c>
      <c r="U228" s="265">
        <v>4.2000000000000003E-2</v>
      </c>
      <c r="V228" s="265">
        <v>4.3999999999999997E-2</v>
      </c>
      <c r="W228" s="265">
        <v>3.7999999999999999E-2</v>
      </c>
      <c r="X228" s="265">
        <v>4.2000000000000003E-2</v>
      </c>
      <c r="Y228" s="265">
        <v>4.2000000000000003E-2</v>
      </c>
      <c r="Z228" s="265">
        <v>4.3999999999999997E-2</v>
      </c>
      <c r="AA228" s="265">
        <v>4.3999999999999997E-2</v>
      </c>
      <c r="AB228" s="265">
        <v>3.7999999999999999E-2</v>
      </c>
      <c r="AC228" s="265">
        <v>4.1000000000000002E-2</v>
      </c>
      <c r="AD228" s="265">
        <v>4.2999999999999997E-2</v>
      </c>
      <c r="AE228" s="265">
        <v>4.2000000000000003E-2</v>
      </c>
      <c r="AF228" s="265">
        <v>4.2000000000000003E-2</v>
      </c>
      <c r="AG228" s="257"/>
      <c r="AH228" s="278" t="s">
        <v>471</v>
      </c>
      <c r="AS228" s="257" t="s">
        <v>543</v>
      </c>
      <c r="AT228" s="257"/>
      <c r="AU228" s="257"/>
      <c r="AV228" s="257"/>
      <c r="AW228" s="257"/>
      <c r="AX228" s="257"/>
    </row>
    <row r="229" spans="1:50" ht="9.9499999999999993" customHeight="1" x14ac:dyDescent="0.15">
      <c r="A229" s="257"/>
      <c r="B229" s="591"/>
      <c r="C229" s="292"/>
      <c r="D229" s="5"/>
      <c r="E229" s="2" t="s">
        <v>416</v>
      </c>
      <c r="F229" s="265">
        <v>3.9E-2</v>
      </c>
      <c r="G229" s="265">
        <v>3.5000000000000003E-2</v>
      </c>
      <c r="H229" s="265">
        <v>3.4000000000000002E-2</v>
      </c>
      <c r="I229" s="312">
        <v>3.7999999999999999E-2</v>
      </c>
      <c r="J229" s="312">
        <v>3.5999999999999997E-2</v>
      </c>
      <c r="K229" s="312">
        <v>4.1000000000000002E-2</v>
      </c>
      <c r="L229" s="265">
        <v>6.0999999999999999E-2</v>
      </c>
      <c r="M229" s="265">
        <v>3.5999999999999997E-2</v>
      </c>
      <c r="N229" s="265">
        <v>4.1000000000000002E-2</v>
      </c>
      <c r="O229" s="265">
        <v>3.7999999999999999E-2</v>
      </c>
      <c r="P229" s="265">
        <v>4.4999999999999998E-2</v>
      </c>
      <c r="Q229" s="312">
        <v>3.5999999999999997E-2</v>
      </c>
      <c r="R229" s="265">
        <v>4.3999999999999997E-2</v>
      </c>
      <c r="S229" s="265">
        <v>3.9E-2</v>
      </c>
      <c r="T229" s="265">
        <v>3.5000000000000003E-2</v>
      </c>
      <c r="U229" s="265">
        <v>4.1000000000000002E-2</v>
      </c>
      <c r="V229" s="265">
        <v>3.6999999999999998E-2</v>
      </c>
      <c r="W229" s="265">
        <v>3.6999999999999998E-2</v>
      </c>
      <c r="X229" s="265">
        <v>3.5000000000000003E-2</v>
      </c>
      <c r="Y229" s="265">
        <v>4.2000000000000003E-2</v>
      </c>
      <c r="Z229" s="265">
        <v>3.6999999999999998E-2</v>
      </c>
      <c r="AA229" s="265">
        <v>4.1000000000000002E-2</v>
      </c>
      <c r="AB229" s="265">
        <v>3.5999999999999997E-2</v>
      </c>
      <c r="AC229" s="265">
        <v>3.5000000000000003E-2</v>
      </c>
      <c r="AD229" s="265">
        <v>0.04</v>
      </c>
      <c r="AE229" s="265">
        <v>3.5999999999999997E-2</v>
      </c>
      <c r="AF229" s="265">
        <v>3.9E-2</v>
      </c>
      <c r="AG229" s="257"/>
      <c r="AH229" s="353" t="s">
        <v>316</v>
      </c>
      <c r="AI229" s="260"/>
      <c r="AJ229" s="260"/>
      <c r="AK229" s="261"/>
      <c r="AL229" s="18" t="s">
        <v>544</v>
      </c>
      <c r="AM229" s="280"/>
      <c r="AN229" s="281"/>
      <c r="AO229" s="353" t="s">
        <v>545</v>
      </c>
      <c r="AP229" s="261"/>
      <c r="AQ229" s="360">
        <v>4.7E-2</v>
      </c>
      <c r="AR229" s="317" t="s">
        <v>301</v>
      </c>
      <c r="AS229" s="317">
        <v>0.113</v>
      </c>
      <c r="AT229" s="257"/>
      <c r="AU229" s="257"/>
      <c r="AV229" s="257"/>
      <c r="AW229" s="257"/>
      <c r="AX229" s="257"/>
    </row>
    <row r="230" spans="1:50" ht="9.9499999999999993" customHeight="1" x14ac:dyDescent="0.15">
      <c r="A230" s="257"/>
      <c r="B230" s="5"/>
      <c r="C230" s="292"/>
      <c r="D230" s="5"/>
      <c r="E230" s="2" t="s">
        <v>297</v>
      </c>
      <c r="F230" s="265">
        <v>4.8000000000000001E-2</v>
      </c>
      <c r="G230" s="265">
        <v>4.2000000000000003E-2</v>
      </c>
      <c r="H230" s="265">
        <v>0.05</v>
      </c>
      <c r="I230" s="312">
        <v>4.5999999999999999E-2</v>
      </c>
      <c r="J230" s="312">
        <v>4.1000000000000002E-2</v>
      </c>
      <c r="K230" s="312">
        <v>4.5999999999999999E-2</v>
      </c>
      <c r="L230" s="265">
        <v>7.0000000000000007E-2</v>
      </c>
      <c r="M230" s="265">
        <v>4.2999999999999997E-2</v>
      </c>
      <c r="N230" s="265">
        <v>5.6000000000000001E-2</v>
      </c>
      <c r="O230" s="265">
        <v>4.4999999999999998E-2</v>
      </c>
      <c r="P230" s="265">
        <v>5.7000000000000002E-2</v>
      </c>
      <c r="Q230" s="312">
        <v>4.5999999999999999E-2</v>
      </c>
      <c r="R230" s="265">
        <v>3.5000000000000003E-2</v>
      </c>
      <c r="S230" s="265">
        <v>4.4999999999999998E-2</v>
      </c>
      <c r="T230" s="265">
        <v>4.2999999999999997E-2</v>
      </c>
      <c r="U230" s="265">
        <v>4.2000000000000003E-2</v>
      </c>
      <c r="V230" s="265">
        <v>4.3999999999999997E-2</v>
      </c>
      <c r="W230" s="265">
        <v>4.5999999999999999E-2</v>
      </c>
      <c r="X230" s="265">
        <v>4.2999999999999997E-2</v>
      </c>
      <c r="Y230" s="265">
        <v>4.2999999999999997E-2</v>
      </c>
      <c r="Z230" s="265">
        <v>4.4999999999999998E-2</v>
      </c>
      <c r="AA230" s="265">
        <v>4.5999999999999999E-2</v>
      </c>
      <c r="AB230" s="265">
        <v>4.5999999999999999E-2</v>
      </c>
      <c r="AC230" s="265">
        <v>4.4999999999999998E-2</v>
      </c>
      <c r="AD230" s="265">
        <v>4.4999999999999998E-2</v>
      </c>
      <c r="AE230" s="265">
        <v>4.2000000000000003E-2</v>
      </c>
      <c r="AF230" s="265">
        <v>4.3999999999999997E-2</v>
      </c>
      <c r="AG230" s="257"/>
      <c r="AH230" s="353" t="s">
        <v>325</v>
      </c>
      <c r="AI230" s="260"/>
      <c r="AJ230" s="260"/>
      <c r="AK230" s="261"/>
      <c r="AL230" s="13"/>
      <c r="AM230" s="15"/>
      <c r="AN230" s="14"/>
      <c r="AO230" s="353" t="s">
        <v>546</v>
      </c>
      <c r="AP230" s="281"/>
      <c r="AQ230" s="360">
        <v>4.4999999999999998E-2</v>
      </c>
      <c r="AR230" s="361" t="s">
        <v>418</v>
      </c>
      <c r="AS230" s="317">
        <v>0.06</v>
      </c>
      <c r="AT230" s="257"/>
      <c r="AU230" s="257"/>
      <c r="AV230" s="257"/>
      <c r="AW230" s="257"/>
      <c r="AX230" s="257"/>
    </row>
    <row r="231" spans="1:50" ht="9.9499999999999993" customHeight="1" x14ac:dyDescent="0.15">
      <c r="A231" s="257"/>
      <c r="B231" s="7"/>
      <c r="C231" s="301"/>
      <c r="D231" s="7"/>
      <c r="E231" s="2" t="s">
        <v>302</v>
      </c>
      <c r="F231" s="265">
        <v>0.04</v>
      </c>
      <c r="G231" s="265">
        <v>3.6999999999999998E-2</v>
      </c>
      <c r="H231" s="265">
        <v>3.7999999999999999E-2</v>
      </c>
      <c r="I231" s="312">
        <v>4.1000000000000002E-2</v>
      </c>
      <c r="J231" s="312">
        <v>4.7E-2</v>
      </c>
      <c r="K231" s="312">
        <v>4.1000000000000002E-2</v>
      </c>
      <c r="L231" s="265">
        <v>6.9000000000000006E-2</v>
      </c>
      <c r="M231" s="265">
        <v>3.9E-2</v>
      </c>
      <c r="N231" s="265">
        <v>4.5999999999999999E-2</v>
      </c>
      <c r="O231" s="265">
        <v>3.6999999999999998E-2</v>
      </c>
      <c r="P231" s="265">
        <v>0.05</v>
      </c>
      <c r="Q231" s="312">
        <v>3.7999999999999999E-2</v>
      </c>
      <c r="R231" s="265">
        <v>4.3999999999999997E-2</v>
      </c>
      <c r="S231" s="265">
        <v>4.1000000000000002E-2</v>
      </c>
      <c r="T231" s="265">
        <v>3.9E-2</v>
      </c>
      <c r="U231" s="265">
        <v>3.7999999999999999E-2</v>
      </c>
      <c r="V231" s="265">
        <v>0.04</v>
      </c>
      <c r="W231" s="265">
        <v>3.5000000000000003E-2</v>
      </c>
      <c r="X231" s="265">
        <v>4.1000000000000002E-2</v>
      </c>
      <c r="Y231" s="265">
        <v>0.04</v>
      </c>
      <c r="Z231" s="265">
        <v>0.04</v>
      </c>
      <c r="AA231" s="265">
        <v>4.1000000000000002E-2</v>
      </c>
      <c r="AB231" s="265">
        <v>3.7999999999999999E-2</v>
      </c>
      <c r="AC231" s="265">
        <v>4.3999999999999997E-2</v>
      </c>
      <c r="AD231" s="265">
        <v>4.4999999999999998E-2</v>
      </c>
      <c r="AE231" s="265">
        <v>4.1000000000000002E-2</v>
      </c>
      <c r="AF231" s="265">
        <v>4.1000000000000002E-2</v>
      </c>
      <c r="AG231" s="257"/>
      <c r="AH231" s="353" t="s">
        <v>329</v>
      </c>
      <c r="AI231" s="260"/>
      <c r="AJ231" s="260"/>
      <c r="AK231" s="261"/>
      <c r="AL231" s="13"/>
      <c r="AM231" s="15"/>
      <c r="AN231" s="14"/>
      <c r="AO231" s="11"/>
      <c r="AP231" s="12"/>
      <c r="AQ231" s="360">
        <v>4.5999999999999999E-2</v>
      </c>
      <c r="AR231" s="361" t="s">
        <v>330</v>
      </c>
      <c r="AS231" s="317">
        <v>6.9000000000000006E-2</v>
      </c>
      <c r="AT231" s="257"/>
      <c r="AU231" s="257"/>
      <c r="AV231" s="257"/>
      <c r="AW231" s="257"/>
      <c r="AX231" s="257"/>
    </row>
    <row r="232" spans="1:50" ht="9.9499999999999993" customHeight="1" x14ac:dyDescent="0.15">
      <c r="A232" s="257"/>
      <c r="B232" s="600" t="s">
        <v>517</v>
      </c>
      <c r="C232" s="590" t="s">
        <v>305</v>
      </c>
      <c r="D232" s="604" t="s">
        <v>477</v>
      </c>
      <c r="E232" s="22" t="s">
        <v>307</v>
      </c>
      <c r="F232" s="22" t="s">
        <v>322</v>
      </c>
      <c r="G232" s="303"/>
      <c r="H232" s="4"/>
      <c r="I232" s="329" t="s">
        <v>518</v>
      </c>
      <c r="J232" s="260"/>
      <c r="K232" s="260"/>
      <c r="L232" s="261"/>
      <c r="M232" s="329" t="s">
        <v>547</v>
      </c>
      <c r="N232" s="260"/>
      <c r="O232" s="260"/>
      <c r="P232" s="260"/>
      <c r="Q232" s="260"/>
      <c r="R232" s="260"/>
      <c r="S232" s="260"/>
      <c r="T232" s="260"/>
      <c r="U232" s="260"/>
      <c r="V232" s="260"/>
      <c r="W232" s="260"/>
      <c r="X232" s="260"/>
      <c r="Y232" s="260"/>
      <c r="Z232" s="260"/>
      <c r="AA232" s="260"/>
      <c r="AB232" s="260"/>
      <c r="AC232" s="260"/>
      <c r="AD232" s="260"/>
      <c r="AE232" s="260"/>
      <c r="AF232" s="261"/>
      <c r="AG232" s="257"/>
      <c r="AH232" s="17" t="s">
        <v>331</v>
      </c>
      <c r="AI232" s="353" t="s">
        <v>332</v>
      </c>
      <c r="AJ232" s="260"/>
      <c r="AK232" s="261"/>
      <c r="AL232" s="13"/>
      <c r="AM232" s="15"/>
      <c r="AN232" s="14"/>
      <c r="AO232" s="353" t="s">
        <v>548</v>
      </c>
      <c r="AP232" s="281"/>
      <c r="AQ232" s="360">
        <v>4.3999999999999997E-2</v>
      </c>
      <c r="AR232" s="317">
        <v>3.6999999999999998E-2</v>
      </c>
      <c r="AS232" s="317">
        <v>5.2999999999999999E-2</v>
      </c>
      <c r="AT232" s="257"/>
      <c r="AU232" s="257"/>
      <c r="AV232" s="257"/>
      <c r="AW232" s="257"/>
      <c r="AX232" s="257"/>
    </row>
    <row r="233" spans="1:50" ht="9.9499999999999993" customHeight="1" x14ac:dyDescent="0.15">
      <c r="A233" s="257"/>
      <c r="B233" s="591"/>
      <c r="C233" s="602"/>
      <c r="D233" s="605"/>
      <c r="E233" s="22" t="s">
        <v>422</v>
      </c>
      <c r="F233" s="307">
        <v>110</v>
      </c>
      <c r="G233" s="308">
        <v>253</v>
      </c>
      <c r="H233" s="309"/>
      <c r="I233" s="309"/>
      <c r="J233" s="309"/>
      <c r="K233" s="309"/>
      <c r="L233" s="310"/>
      <c r="M233" s="308">
        <v>208</v>
      </c>
      <c r="N233" s="309"/>
      <c r="O233" s="309"/>
      <c r="P233" s="309"/>
      <c r="Q233" s="309"/>
      <c r="R233" s="309"/>
      <c r="S233" s="309"/>
      <c r="T233" s="309"/>
      <c r="U233" s="309"/>
      <c r="V233" s="309"/>
      <c r="W233" s="309"/>
      <c r="X233" s="309"/>
      <c r="Y233" s="309"/>
      <c r="Z233" s="309"/>
      <c r="AA233" s="309"/>
      <c r="AB233" s="309"/>
      <c r="AC233" s="309"/>
      <c r="AD233" s="309"/>
      <c r="AE233" s="309"/>
      <c r="AF233" s="310"/>
      <c r="AG233" s="257"/>
      <c r="AH233" s="5"/>
      <c r="AI233" s="353" t="s">
        <v>334</v>
      </c>
      <c r="AJ233" s="260"/>
      <c r="AK233" s="261"/>
      <c r="AL233" s="13"/>
      <c r="AM233" s="15"/>
      <c r="AN233" s="14"/>
      <c r="AO233" s="13"/>
      <c r="AP233" s="14"/>
      <c r="AQ233" s="360">
        <v>0.04</v>
      </c>
      <c r="AR233" s="317">
        <v>3.5999999999999997E-2</v>
      </c>
      <c r="AS233" s="317">
        <v>5.8000000000000003E-2</v>
      </c>
      <c r="AT233" s="257"/>
      <c r="AU233" s="257"/>
      <c r="AV233" s="257"/>
      <c r="AW233" s="257"/>
      <c r="AX233" s="257"/>
    </row>
    <row r="234" spans="1:50" ht="9.9499999999999993" customHeight="1" x14ac:dyDescent="0.15">
      <c r="A234" s="257"/>
      <c r="B234" s="601"/>
      <c r="C234" s="603"/>
      <c r="D234" s="606"/>
      <c r="E234" s="22" t="s">
        <v>423</v>
      </c>
      <c r="F234" s="307">
        <v>32</v>
      </c>
      <c r="G234" s="308">
        <v>56</v>
      </c>
      <c r="H234" s="309"/>
      <c r="I234" s="309"/>
      <c r="J234" s="309"/>
      <c r="K234" s="309"/>
      <c r="L234" s="310"/>
      <c r="M234" s="308">
        <v>49</v>
      </c>
      <c r="N234" s="309"/>
      <c r="O234" s="309"/>
      <c r="P234" s="309"/>
      <c r="Q234" s="309"/>
      <c r="R234" s="309"/>
      <c r="S234" s="309"/>
      <c r="T234" s="309"/>
      <c r="U234" s="309"/>
      <c r="V234" s="309"/>
      <c r="W234" s="309"/>
      <c r="X234" s="309"/>
      <c r="Y234" s="309"/>
      <c r="Z234" s="309"/>
      <c r="AA234" s="309"/>
      <c r="AB234" s="309"/>
      <c r="AC234" s="309"/>
      <c r="AD234" s="309"/>
      <c r="AE234" s="309"/>
      <c r="AF234" s="310"/>
      <c r="AG234" s="257"/>
      <c r="AH234" s="5"/>
      <c r="AI234" s="353" t="s">
        <v>336</v>
      </c>
      <c r="AJ234" s="260"/>
      <c r="AK234" s="261"/>
      <c r="AL234" s="13"/>
      <c r="AM234" s="15"/>
      <c r="AN234" s="14"/>
      <c r="AO234" s="13"/>
      <c r="AP234" s="14"/>
      <c r="AQ234" s="360">
        <v>3.7999999999999999E-2</v>
      </c>
      <c r="AR234" s="317">
        <v>4.2000000000000003E-2</v>
      </c>
      <c r="AS234" s="317">
        <v>5.7000000000000002E-2</v>
      </c>
      <c r="AT234" s="257"/>
      <c r="AU234" s="257"/>
      <c r="AV234" s="257"/>
      <c r="AW234" s="257"/>
      <c r="AX234" s="257"/>
    </row>
    <row r="235" spans="1:50" ht="9.9499999999999993" customHeight="1" x14ac:dyDescent="0.15">
      <c r="A235" s="257"/>
      <c r="B235" s="600" t="s">
        <v>520</v>
      </c>
      <c r="C235" s="610" t="s">
        <v>549</v>
      </c>
      <c r="D235" s="604" t="s">
        <v>477</v>
      </c>
      <c r="E235" s="22" t="s">
        <v>307</v>
      </c>
      <c r="F235" s="22" t="s">
        <v>322</v>
      </c>
      <c r="G235" s="4"/>
      <c r="H235" s="4"/>
      <c r="I235" s="291"/>
      <c r="J235" s="291"/>
      <c r="K235" s="329" t="s">
        <v>323</v>
      </c>
      <c r="L235" s="4"/>
      <c r="M235" s="329" t="s">
        <v>550</v>
      </c>
      <c r="N235" s="260"/>
      <c r="O235" s="260"/>
      <c r="P235" s="260"/>
      <c r="Q235" s="260"/>
      <c r="R235" s="260"/>
      <c r="S235" s="260"/>
      <c r="T235" s="260"/>
      <c r="U235" s="260"/>
      <c r="V235" s="260"/>
      <c r="W235" s="260"/>
      <c r="X235" s="260"/>
      <c r="Y235" s="260"/>
      <c r="Z235" s="260"/>
      <c r="AA235" s="260"/>
      <c r="AB235" s="260"/>
      <c r="AC235" s="260"/>
      <c r="AD235" s="260"/>
      <c r="AE235" s="260"/>
      <c r="AF235" s="261"/>
      <c r="AG235" s="257"/>
      <c r="AH235" s="5"/>
      <c r="AI235" s="353" t="s">
        <v>338</v>
      </c>
      <c r="AJ235" s="260"/>
      <c r="AK235" s="261"/>
      <c r="AL235" s="13"/>
      <c r="AM235" s="15"/>
      <c r="AN235" s="14"/>
      <c r="AO235" s="13"/>
      <c r="AP235" s="14"/>
      <c r="AQ235" s="360">
        <v>4.2000000000000003E-2</v>
      </c>
      <c r="AR235" s="317">
        <v>4.2000000000000003E-2</v>
      </c>
      <c r="AS235" s="317">
        <v>5.5E-2</v>
      </c>
      <c r="AT235" s="257"/>
      <c r="AU235" s="257"/>
      <c r="AV235" s="257"/>
      <c r="AW235" s="257"/>
      <c r="AX235" s="257"/>
    </row>
    <row r="236" spans="1:50" ht="9.9499999999999993" customHeight="1" x14ac:dyDescent="0.15">
      <c r="A236" s="257"/>
      <c r="B236" s="609"/>
      <c r="C236" s="616"/>
      <c r="D236" s="605"/>
      <c r="E236" s="22" t="s">
        <v>283</v>
      </c>
      <c r="F236" s="22" t="s">
        <v>110</v>
      </c>
      <c r="G236" s="4"/>
      <c r="H236" s="4"/>
      <c r="I236" s="291"/>
      <c r="J236" s="291"/>
      <c r="K236" s="329" t="s">
        <v>110</v>
      </c>
      <c r="L236" s="4"/>
      <c r="M236" s="329" t="s">
        <v>110</v>
      </c>
      <c r="N236" s="260"/>
      <c r="O236" s="260"/>
      <c r="P236" s="260"/>
      <c r="Q236" s="260"/>
      <c r="R236" s="260"/>
      <c r="S236" s="260"/>
      <c r="T236" s="260"/>
      <c r="U236" s="260"/>
      <c r="V236" s="260"/>
      <c r="W236" s="260"/>
      <c r="X236" s="260"/>
      <c r="Y236" s="260"/>
      <c r="Z236" s="260"/>
      <c r="AA236" s="260"/>
      <c r="AB236" s="260"/>
      <c r="AC236" s="260"/>
      <c r="AD236" s="260"/>
      <c r="AE236" s="260"/>
      <c r="AF236" s="261"/>
      <c r="AG236" s="257"/>
      <c r="AH236" s="7"/>
      <c r="AI236" s="353" t="s">
        <v>339</v>
      </c>
      <c r="AJ236" s="260"/>
      <c r="AK236" s="261"/>
      <c r="AL236" s="11"/>
      <c r="AM236" s="9"/>
      <c r="AN236" s="12"/>
      <c r="AO236" s="11"/>
      <c r="AP236" s="12"/>
      <c r="AQ236" s="360">
        <v>4.4999999999999998E-2</v>
      </c>
      <c r="AR236" s="317">
        <v>4.4999999999999998E-2</v>
      </c>
      <c r="AS236" s="317">
        <v>5.8000000000000003E-2</v>
      </c>
      <c r="AT236" s="257"/>
      <c r="AU236" s="257"/>
      <c r="AV236" s="257"/>
      <c r="AW236" s="257"/>
      <c r="AX236" s="257"/>
    </row>
    <row r="237" spans="1:50" ht="9.9499999999999993" customHeight="1" x14ac:dyDescent="0.15">
      <c r="A237" s="257"/>
      <c r="B237" s="622"/>
      <c r="C237" s="617"/>
      <c r="D237" s="606"/>
      <c r="E237" s="22" t="s">
        <v>287</v>
      </c>
      <c r="F237" s="22" t="s">
        <v>110</v>
      </c>
      <c r="G237" s="4"/>
      <c r="H237" s="4"/>
      <c r="I237" s="291"/>
      <c r="J237" s="291"/>
      <c r="K237" s="329" t="s">
        <v>110</v>
      </c>
      <c r="L237" s="4"/>
      <c r="M237" s="329" t="s">
        <v>110</v>
      </c>
      <c r="N237" s="260"/>
      <c r="O237" s="260"/>
      <c r="P237" s="260"/>
      <c r="Q237" s="260"/>
      <c r="R237" s="260"/>
      <c r="S237" s="260"/>
      <c r="T237" s="260"/>
      <c r="U237" s="260"/>
      <c r="V237" s="260"/>
      <c r="W237" s="260"/>
      <c r="X237" s="260"/>
      <c r="Y237" s="260"/>
      <c r="Z237" s="260"/>
      <c r="AA237" s="260"/>
      <c r="AB237" s="260"/>
      <c r="AC237" s="260"/>
      <c r="AD237" s="260"/>
      <c r="AE237" s="260"/>
      <c r="AF237" s="261"/>
      <c r="AG237" s="257"/>
      <c r="AH237" s="362" t="s">
        <v>523</v>
      </c>
      <c r="AI237" s="274"/>
      <c r="AJ237" s="274"/>
      <c r="AK237" s="274"/>
      <c r="AL237" s="274"/>
      <c r="AM237" s="337"/>
      <c r="AR237" s="1" t="s">
        <v>524</v>
      </c>
      <c r="AU237" s="257"/>
      <c r="AV237" s="257"/>
      <c r="AW237" s="257"/>
      <c r="AX237" s="257"/>
    </row>
    <row r="238" spans="1:50" ht="9.9499999999999993" customHeight="1" x14ac:dyDescent="0.15">
      <c r="A238" s="257"/>
      <c r="B238" s="288" t="s">
        <v>429</v>
      </c>
      <c r="C238" s="260"/>
      <c r="D238" s="260"/>
      <c r="E238" s="260"/>
      <c r="F238" s="260"/>
      <c r="G238" s="260"/>
      <c r="H238" s="260"/>
      <c r="I238" s="260"/>
      <c r="J238" s="260"/>
      <c r="K238" s="260"/>
      <c r="L238" s="260"/>
      <c r="M238" s="260"/>
      <c r="N238" s="260"/>
      <c r="O238" s="260"/>
      <c r="P238" s="260"/>
      <c r="Q238" s="260"/>
      <c r="R238" s="260"/>
      <c r="S238" s="260"/>
      <c r="T238" s="260"/>
      <c r="U238" s="260"/>
      <c r="V238" s="260"/>
      <c r="W238" s="260"/>
      <c r="X238" s="260"/>
      <c r="Y238" s="260"/>
      <c r="Z238" s="260"/>
      <c r="AA238" s="260"/>
      <c r="AB238" s="260"/>
      <c r="AC238" s="260"/>
      <c r="AD238" s="260"/>
      <c r="AE238" s="260"/>
      <c r="AF238" s="289"/>
      <c r="AG238" s="257"/>
      <c r="AH238" s="291"/>
      <c r="AI238" s="318"/>
      <c r="AJ238" s="318"/>
      <c r="AK238" s="319"/>
      <c r="AL238" s="259" t="s">
        <v>271</v>
      </c>
      <c r="AM238" s="318"/>
      <c r="AN238" s="319"/>
      <c r="AO238" s="19" t="s">
        <v>272</v>
      </c>
      <c r="AP238" s="19" t="s">
        <v>273</v>
      </c>
      <c r="AQ238" s="19" t="s">
        <v>274</v>
      </c>
      <c r="AR238" s="19" t="s">
        <v>430</v>
      </c>
      <c r="AU238" s="257"/>
      <c r="AV238" s="257"/>
      <c r="AW238" s="257"/>
      <c r="AX238" s="257"/>
    </row>
    <row r="239" spans="1:50" ht="9.9499999999999993" customHeight="1" x14ac:dyDescent="0.15">
      <c r="A239" s="257"/>
      <c r="B239" s="16"/>
      <c r="C239" s="3" t="s">
        <v>271</v>
      </c>
      <c r="D239" s="3" t="s">
        <v>85</v>
      </c>
      <c r="E239" s="276" t="s">
        <v>551</v>
      </c>
      <c r="F239" s="346">
        <v>43238</v>
      </c>
      <c r="G239" s="346">
        <v>43360</v>
      </c>
      <c r="H239" s="346">
        <v>43361</v>
      </c>
      <c r="I239" s="346">
        <v>43362</v>
      </c>
      <c r="J239" s="346">
        <v>43363</v>
      </c>
      <c r="K239" s="346">
        <v>43364</v>
      </c>
      <c r="L239" s="346">
        <v>43365</v>
      </c>
      <c r="M239" s="346">
        <v>43367</v>
      </c>
      <c r="N239" s="346">
        <v>43368</v>
      </c>
      <c r="O239" s="346">
        <v>43369</v>
      </c>
      <c r="P239" s="346">
        <v>43370</v>
      </c>
      <c r="Q239" s="346">
        <v>43371</v>
      </c>
      <c r="R239" s="346">
        <v>43374</v>
      </c>
      <c r="S239" s="346">
        <v>43375</v>
      </c>
      <c r="T239" s="346">
        <v>43376</v>
      </c>
      <c r="U239" s="346">
        <v>43377</v>
      </c>
      <c r="V239" s="346">
        <v>43378</v>
      </c>
      <c r="W239" s="346">
        <v>43381</v>
      </c>
      <c r="X239" s="346">
        <v>43382</v>
      </c>
      <c r="Y239" s="346">
        <v>43383</v>
      </c>
      <c r="Z239" s="346">
        <v>43384</v>
      </c>
      <c r="AA239" s="346">
        <v>43385</v>
      </c>
      <c r="AB239" s="346">
        <v>43388</v>
      </c>
      <c r="AC239" s="346">
        <v>43389</v>
      </c>
      <c r="AD239" s="346">
        <v>43390</v>
      </c>
      <c r="AE239" s="346">
        <v>43391</v>
      </c>
      <c r="AF239" s="346">
        <v>43392</v>
      </c>
      <c r="AG239" s="257"/>
      <c r="AH239" s="259" t="s">
        <v>347</v>
      </c>
      <c r="AI239" s="318"/>
      <c r="AJ239" s="318"/>
      <c r="AK239" s="319"/>
      <c r="AL239" s="580" t="s">
        <v>348</v>
      </c>
      <c r="AM239" s="581"/>
      <c r="AN239" s="582"/>
      <c r="AO239" s="358">
        <v>43364</v>
      </c>
      <c r="AP239" s="19" t="s">
        <v>110</v>
      </c>
      <c r="AQ239" s="19" t="s">
        <v>110</v>
      </c>
      <c r="AR239" s="19" t="s">
        <v>110</v>
      </c>
      <c r="AU239" s="257"/>
      <c r="AV239" s="257"/>
      <c r="AW239" s="257"/>
      <c r="AX239" s="257"/>
    </row>
    <row r="240" spans="1:50" ht="9.9499999999999993" customHeight="1" x14ac:dyDescent="0.15">
      <c r="A240" s="257"/>
      <c r="B240" s="7"/>
      <c r="C240" s="7"/>
      <c r="D240" s="7"/>
      <c r="E240" s="7"/>
      <c r="F240" s="293" t="s">
        <v>280</v>
      </c>
      <c r="G240" s="293" t="s">
        <v>276</v>
      </c>
      <c r="H240" s="293" t="s">
        <v>277</v>
      </c>
      <c r="I240" s="351" t="s">
        <v>278</v>
      </c>
      <c r="J240" s="351" t="s">
        <v>279</v>
      </c>
      <c r="K240" s="351" t="s">
        <v>280</v>
      </c>
      <c r="L240" s="293" t="s">
        <v>281</v>
      </c>
      <c r="M240" s="293" t="s">
        <v>276</v>
      </c>
      <c r="N240" s="293" t="s">
        <v>277</v>
      </c>
      <c r="O240" s="351" t="s">
        <v>278</v>
      </c>
      <c r="P240" s="351" t="s">
        <v>279</v>
      </c>
      <c r="Q240" s="351" t="s">
        <v>280</v>
      </c>
      <c r="R240" s="293" t="s">
        <v>276</v>
      </c>
      <c r="S240" s="293" t="s">
        <v>277</v>
      </c>
      <c r="T240" s="293" t="s">
        <v>278</v>
      </c>
      <c r="U240" s="351" t="s">
        <v>279</v>
      </c>
      <c r="V240" s="351" t="s">
        <v>280</v>
      </c>
      <c r="W240" s="351" t="s">
        <v>276</v>
      </c>
      <c r="X240" s="293" t="s">
        <v>277</v>
      </c>
      <c r="Y240" s="293" t="s">
        <v>278</v>
      </c>
      <c r="Z240" s="293" t="s">
        <v>279</v>
      </c>
      <c r="AA240" s="351" t="s">
        <v>280</v>
      </c>
      <c r="AB240" s="351" t="s">
        <v>276</v>
      </c>
      <c r="AC240" s="351" t="s">
        <v>277</v>
      </c>
      <c r="AD240" s="293" t="s">
        <v>278</v>
      </c>
      <c r="AE240" s="351" t="s">
        <v>279</v>
      </c>
      <c r="AF240" s="293" t="s">
        <v>280</v>
      </c>
      <c r="AG240" s="257"/>
      <c r="AH240" s="259" t="s">
        <v>527</v>
      </c>
      <c r="AI240" s="318"/>
      <c r="AJ240" s="318"/>
      <c r="AK240" s="319"/>
      <c r="AL240" s="583"/>
      <c r="AM240" s="584"/>
      <c r="AN240" s="585"/>
      <c r="AO240" s="358">
        <v>43364</v>
      </c>
      <c r="AP240" s="19" t="s">
        <v>110</v>
      </c>
      <c r="AQ240" s="19" t="s">
        <v>110</v>
      </c>
      <c r="AR240" s="19" t="s">
        <v>110</v>
      </c>
      <c r="AU240" s="257"/>
      <c r="AV240" s="257"/>
      <c r="AW240" s="257"/>
      <c r="AX240" s="257"/>
    </row>
    <row r="241" spans="1:50" ht="9.9499999999999993" customHeight="1" x14ac:dyDescent="0.15">
      <c r="A241" s="257"/>
      <c r="B241" s="590" t="s">
        <v>269</v>
      </c>
      <c r="C241" s="290">
        <v>0.23</v>
      </c>
      <c r="D241" s="590" t="s">
        <v>486</v>
      </c>
      <c r="E241" s="2" t="s">
        <v>552</v>
      </c>
      <c r="F241" s="265">
        <v>4.2000000000000003E-2</v>
      </c>
      <c r="G241" s="265">
        <v>4.8000000000000001E-2</v>
      </c>
      <c r="H241" s="265">
        <v>4.8000000000000001E-2</v>
      </c>
      <c r="I241" s="312">
        <v>5.3999999999999999E-2</v>
      </c>
      <c r="J241" s="312">
        <v>0.03</v>
      </c>
      <c r="K241" s="312">
        <v>5.3999999999999999E-2</v>
      </c>
      <c r="L241" s="265">
        <v>4.8000000000000001E-2</v>
      </c>
      <c r="M241" s="317"/>
      <c r="N241" s="265">
        <v>0.06</v>
      </c>
      <c r="O241" s="265">
        <v>4.8000000000000001E-2</v>
      </c>
      <c r="P241" s="265">
        <v>5.3999999999999999E-2</v>
      </c>
      <c r="Q241" s="312">
        <v>5.3999999999999999E-2</v>
      </c>
      <c r="R241" s="265">
        <v>3.5999999999999997E-2</v>
      </c>
      <c r="S241" s="265">
        <v>5.3999999999999999E-2</v>
      </c>
      <c r="T241" s="265">
        <v>4.8000000000000001E-2</v>
      </c>
      <c r="U241" s="265">
        <v>5.3999999999999999E-2</v>
      </c>
      <c r="V241" s="265">
        <v>5.3999999999999999E-2</v>
      </c>
      <c r="W241" s="317"/>
      <c r="X241" s="265">
        <v>4.8000000000000001E-2</v>
      </c>
      <c r="Y241" s="265">
        <v>4.8000000000000001E-2</v>
      </c>
      <c r="Z241" s="265">
        <v>5.3999999999999999E-2</v>
      </c>
      <c r="AA241" s="265">
        <v>4.8000000000000001E-2</v>
      </c>
      <c r="AB241" s="265">
        <v>4.8000000000000001E-2</v>
      </c>
      <c r="AC241" s="265">
        <v>4.8000000000000001E-2</v>
      </c>
      <c r="AD241" s="265">
        <v>4.8000000000000001E-2</v>
      </c>
      <c r="AE241" s="265">
        <v>3.5999999999999997E-2</v>
      </c>
      <c r="AF241" s="265">
        <v>4.8000000000000001E-2</v>
      </c>
      <c r="AG241" s="257"/>
      <c r="AH241" s="259" t="s">
        <v>353</v>
      </c>
      <c r="AI241" s="318"/>
      <c r="AJ241" s="318"/>
      <c r="AK241" s="319"/>
      <c r="AL241" s="583"/>
      <c r="AM241" s="584"/>
      <c r="AN241" s="585"/>
      <c r="AO241" s="358">
        <v>43364</v>
      </c>
      <c r="AP241" s="21">
        <v>0.8</v>
      </c>
      <c r="AQ241" s="19" t="s">
        <v>110</v>
      </c>
      <c r="AR241" s="2" t="s">
        <v>434</v>
      </c>
      <c r="AU241" s="257"/>
      <c r="AV241" s="257"/>
      <c r="AW241" s="257"/>
      <c r="AX241" s="257"/>
    </row>
    <row r="242" spans="1:50" ht="9.9499999999999993" customHeight="1" x14ac:dyDescent="0.15">
      <c r="A242" s="257"/>
      <c r="B242" s="591"/>
      <c r="C242" s="292"/>
      <c r="D242" s="591"/>
      <c r="E242" s="2" t="s">
        <v>553</v>
      </c>
      <c r="F242" s="265">
        <v>3.6999999999999998E-2</v>
      </c>
      <c r="G242" s="265">
        <v>0.04</v>
      </c>
      <c r="H242" s="265">
        <v>4.5999999999999999E-2</v>
      </c>
      <c r="I242" s="312">
        <v>3.9E-2</v>
      </c>
      <c r="J242" s="312">
        <v>4.3999999999999997E-2</v>
      </c>
      <c r="K242" s="312">
        <v>4.7E-2</v>
      </c>
      <c r="L242" s="317"/>
      <c r="M242" s="317"/>
      <c r="N242" s="265">
        <v>4.9000000000000002E-2</v>
      </c>
      <c r="O242" s="265">
        <v>4.2000000000000003E-2</v>
      </c>
      <c r="P242" s="265">
        <v>4.3999999999999997E-2</v>
      </c>
      <c r="Q242" s="312">
        <v>3.9E-2</v>
      </c>
      <c r="R242" s="265">
        <v>4.2000000000000003E-2</v>
      </c>
      <c r="S242" s="265">
        <v>3.9E-2</v>
      </c>
      <c r="T242" s="265">
        <v>4.2999999999999997E-2</v>
      </c>
      <c r="U242" s="265">
        <v>4.2999999999999997E-2</v>
      </c>
      <c r="V242" s="265">
        <v>4.1000000000000002E-2</v>
      </c>
      <c r="W242" s="317"/>
      <c r="X242" s="265">
        <v>3.9E-2</v>
      </c>
      <c r="Y242" s="265">
        <v>3.9E-2</v>
      </c>
      <c r="Z242" s="265">
        <v>0.04</v>
      </c>
      <c r="AA242" s="265">
        <v>4.1000000000000002E-2</v>
      </c>
      <c r="AB242" s="265">
        <v>4.8000000000000001E-2</v>
      </c>
      <c r="AC242" s="265">
        <v>4.2000000000000003E-2</v>
      </c>
      <c r="AD242" s="265">
        <v>4.2999999999999997E-2</v>
      </c>
      <c r="AE242" s="265">
        <v>4.2999999999999997E-2</v>
      </c>
      <c r="AF242" s="265">
        <v>4.3999999999999997E-2</v>
      </c>
      <c r="AG242" s="257"/>
      <c r="AH242" s="259" t="s">
        <v>357</v>
      </c>
      <c r="AI242" s="318"/>
      <c r="AJ242" s="318"/>
      <c r="AK242" s="319"/>
      <c r="AL242" s="11" t="s">
        <v>288</v>
      </c>
      <c r="AM242" s="322"/>
      <c r="AN242" s="323"/>
      <c r="AO242" s="358">
        <v>43364</v>
      </c>
      <c r="AP242" s="19" t="s">
        <v>110</v>
      </c>
      <c r="AQ242" s="19" t="s">
        <v>110</v>
      </c>
      <c r="AR242" s="19" t="s">
        <v>110</v>
      </c>
      <c r="AU242" s="257"/>
      <c r="AV242" s="257"/>
      <c r="AW242" s="257"/>
      <c r="AX242" s="257"/>
    </row>
    <row r="243" spans="1:50" ht="9.9499999999999993" customHeight="1" x14ac:dyDescent="0.15">
      <c r="A243" s="257"/>
      <c r="B243" s="591"/>
      <c r="C243" s="292"/>
      <c r="D243" s="591"/>
      <c r="E243" s="2" t="s">
        <v>554</v>
      </c>
      <c r="F243" s="265">
        <v>3.5999999999999997E-2</v>
      </c>
      <c r="G243" s="265">
        <v>3.6999999999999998E-2</v>
      </c>
      <c r="H243" s="265">
        <v>4.1000000000000002E-2</v>
      </c>
      <c r="I243" s="312">
        <v>3.7999999999999999E-2</v>
      </c>
      <c r="J243" s="312">
        <v>0.04</v>
      </c>
      <c r="K243" s="312">
        <v>4.2000000000000003E-2</v>
      </c>
      <c r="L243" s="317"/>
      <c r="M243" s="317"/>
      <c r="N243" s="265">
        <v>4.4999999999999998E-2</v>
      </c>
      <c r="O243" s="265">
        <v>3.5000000000000003E-2</v>
      </c>
      <c r="P243" s="265">
        <v>4.5999999999999999E-2</v>
      </c>
      <c r="Q243" s="312">
        <v>3.9E-2</v>
      </c>
      <c r="R243" s="265">
        <v>0.04</v>
      </c>
      <c r="S243" s="265">
        <v>0.04</v>
      </c>
      <c r="T243" s="265">
        <v>3.5999999999999997E-2</v>
      </c>
      <c r="U243" s="265">
        <v>3.7999999999999999E-2</v>
      </c>
      <c r="V243" s="265">
        <v>4.4999999999999998E-2</v>
      </c>
      <c r="W243" s="317"/>
      <c r="X243" s="265">
        <v>3.5000000000000003E-2</v>
      </c>
      <c r="Y243" s="265">
        <v>3.7999999999999999E-2</v>
      </c>
      <c r="Z243" s="265">
        <v>4.1000000000000002E-2</v>
      </c>
      <c r="AA243" s="265">
        <v>3.2000000000000001E-2</v>
      </c>
      <c r="AB243" s="265" t="s">
        <v>555</v>
      </c>
      <c r="AC243" s="265">
        <v>0.04</v>
      </c>
      <c r="AD243" s="265">
        <v>3.9E-2</v>
      </c>
      <c r="AE243" s="265">
        <v>3.7999999999999999E-2</v>
      </c>
      <c r="AF243" s="265">
        <v>3.4000000000000002E-2</v>
      </c>
      <c r="AG243" s="257"/>
      <c r="AH243" s="344" t="s">
        <v>360</v>
      </c>
      <c r="AI243" s="324"/>
      <c r="AJ243" s="324"/>
      <c r="AK243" s="324"/>
      <c r="AL243" s="324"/>
      <c r="AM243" s="325"/>
      <c r="AU243" s="257"/>
      <c r="AV243" s="257"/>
      <c r="AW243" s="257"/>
      <c r="AX243" s="257"/>
    </row>
    <row r="244" spans="1:50" ht="9.9499999999999993" customHeight="1" x14ac:dyDescent="0.15">
      <c r="A244" s="257"/>
      <c r="B244" s="5"/>
      <c r="C244" s="292"/>
      <c r="D244" s="601"/>
      <c r="E244" s="2" t="s">
        <v>556</v>
      </c>
      <c r="F244" s="265">
        <v>4.2000000000000003E-2</v>
      </c>
      <c r="G244" s="265">
        <v>3.6999999999999998E-2</v>
      </c>
      <c r="H244" s="265">
        <v>3.5000000000000003E-2</v>
      </c>
      <c r="I244" s="312">
        <v>3.4000000000000002E-2</v>
      </c>
      <c r="J244" s="312">
        <v>4.2000000000000003E-2</v>
      </c>
      <c r="K244" s="312">
        <v>0.04</v>
      </c>
      <c r="L244" s="317"/>
      <c r="M244" s="317"/>
      <c r="N244" s="265">
        <v>4.5999999999999999E-2</v>
      </c>
      <c r="O244" s="265">
        <v>4.1000000000000002E-2</v>
      </c>
      <c r="P244" s="265">
        <v>3.6999999999999998E-2</v>
      </c>
      <c r="Q244" s="312">
        <v>3.5000000000000003E-2</v>
      </c>
      <c r="R244" s="265">
        <v>4.2000000000000003E-2</v>
      </c>
      <c r="S244" s="265">
        <v>3.3000000000000002E-2</v>
      </c>
      <c r="T244" s="265">
        <v>3.6999999999999998E-2</v>
      </c>
      <c r="U244" s="265">
        <v>0.04</v>
      </c>
      <c r="V244" s="265">
        <v>0.04</v>
      </c>
      <c r="W244" s="317"/>
      <c r="X244" s="265">
        <v>3.2000000000000001E-2</v>
      </c>
      <c r="Y244" s="265">
        <v>2.9000000000000001E-2</v>
      </c>
      <c r="Z244" s="265">
        <v>3.7999999999999999E-2</v>
      </c>
      <c r="AA244" s="265">
        <v>3.5000000000000003E-2</v>
      </c>
      <c r="AB244" s="265" t="s">
        <v>557</v>
      </c>
      <c r="AC244" s="265">
        <v>4.2999999999999997E-2</v>
      </c>
      <c r="AD244" s="265">
        <v>3.7999999999999999E-2</v>
      </c>
      <c r="AE244" s="265">
        <v>3.6999999999999998E-2</v>
      </c>
      <c r="AF244" s="265">
        <v>4.2999999999999997E-2</v>
      </c>
      <c r="AG244" s="257"/>
      <c r="AH244" s="93" t="s">
        <v>366</v>
      </c>
      <c r="AU244" s="257"/>
      <c r="AV244" s="257"/>
      <c r="AW244" s="257"/>
      <c r="AX244" s="257"/>
    </row>
    <row r="245" spans="1:50" ht="9.9499999999999993" customHeight="1" x14ac:dyDescent="0.15">
      <c r="A245" s="257"/>
      <c r="B245" s="5"/>
      <c r="C245" s="292"/>
      <c r="D245" s="3" t="s">
        <v>558</v>
      </c>
      <c r="E245" s="2" t="s">
        <v>559</v>
      </c>
      <c r="F245" s="265">
        <v>4.2000000000000003E-2</v>
      </c>
      <c r="G245" s="265">
        <v>0.04</v>
      </c>
      <c r="H245" s="265">
        <v>4.2000000000000003E-2</v>
      </c>
      <c r="I245" s="312">
        <v>0.04</v>
      </c>
      <c r="J245" s="312">
        <v>4.8000000000000001E-2</v>
      </c>
      <c r="K245" s="312">
        <v>3.7999999999999999E-2</v>
      </c>
      <c r="L245" s="317"/>
      <c r="M245" s="317"/>
      <c r="N245" s="265">
        <v>5.2999999999999999E-2</v>
      </c>
      <c r="O245" s="265">
        <v>2.7E-2</v>
      </c>
      <c r="P245" s="265">
        <v>4.2999999999999997E-2</v>
      </c>
      <c r="Q245" s="312">
        <v>3.1E-2</v>
      </c>
      <c r="R245" s="265">
        <v>4.2999999999999997E-2</v>
      </c>
      <c r="S245" s="265">
        <v>4.3999999999999997E-2</v>
      </c>
      <c r="T245" s="265">
        <v>0.04</v>
      </c>
      <c r="U245" s="265">
        <v>4.3999999999999997E-2</v>
      </c>
      <c r="V245" s="265">
        <v>3.5000000000000003E-2</v>
      </c>
      <c r="W245" s="317"/>
      <c r="X245" s="265">
        <v>4.3999999999999997E-2</v>
      </c>
      <c r="Y245" s="265">
        <v>4.3999999999999997E-2</v>
      </c>
      <c r="Z245" s="265">
        <v>3.9E-2</v>
      </c>
      <c r="AA245" s="265">
        <v>3.7999999999999999E-2</v>
      </c>
      <c r="AB245" s="265">
        <v>4.3999999999999997E-2</v>
      </c>
      <c r="AC245" s="265">
        <v>4.2999999999999997E-2</v>
      </c>
      <c r="AD245" s="265">
        <v>4.2999999999999997E-2</v>
      </c>
      <c r="AE245" s="265">
        <v>4.3999999999999997E-2</v>
      </c>
      <c r="AF245" s="265">
        <v>3.7999999999999999E-2</v>
      </c>
      <c r="AG245" s="257"/>
      <c r="AH245" s="93" t="s">
        <v>529</v>
      </c>
      <c r="AU245" s="257"/>
      <c r="AV245" s="257"/>
      <c r="AW245" s="257"/>
      <c r="AX245" s="257"/>
    </row>
    <row r="246" spans="1:50" ht="9.9499999999999993" customHeight="1" x14ac:dyDescent="0.15">
      <c r="A246" s="257"/>
      <c r="B246" s="7"/>
      <c r="C246" s="301"/>
      <c r="D246" s="7"/>
      <c r="E246" s="2" t="s">
        <v>560</v>
      </c>
      <c r="F246" s="265">
        <v>4.4999999999999998E-2</v>
      </c>
      <c r="G246" s="265">
        <v>4.1000000000000002E-2</v>
      </c>
      <c r="H246" s="265">
        <v>4.7E-2</v>
      </c>
      <c r="I246" s="312">
        <v>4.2999999999999997E-2</v>
      </c>
      <c r="J246" s="312">
        <v>4.1000000000000002E-2</v>
      </c>
      <c r="K246" s="312">
        <v>4.7E-2</v>
      </c>
      <c r="L246" s="317"/>
      <c r="M246" s="317"/>
      <c r="N246" s="265">
        <v>4.9000000000000002E-2</v>
      </c>
      <c r="O246" s="265">
        <v>4.2000000000000003E-2</v>
      </c>
      <c r="P246" s="265">
        <v>4.2999999999999997E-2</v>
      </c>
      <c r="Q246" s="312">
        <v>4.7E-2</v>
      </c>
      <c r="R246" s="265">
        <v>4.3999999999999997E-2</v>
      </c>
      <c r="S246" s="265">
        <v>4.4999999999999998E-2</v>
      </c>
      <c r="T246" s="265">
        <v>0.04</v>
      </c>
      <c r="U246" s="265">
        <v>3.6999999999999998E-2</v>
      </c>
      <c r="V246" s="265">
        <v>4.2000000000000003E-2</v>
      </c>
      <c r="W246" s="317"/>
      <c r="X246" s="265">
        <v>4.5999999999999999E-2</v>
      </c>
      <c r="Y246" s="265">
        <v>4.1000000000000002E-2</v>
      </c>
      <c r="Z246" s="265">
        <v>4.2999999999999997E-2</v>
      </c>
      <c r="AA246" s="265">
        <v>4.2000000000000003E-2</v>
      </c>
      <c r="AB246" s="265">
        <v>4.1000000000000002E-2</v>
      </c>
      <c r="AC246" s="265">
        <v>4.5999999999999999E-2</v>
      </c>
      <c r="AD246" s="265">
        <v>4.5999999999999999E-2</v>
      </c>
      <c r="AE246" s="265">
        <v>4.5999999999999999E-2</v>
      </c>
      <c r="AF246" s="265">
        <v>3.4000000000000002E-2</v>
      </c>
      <c r="AG246" s="257"/>
      <c r="AH246" s="93" t="s">
        <v>361</v>
      </c>
      <c r="AU246" s="257"/>
      <c r="AV246" s="257"/>
      <c r="AW246" s="257"/>
      <c r="AX246" s="257"/>
    </row>
    <row r="247" spans="1:50" ht="9.9499999999999993" customHeight="1" x14ac:dyDescent="0.15">
      <c r="A247" s="257"/>
      <c r="B247" s="288" t="s">
        <v>356</v>
      </c>
      <c r="C247" s="260"/>
      <c r="D247" s="260"/>
      <c r="E247" s="260"/>
      <c r="F247" s="260"/>
      <c r="G247" s="260"/>
      <c r="H247" s="260"/>
      <c r="I247" s="260"/>
      <c r="J247" s="260"/>
      <c r="K247" s="260"/>
      <c r="L247" s="260"/>
      <c r="M247" s="260"/>
      <c r="N247" s="260"/>
      <c r="O247" s="260"/>
      <c r="P247" s="260"/>
      <c r="Q247" s="260"/>
      <c r="R247" s="260"/>
      <c r="S247" s="260"/>
      <c r="T247" s="260"/>
      <c r="U247" s="260"/>
      <c r="V247" s="260"/>
      <c r="W247" s="260"/>
      <c r="X247" s="260"/>
      <c r="Y247" s="260"/>
      <c r="Z247" s="260"/>
      <c r="AA247" s="260"/>
      <c r="AB247" s="260"/>
      <c r="AC247" s="260"/>
      <c r="AD247" s="260"/>
      <c r="AE247" s="260"/>
      <c r="AF247" s="289"/>
      <c r="AG247" s="257"/>
      <c r="AU247" s="257"/>
      <c r="AV247" s="257"/>
      <c r="AW247" s="257"/>
      <c r="AX247" s="257"/>
    </row>
    <row r="248" spans="1:50" ht="9.9499999999999993" customHeight="1" x14ac:dyDescent="0.15">
      <c r="A248" s="257"/>
      <c r="B248" s="16"/>
      <c r="C248" s="3" t="s">
        <v>271</v>
      </c>
      <c r="D248" s="607" t="s">
        <v>358</v>
      </c>
      <c r="E248" s="3" t="s">
        <v>359</v>
      </c>
      <c r="F248" s="346">
        <v>43238</v>
      </c>
      <c r="G248" s="346">
        <v>43360</v>
      </c>
      <c r="H248" s="346">
        <v>43361</v>
      </c>
      <c r="I248" s="346">
        <v>43362</v>
      </c>
      <c r="J248" s="346">
        <v>43363</v>
      </c>
      <c r="K248" s="346">
        <v>43364</v>
      </c>
      <c r="L248" s="346">
        <v>43365</v>
      </c>
      <c r="M248" s="346">
        <v>43367</v>
      </c>
      <c r="N248" s="346">
        <v>43368</v>
      </c>
      <c r="O248" s="346">
        <v>43369</v>
      </c>
      <c r="P248" s="346">
        <v>43370</v>
      </c>
      <c r="Q248" s="346">
        <v>43371</v>
      </c>
      <c r="R248" s="346">
        <v>43374</v>
      </c>
      <c r="S248" s="346">
        <v>43375</v>
      </c>
      <c r="T248" s="346">
        <v>43376</v>
      </c>
      <c r="U248" s="346">
        <v>43377</v>
      </c>
      <c r="V248" s="346">
        <v>43378</v>
      </c>
      <c r="W248" s="346">
        <v>43381</v>
      </c>
      <c r="X248" s="346">
        <v>43382</v>
      </c>
      <c r="Y248" s="346">
        <v>43383</v>
      </c>
      <c r="Z248" s="346">
        <v>43384</v>
      </c>
      <c r="AA248" s="346">
        <v>43385</v>
      </c>
      <c r="AB248" s="346">
        <v>43388</v>
      </c>
      <c r="AC248" s="346">
        <v>43389</v>
      </c>
      <c r="AD248" s="346">
        <v>43390</v>
      </c>
      <c r="AE248" s="346">
        <v>43391</v>
      </c>
      <c r="AF248" s="346">
        <v>43392</v>
      </c>
      <c r="AG248" s="257"/>
      <c r="AP248" s="22" t="s">
        <v>561</v>
      </c>
      <c r="AU248" s="257"/>
      <c r="AV248" s="257"/>
      <c r="AW248" s="257"/>
      <c r="AX248" s="257"/>
    </row>
    <row r="249" spans="1:50" ht="9.9499999999999993" customHeight="1" x14ac:dyDescent="0.15">
      <c r="A249" s="257"/>
      <c r="B249" s="7"/>
      <c r="C249" s="7"/>
      <c r="D249" s="608"/>
      <c r="E249" s="7"/>
      <c r="F249" s="293" t="s">
        <v>280</v>
      </c>
      <c r="G249" s="293" t="s">
        <v>276</v>
      </c>
      <c r="H249" s="293" t="s">
        <v>277</v>
      </c>
      <c r="I249" s="351" t="s">
        <v>278</v>
      </c>
      <c r="J249" s="351" t="s">
        <v>279</v>
      </c>
      <c r="K249" s="351" t="s">
        <v>280</v>
      </c>
      <c r="L249" s="293" t="s">
        <v>281</v>
      </c>
      <c r="M249" s="293" t="s">
        <v>276</v>
      </c>
      <c r="N249" s="293" t="s">
        <v>277</v>
      </c>
      <c r="O249" s="351" t="s">
        <v>278</v>
      </c>
      <c r="P249" s="351" t="s">
        <v>279</v>
      </c>
      <c r="Q249" s="351" t="s">
        <v>280</v>
      </c>
      <c r="R249" s="293" t="s">
        <v>276</v>
      </c>
      <c r="S249" s="293" t="s">
        <v>277</v>
      </c>
      <c r="T249" s="293" t="s">
        <v>278</v>
      </c>
      <c r="U249" s="351" t="s">
        <v>279</v>
      </c>
      <c r="V249" s="351" t="s">
        <v>280</v>
      </c>
      <c r="W249" s="351" t="s">
        <v>276</v>
      </c>
      <c r="X249" s="293" t="s">
        <v>277</v>
      </c>
      <c r="Y249" s="293" t="s">
        <v>278</v>
      </c>
      <c r="Z249" s="293" t="s">
        <v>279</v>
      </c>
      <c r="AA249" s="351" t="s">
        <v>280</v>
      </c>
      <c r="AB249" s="351" t="s">
        <v>276</v>
      </c>
      <c r="AC249" s="351" t="s">
        <v>277</v>
      </c>
      <c r="AD249" s="293" t="s">
        <v>278</v>
      </c>
      <c r="AE249" s="351" t="s">
        <v>279</v>
      </c>
      <c r="AF249" s="293" t="s">
        <v>280</v>
      </c>
      <c r="AG249" s="257"/>
      <c r="AH249" s="257"/>
      <c r="AI249" s="257"/>
      <c r="AJ249" s="257"/>
      <c r="AK249" s="257"/>
      <c r="AL249" s="257"/>
      <c r="AM249" s="257"/>
      <c r="AN249" s="257"/>
      <c r="AO249" s="257"/>
      <c r="AP249" s="257"/>
      <c r="AQ249" s="257"/>
      <c r="AR249" s="257"/>
      <c r="AS249" s="257"/>
      <c r="AT249" s="257"/>
      <c r="AU249" s="257"/>
      <c r="AV249" s="257"/>
      <c r="AW249" s="257"/>
      <c r="AX249" s="257"/>
    </row>
    <row r="250" spans="1:50" ht="9.9499999999999993" customHeight="1" x14ac:dyDescent="0.15">
      <c r="A250" s="257"/>
      <c r="B250" s="590" t="s">
        <v>269</v>
      </c>
      <c r="C250" s="290">
        <v>0.23</v>
      </c>
      <c r="D250" s="629" t="s">
        <v>465</v>
      </c>
      <c r="E250" s="2" t="s">
        <v>363</v>
      </c>
      <c r="F250" s="265">
        <v>4.2000000000000003E-2</v>
      </c>
      <c r="G250" s="265">
        <v>4.2000000000000003E-2</v>
      </c>
      <c r="H250" s="265">
        <v>5.3999999999999999E-2</v>
      </c>
      <c r="I250" s="312">
        <v>4.8000000000000001E-2</v>
      </c>
      <c r="J250" s="312">
        <v>4.8000000000000001E-2</v>
      </c>
      <c r="K250" s="312">
        <v>3.5999999999999997E-2</v>
      </c>
      <c r="L250" s="265">
        <v>0.06</v>
      </c>
      <c r="M250" s="265">
        <v>4.8000000000000001E-2</v>
      </c>
      <c r="N250" s="265">
        <v>4.8000000000000001E-2</v>
      </c>
      <c r="O250" s="265">
        <v>5.3999999999999999E-2</v>
      </c>
      <c r="P250" s="265">
        <v>5.3999999999999999E-2</v>
      </c>
      <c r="Q250" s="312">
        <v>5.3999999999999999E-2</v>
      </c>
      <c r="R250" s="265">
        <v>4.2000000000000003E-2</v>
      </c>
      <c r="S250" s="265">
        <v>3.5999999999999997E-2</v>
      </c>
      <c r="T250" s="265">
        <v>5.3999999999999999E-2</v>
      </c>
      <c r="U250" s="265">
        <v>4.8000000000000001E-2</v>
      </c>
      <c r="V250" s="265">
        <v>3.5999999999999997E-2</v>
      </c>
      <c r="W250" s="265">
        <v>3.5999999999999997E-2</v>
      </c>
      <c r="X250" s="265">
        <v>0.06</v>
      </c>
      <c r="Y250" s="265">
        <v>4.8000000000000001E-2</v>
      </c>
      <c r="Z250" s="265">
        <v>4.2000000000000003E-2</v>
      </c>
      <c r="AA250" s="265">
        <v>4.2000000000000003E-2</v>
      </c>
      <c r="AB250" s="265">
        <v>4.2000000000000003E-2</v>
      </c>
      <c r="AC250" s="265">
        <v>4.2000000000000003E-2</v>
      </c>
      <c r="AD250" s="265">
        <v>3.5999999999999997E-2</v>
      </c>
      <c r="AE250" s="265">
        <v>4.2000000000000003E-2</v>
      </c>
      <c r="AF250" s="265">
        <v>5.3999999999999999E-2</v>
      </c>
      <c r="AG250" s="257"/>
      <c r="AH250" s="257"/>
      <c r="AI250" s="257"/>
      <c r="AJ250" s="257"/>
      <c r="AK250" s="257"/>
      <c r="AL250" s="257"/>
      <c r="AM250" s="257"/>
      <c r="AN250" s="257"/>
      <c r="AO250" s="257"/>
      <c r="AP250" s="257"/>
      <c r="AQ250" s="257"/>
      <c r="AR250" s="257"/>
      <c r="AS250" s="257"/>
      <c r="AT250" s="257"/>
      <c r="AU250" s="257"/>
      <c r="AV250" s="257"/>
      <c r="AW250" s="257"/>
      <c r="AX250" s="257"/>
    </row>
    <row r="251" spans="1:50" ht="9.9499999999999993" customHeight="1" x14ac:dyDescent="0.15">
      <c r="A251" s="257"/>
      <c r="B251" s="591"/>
      <c r="C251" s="292"/>
      <c r="D251" s="630"/>
      <c r="E251" s="2" t="s">
        <v>441</v>
      </c>
      <c r="F251" s="265">
        <v>4.7E-2</v>
      </c>
      <c r="G251" s="265">
        <v>3.5999999999999997E-2</v>
      </c>
      <c r="H251" s="265">
        <v>3.9E-2</v>
      </c>
      <c r="I251" s="312">
        <v>3.2000000000000001E-2</v>
      </c>
      <c r="J251" s="312">
        <v>3.6999999999999998E-2</v>
      </c>
      <c r="K251" s="312">
        <v>3.9E-2</v>
      </c>
      <c r="L251" s="265">
        <v>5.2999999999999999E-2</v>
      </c>
      <c r="M251" s="265">
        <v>3.5000000000000003E-2</v>
      </c>
      <c r="N251" s="265">
        <v>0.04</v>
      </c>
      <c r="O251" s="265">
        <v>3.3000000000000002E-2</v>
      </c>
      <c r="P251" s="265">
        <v>0.05</v>
      </c>
      <c r="Q251" s="312">
        <v>3.5000000000000003E-2</v>
      </c>
      <c r="R251" s="265">
        <v>3.3000000000000002E-2</v>
      </c>
      <c r="S251" s="265">
        <v>3.9E-2</v>
      </c>
      <c r="T251" s="265">
        <v>3.5000000000000003E-2</v>
      </c>
      <c r="U251" s="265">
        <v>3.5999999999999997E-2</v>
      </c>
      <c r="V251" s="265">
        <v>3.5000000000000003E-2</v>
      </c>
      <c r="W251" s="265">
        <v>3.7999999999999999E-2</v>
      </c>
      <c r="X251" s="265">
        <v>3.6999999999999998E-2</v>
      </c>
      <c r="Y251" s="265">
        <v>4.2999999999999997E-2</v>
      </c>
      <c r="Z251" s="265">
        <v>3.7999999999999999E-2</v>
      </c>
      <c r="AA251" s="265">
        <v>3.7999999999999999E-2</v>
      </c>
      <c r="AB251" s="265">
        <v>0.04</v>
      </c>
      <c r="AC251" s="265">
        <v>3.3000000000000002E-2</v>
      </c>
      <c r="AD251" s="265">
        <v>3.7999999999999999E-2</v>
      </c>
      <c r="AE251" s="265">
        <v>3.6999999999999998E-2</v>
      </c>
      <c r="AF251" s="265">
        <v>3.9E-2</v>
      </c>
      <c r="AG251" s="257"/>
      <c r="AH251" s="257"/>
      <c r="AI251" s="257"/>
      <c r="AJ251" s="257"/>
      <c r="AK251" s="257"/>
      <c r="AL251" s="257"/>
      <c r="AM251" s="257"/>
      <c r="AN251" s="257"/>
      <c r="AO251" s="257"/>
      <c r="AP251" s="257"/>
      <c r="AQ251" s="257"/>
      <c r="AR251" s="257"/>
      <c r="AS251" s="257"/>
      <c r="AT251" s="257"/>
      <c r="AU251" s="257"/>
      <c r="AV251" s="257"/>
      <c r="AW251" s="257"/>
      <c r="AX251" s="257"/>
    </row>
    <row r="252" spans="1:50" ht="9.9499999999999993" customHeight="1" x14ac:dyDescent="0.15">
      <c r="A252" s="257"/>
      <c r="B252" s="591"/>
      <c r="C252" s="292"/>
      <c r="D252" s="630"/>
      <c r="E252" s="2" t="s">
        <v>442</v>
      </c>
      <c r="F252" s="265">
        <v>5.5E-2</v>
      </c>
      <c r="G252" s="265">
        <v>4.3999999999999997E-2</v>
      </c>
      <c r="H252" s="265">
        <v>4.2999999999999997E-2</v>
      </c>
      <c r="I252" s="312">
        <v>4.7E-2</v>
      </c>
      <c r="J252" s="312">
        <v>4.9000000000000002E-2</v>
      </c>
      <c r="K252" s="312">
        <v>4.8000000000000001E-2</v>
      </c>
      <c r="L252" s="265">
        <v>6.2E-2</v>
      </c>
      <c r="M252" s="265">
        <v>4.7E-2</v>
      </c>
      <c r="N252" s="265">
        <v>0.05</v>
      </c>
      <c r="O252" s="265">
        <v>0.05</v>
      </c>
      <c r="P252" s="265">
        <v>6.4000000000000001E-2</v>
      </c>
      <c r="Q252" s="312">
        <v>4.2999999999999997E-2</v>
      </c>
      <c r="R252" s="265">
        <v>4.3999999999999997E-2</v>
      </c>
      <c r="S252" s="265">
        <v>4.9000000000000002E-2</v>
      </c>
      <c r="T252" s="265">
        <v>4.4999999999999998E-2</v>
      </c>
      <c r="U252" s="265">
        <v>4.5999999999999999E-2</v>
      </c>
      <c r="V252" s="265">
        <v>5.2999999999999999E-2</v>
      </c>
      <c r="W252" s="265">
        <v>4.2999999999999997E-2</v>
      </c>
      <c r="X252" s="265">
        <v>5.0999999999999997E-2</v>
      </c>
      <c r="Y252" s="265">
        <v>5.1999999999999998E-2</v>
      </c>
      <c r="Z252" s="265">
        <v>4.8000000000000001E-2</v>
      </c>
      <c r="AA252" s="265">
        <v>4.7E-2</v>
      </c>
      <c r="AB252" s="265">
        <v>4.5999999999999999E-2</v>
      </c>
      <c r="AC252" s="265">
        <v>3.4000000000000002E-2</v>
      </c>
      <c r="AD252" s="265">
        <v>4.5999999999999999E-2</v>
      </c>
      <c r="AE252" s="265">
        <v>4.9000000000000002E-2</v>
      </c>
      <c r="AF252" s="265">
        <v>4.9000000000000002E-2</v>
      </c>
      <c r="AG252" s="257"/>
      <c r="AH252" s="257"/>
      <c r="AI252" s="257"/>
      <c r="AJ252" s="257"/>
      <c r="AK252" s="257"/>
      <c r="AL252" s="257"/>
      <c r="AM252" s="257"/>
      <c r="AN252" s="257"/>
      <c r="AO252" s="257"/>
      <c r="AP252" s="257"/>
      <c r="AQ252" s="257"/>
      <c r="AR252" s="257"/>
      <c r="AS252" s="257"/>
      <c r="AT252" s="257"/>
      <c r="AU252" s="257"/>
      <c r="AV252" s="257"/>
      <c r="AW252" s="257"/>
      <c r="AX252" s="257"/>
    </row>
    <row r="253" spans="1:50" ht="9.9499999999999993" customHeight="1" x14ac:dyDescent="0.15">
      <c r="A253" s="257"/>
      <c r="B253" s="5"/>
      <c r="C253" s="292"/>
      <c r="D253" s="630"/>
      <c r="E253" s="2" t="s">
        <v>369</v>
      </c>
      <c r="F253" s="265">
        <v>4.5999999999999999E-2</v>
      </c>
      <c r="G253" s="265">
        <v>0.04</v>
      </c>
      <c r="H253" s="265">
        <v>4.9000000000000002E-2</v>
      </c>
      <c r="I253" s="312">
        <v>4.4999999999999998E-2</v>
      </c>
      <c r="J253" s="312">
        <v>4.2000000000000003E-2</v>
      </c>
      <c r="K253" s="312">
        <v>4.4999999999999998E-2</v>
      </c>
      <c r="L253" s="265">
        <v>6.2E-2</v>
      </c>
      <c r="M253" s="265">
        <v>4.3999999999999997E-2</v>
      </c>
      <c r="N253" s="265">
        <v>4.8000000000000001E-2</v>
      </c>
      <c r="O253" s="265">
        <v>3.9E-2</v>
      </c>
      <c r="P253" s="265">
        <v>6.4000000000000001E-2</v>
      </c>
      <c r="Q253" s="312">
        <v>4.3999999999999997E-2</v>
      </c>
      <c r="R253" s="265">
        <v>4.4999999999999998E-2</v>
      </c>
      <c r="S253" s="265">
        <v>4.7E-2</v>
      </c>
      <c r="T253" s="265">
        <v>4.3999999999999997E-2</v>
      </c>
      <c r="U253" s="265">
        <v>4.2999999999999997E-2</v>
      </c>
      <c r="V253" s="265">
        <v>4.9000000000000002E-2</v>
      </c>
      <c r="W253" s="265">
        <v>4.1000000000000002E-2</v>
      </c>
      <c r="X253" s="265">
        <v>4.9000000000000002E-2</v>
      </c>
      <c r="Y253" s="265">
        <v>4.3999999999999997E-2</v>
      </c>
      <c r="Z253" s="265">
        <v>5.3999999999999999E-2</v>
      </c>
      <c r="AA253" s="265">
        <v>4.2999999999999997E-2</v>
      </c>
      <c r="AB253" s="265">
        <v>4.4999999999999998E-2</v>
      </c>
      <c r="AC253" s="265">
        <v>4.2999999999999997E-2</v>
      </c>
      <c r="AD253" s="265">
        <v>4.1000000000000002E-2</v>
      </c>
      <c r="AE253" s="265">
        <v>4.7E-2</v>
      </c>
      <c r="AF253" s="265">
        <v>4.8000000000000001E-2</v>
      </c>
      <c r="AG253" s="257"/>
      <c r="AH253" s="257"/>
      <c r="AI253" s="257"/>
      <c r="AJ253" s="257"/>
      <c r="AK253" s="257"/>
      <c r="AL253" s="257"/>
      <c r="AM253" s="257"/>
      <c r="AN253" s="257"/>
      <c r="AO253" s="257"/>
      <c r="AP253" s="257"/>
      <c r="AQ253" s="257"/>
      <c r="AR253" s="257"/>
      <c r="AS253" s="257"/>
      <c r="AT253" s="257"/>
      <c r="AU253" s="257"/>
      <c r="AV253" s="257"/>
      <c r="AW253" s="257"/>
      <c r="AX253" s="257"/>
    </row>
    <row r="254" spans="1:50" ht="9.9499999999999993" customHeight="1" x14ac:dyDescent="0.15">
      <c r="A254" s="257"/>
      <c r="B254" s="5"/>
      <c r="C254" s="292"/>
      <c r="D254" s="5"/>
      <c r="E254" s="2" t="s">
        <v>297</v>
      </c>
      <c r="F254" s="265">
        <v>5.2999999999999999E-2</v>
      </c>
      <c r="G254" s="265">
        <v>4.4999999999999998E-2</v>
      </c>
      <c r="H254" s="265">
        <v>3.7999999999999999E-2</v>
      </c>
      <c r="I254" s="312">
        <v>3.9E-2</v>
      </c>
      <c r="J254" s="312">
        <v>3.3000000000000002E-2</v>
      </c>
      <c r="K254" s="312">
        <v>5.0999999999999997E-2</v>
      </c>
      <c r="L254" s="265">
        <v>5.6000000000000001E-2</v>
      </c>
      <c r="M254" s="265">
        <v>3.9E-2</v>
      </c>
      <c r="N254" s="265">
        <v>4.5999999999999999E-2</v>
      </c>
      <c r="O254" s="265">
        <v>3.4000000000000002E-2</v>
      </c>
      <c r="P254" s="265">
        <v>4.9000000000000002E-2</v>
      </c>
      <c r="Q254" s="312">
        <v>0.04</v>
      </c>
      <c r="R254" s="265">
        <v>3.3000000000000002E-2</v>
      </c>
      <c r="S254" s="265">
        <v>4.3999999999999997E-2</v>
      </c>
      <c r="T254" s="265">
        <v>4.2000000000000003E-2</v>
      </c>
      <c r="U254" s="265">
        <v>3.3000000000000002E-2</v>
      </c>
      <c r="V254" s="265">
        <v>4.3999999999999997E-2</v>
      </c>
      <c r="W254" s="265">
        <v>5.2999999999999999E-2</v>
      </c>
      <c r="X254" s="265">
        <v>0.04</v>
      </c>
      <c r="Y254" s="265">
        <v>4.4999999999999998E-2</v>
      </c>
      <c r="Z254" s="265">
        <v>4.2000000000000003E-2</v>
      </c>
      <c r="AA254" s="265">
        <v>4.2000000000000003E-2</v>
      </c>
      <c r="AB254" s="265">
        <v>4.4999999999999998E-2</v>
      </c>
      <c r="AC254" s="265">
        <v>4.2999999999999997E-2</v>
      </c>
      <c r="AD254" s="265">
        <v>3.7999999999999999E-2</v>
      </c>
      <c r="AE254" s="265">
        <v>3.5000000000000003E-2</v>
      </c>
      <c r="AF254" s="265">
        <v>4.1000000000000002E-2</v>
      </c>
      <c r="AG254" s="257"/>
      <c r="AH254" s="257"/>
      <c r="AI254" s="257"/>
      <c r="AJ254" s="257"/>
      <c r="AK254" s="257"/>
      <c r="AL254" s="257"/>
      <c r="AM254" s="257"/>
      <c r="AN254" s="257"/>
      <c r="AO254" s="257"/>
      <c r="AP254" s="257"/>
      <c r="AQ254" s="257"/>
      <c r="AR254" s="257"/>
      <c r="AS254" s="257"/>
      <c r="AT254" s="257"/>
      <c r="AU254" s="257"/>
      <c r="AV254" s="257"/>
      <c r="AW254" s="257"/>
      <c r="AX254" s="257"/>
    </row>
    <row r="255" spans="1:50" ht="9.9499999999999993" customHeight="1" x14ac:dyDescent="0.15">
      <c r="A255" s="257"/>
      <c r="B255" s="5"/>
      <c r="C255" s="292"/>
      <c r="D255" s="5"/>
      <c r="E255" s="2" t="s">
        <v>370</v>
      </c>
      <c r="F255" s="265">
        <v>5.1999999999999998E-2</v>
      </c>
      <c r="G255" s="265">
        <v>0.05</v>
      </c>
      <c r="H255" s="265">
        <v>5.5E-2</v>
      </c>
      <c r="I255" s="312">
        <v>5.1999999999999998E-2</v>
      </c>
      <c r="J255" s="312">
        <v>5.2999999999999999E-2</v>
      </c>
      <c r="K255" s="312">
        <v>5.2999999999999999E-2</v>
      </c>
      <c r="L255" s="265">
        <v>6.9000000000000006E-2</v>
      </c>
      <c r="M255" s="265">
        <v>4.3999999999999997E-2</v>
      </c>
      <c r="N255" s="265">
        <v>5.2999999999999999E-2</v>
      </c>
      <c r="O255" s="265">
        <v>4.7E-2</v>
      </c>
      <c r="P255" s="265">
        <v>6.4000000000000001E-2</v>
      </c>
      <c r="Q255" s="312">
        <v>4.5999999999999999E-2</v>
      </c>
      <c r="R255" s="265">
        <v>4.4999999999999998E-2</v>
      </c>
      <c r="S255" s="265">
        <v>4.9000000000000002E-2</v>
      </c>
      <c r="T255" s="265">
        <v>5.0999999999999997E-2</v>
      </c>
      <c r="U255" s="265">
        <v>0.05</v>
      </c>
      <c r="V255" s="265">
        <v>4.5999999999999999E-2</v>
      </c>
      <c r="W255" s="265">
        <v>4.8000000000000001E-2</v>
      </c>
      <c r="X255" s="265">
        <v>0.05</v>
      </c>
      <c r="Y255" s="265">
        <v>4.7E-2</v>
      </c>
      <c r="Z255" s="265">
        <v>4.5999999999999999E-2</v>
      </c>
      <c r="AA255" s="265">
        <v>4.8000000000000001E-2</v>
      </c>
      <c r="AB255" s="265">
        <v>0.05</v>
      </c>
      <c r="AC255" s="265">
        <v>4.9000000000000002E-2</v>
      </c>
      <c r="AD255" s="265">
        <v>0.05</v>
      </c>
      <c r="AE255" s="265">
        <v>4.7E-2</v>
      </c>
      <c r="AF255" s="265">
        <v>4.5999999999999999E-2</v>
      </c>
      <c r="AG255" s="257"/>
      <c r="AH255" s="257"/>
      <c r="AI255" s="257"/>
      <c r="AJ255" s="257"/>
      <c r="AK255" s="257"/>
      <c r="AL255" s="257"/>
      <c r="AM255" s="257"/>
      <c r="AN255" s="257"/>
      <c r="AO255" s="257"/>
      <c r="AP255" s="257"/>
      <c r="AQ255" s="257"/>
      <c r="AR255" s="257"/>
      <c r="AS255" s="257"/>
      <c r="AT255" s="257"/>
      <c r="AU255" s="257"/>
      <c r="AV255" s="257"/>
      <c r="AW255" s="257"/>
      <c r="AX255" s="257"/>
    </row>
    <row r="256" spans="1:50" ht="9.9499999999999993" customHeight="1" x14ac:dyDescent="0.15">
      <c r="A256" s="257"/>
      <c r="B256" s="7"/>
      <c r="C256" s="301"/>
      <c r="D256" s="7"/>
      <c r="E256" s="2" t="s">
        <v>371</v>
      </c>
      <c r="F256" s="265">
        <v>4.8000000000000001E-2</v>
      </c>
      <c r="G256" s="265">
        <v>3.2000000000000001E-2</v>
      </c>
      <c r="H256" s="265">
        <v>0.04</v>
      </c>
      <c r="I256" s="312">
        <v>3.5999999999999997E-2</v>
      </c>
      <c r="J256" s="312">
        <v>3.5000000000000003E-2</v>
      </c>
      <c r="K256" s="312">
        <v>0.04</v>
      </c>
      <c r="L256" s="265">
        <v>4.2999999999999997E-2</v>
      </c>
      <c r="M256" s="265">
        <v>3.3000000000000002E-2</v>
      </c>
      <c r="N256" s="265">
        <v>4.2000000000000003E-2</v>
      </c>
      <c r="O256" s="265">
        <v>3.3000000000000002E-2</v>
      </c>
      <c r="P256" s="265">
        <v>4.8000000000000001E-2</v>
      </c>
      <c r="Q256" s="312">
        <v>3.4000000000000002E-2</v>
      </c>
      <c r="R256" s="265">
        <v>0.03</v>
      </c>
      <c r="S256" s="265">
        <v>3.3000000000000002E-2</v>
      </c>
      <c r="T256" s="265">
        <v>3.4000000000000002E-2</v>
      </c>
      <c r="U256" s="265">
        <v>0.04</v>
      </c>
      <c r="V256" s="265">
        <v>3.5000000000000003E-2</v>
      </c>
      <c r="W256" s="265">
        <v>3.5999999999999997E-2</v>
      </c>
      <c r="X256" s="265">
        <v>3.6999999999999998E-2</v>
      </c>
      <c r="Y256" s="265">
        <v>3.9E-2</v>
      </c>
      <c r="Z256" s="265">
        <v>3.6999999999999998E-2</v>
      </c>
      <c r="AA256" s="265">
        <v>3.7999999999999999E-2</v>
      </c>
      <c r="AB256" s="265">
        <v>4.1000000000000002E-2</v>
      </c>
      <c r="AC256" s="265">
        <v>3.5000000000000003E-2</v>
      </c>
      <c r="AD256" s="265">
        <v>0.04</v>
      </c>
      <c r="AE256" s="265">
        <v>3.9E-2</v>
      </c>
      <c r="AF256" s="265">
        <v>3.6999999999999998E-2</v>
      </c>
      <c r="AG256" s="257"/>
      <c r="AH256" s="257"/>
      <c r="AI256" s="257"/>
      <c r="AJ256" s="257"/>
      <c r="AK256" s="257"/>
      <c r="AL256" s="257"/>
      <c r="AM256" s="257"/>
      <c r="AN256" s="257"/>
      <c r="AO256" s="257"/>
      <c r="AP256" s="257"/>
      <c r="AQ256" s="257"/>
      <c r="AR256" s="257"/>
      <c r="AS256" s="257"/>
      <c r="AT256" s="257"/>
      <c r="AU256" s="257"/>
      <c r="AV256" s="257"/>
      <c r="AW256" s="257"/>
      <c r="AX256" s="257"/>
    </row>
    <row r="257" spans="1:50" ht="9.9499999999999993" customHeight="1" x14ac:dyDescent="0.15">
      <c r="A257" s="257"/>
      <c r="B257" s="600" t="s">
        <v>372</v>
      </c>
      <c r="C257" s="610" t="s">
        <v>562</v>
      </c>
      <c r="D257" s="629" t="s">
        <v>497</v>
      </c>
      <c r="E257" s="326"/>
      <c r="F257" s="260"/>
      <c r="G257" s="260"/>
      <c r="H257" s="261"/>
      <c r="I257" s="363" t="s">
        <v>563</v>
      </c>
      <c r="J257" s="348">
        <v>43364</v>
      </c>
      <c r="K257" s="348">
        <v>43378</v>
      </c>
      <c r="L257" s="22" t="s">
        <v>345</v>
      </c>
      <c r="M257" s="280"/>
      <c r="N257" s="280"/>
      <c r="O257" s="280"/>
      <c r="P257" s="280"/>
      <c r="Q257" s="280"/>
      <c r="R257" s="280"/>
      <c r="S257" s="280"/>
      <c r="T257" s="280"/>
      <c r="U257" s="280"/>
      <c r="V257" s="280"/>
      <c r="W257" s="280"/>
      <c r="X257" s="280"/>
      <c r="Y257" s="280"/>
      <c r="Z257" s="280"/>
      <c r="AA257" s="280"/>
      <c r="AB257" s="280"/>
      <c r="AC257" s="280"/>
      <c r="AD257" s="280"/>
      <c r="AE257" s="280"/>
      <c r="AF257" s="349"/>
      <c r="AG257" s="257"/>
      <c r="AH257" s="257"/>
      <c r="AI257" s="257"/>
      <c r="AJ257" s="257"/>
      <c r="AK257" s="257"/>
      <c r="AL257" s="257"/>
      <c r="AM257" s="257"/>
      <c r="AN257" s="257"/>
      <c r="AO257" s="257"/>
      <c r="AP257" s="257"/>
      <c r="AQ257" s="257"/>
      <c r="AR257" s="257"/>
      <c r="AS257" s="257"/>
      <c r="AT257" s="257"/>
      <c r="AU257" s="257"/>
      <c r="AV257" s="257"/>
      <c r="AW257" s="257"/>
      <c r="AX257" s="257"/>
    </row>
    <row r="258" spans="1:50" ht="9.9499999999999993" customHeight="1" x14ac:dyDescent="0.15">
      <c r="A258" s="257"/>
      <c r="B258" s="609"/>
      <c r="C258" s="611"/>
      <c r="D258" s="630"/>
      <c r="E258" s="329" t="s">
        <v>447</v>
      </c>
      <c r="F258" s="260"/>
      <c r="G258" s="260"/>
      <c r="H258" s="261"/>
      <c r="I258" s="329" t="s">
        <v>110</v>
      </c>
      <c r="J258" s="329" t="s">
        <v>110</v>
      </c>
      <c r="K258" s="329" t="s">
        <v>110</v>
      </c>
      <c r="L258" s="22" t="s">
        <v>110</v>
      </c>
      <c r="N258" s="15" t="s">
        <v>348</v>
      </c>
      <c r="O258" s="15"/>
      <c r="P258" s="8"/>
      <c r="Q258" s="8"/>
      <c r="R258" s="8"/>
      <c r="S258" s="8"/>
      <c r="T258" s="8"/>
      <c r="U258" s="8"/>
      <c r="V258" s="8"/>
      <c r="W258" s="8"/>
      <c r="X258" s="8"/>
      <c r="Y258" s="8"/>
      <c r="Z258" s="8"/>
      <c r="AA258" s="8"/>
      <c r="AB258" s="8"/>
      <c r="AC258" s="8"/>
      <c r="AD258" s="8"/>
      <c r="AE258" s="8"/>
      <c r="AF258" s="279"/>
      <c r="AG258" s="257"/>
      <c r="AH258" s="257"/>
      <c r="AI258" s="257"/>
      <c r="AJ258" s="257"/>
      <c r="AK258" s="257"/>
      <c r="AL258" s="257"/>
      <c r="AM258" s="257"/>
      <c r="AN258" s="257"/>
      <c r="AO258" s="257"/>
      <c r="AP258" s="257"/>
      <c r="AQ258" s="257"/>
      <c r="AR258" s="257"/>
      <c r="AS258" s="257"/>
      <c r="AT258" s="257"/>
      <c r="AU258" s="257"/>
      <c r="AV258" s="257"/>
      <c r="AW258" s="257"/>
      <c r="AX258" s="257"/>
    </row>
    <row r="259" spans="1:50" ht="9.9499999999999993" customHeight="1" x14ac:dyDescent="0.15">
      <c r="A259" s="257"/>
      <c r="B259" s="609"/>
      <c r="C259" s="611"/>
      <c r="D259" s="630"/>
      <c r="E259" s="329" t="s">
        <v>448</v>
      </c>
      <c r="F259" s="260"/>
      <c r="G259" s="260"/>
      <c r="H259" s="261"/>
      <c r="I259" s="329" t="s">
        <v>110</v>
      </c>
      <c r="J259" s="329" t="s">
        <v>110</v>
      </c>
      <c r="K259" s="329" t="s">
        <v>110</v>
      </c>
      <c r="L259" s="22" t="s">
        <v>110</v>
      </c>
      <c r="N259" s="1" t="s">
        <v>377</v>
      </c>
      <c r="O259" s="15"/>
      <c r="P259" s="8"/>
      <c r="Q259" s="8"/>
      <c r="R259" s="8"/>
      <c r="S259" s="257"/>
      <c r="T259" s="257"/>
      <c r="U259" s="257"/>
      <c r="V259" s="257"/>
      <c r="W259" s="257"/>
      <c r="X259" s="257"/>
      <c r="Y259" s="257"/>
      <c r="Z259" s="257"/>
      <c r="AA259" s="257"/>
      <c r="AB259" s="257"/>
      <c r="AC259" s="257"/>
      <c r="AD259" s="257"/>
      <c r="AE259" s="257"/>
      <c r="AF259" s="257"/>
      <c r="AG259" s="257"/>
      <c r="AH259" s="257"/>
      <c r="AI259" s="257"/>
      <c r="AJ259" s="257"/>
      <c r="AK259" s="257"/>
      <c r="AL259" s="257"/>
      <c r="AM259" s="257"/>
      <c r="AN259" s="257"/>
      <c r="AO259" s="257"/>
      <c r="AP259" s="257"/>
      <c r="AQ259" s="257"/>
      <c r="AR259" s="257"/>
      <c r="AS259" s="257"/>
      <c r="AT259" s="257"/>
      <c r="AU259" s="257"/>
      <c r="AV259" s="257"/>
      <c r="AW259" s="257"/>
      <c r="AX259" s="257"/>
    </row>
    <row r="260" spans="1:50" ht="9.9499999999999993" customHeight="1" x14ac:dyDescent="0.15">
      <c r="A260" s="257"/>
      <c r="B260" s="268"/>
      <c r="C260" s="611"/>
      <c r="D260" s="630"/>
      <c r="E260" s="329" t="s">
        <v>353</v>
      </c>
      <c r="F260" s="260"/>
      <c r="G260" s="260"/>
      <c r="H260" s="261"/>
      <c r="I260" s="329" t="s">
        <v>110</v>
      </c>
      <c r="J260" s="330">
        <v>0.8</v>
      </c>
      <c r="K260" s="364">
        <v>1</v>
      </c>
      <c r="L260" s="22" t="s">
        <v>355</v>
      </c>
      <c r="M260" s="8"/>
      <c r="N260" s="8"/>
      <c r="O260" s="8"/>
      <c r="P260" s="8"/>
      <c r="Q260" s="8"/>
      <c r="R260" s="8"/>
      <c r="S260" s="257"/>
      <c r="T260" s="257"/>
      <c r="U260" s="257"/>
      <c r="V260" s="257"/>
      <c r="W260" s="257"/>
      <c r="X260" s="257"/>
      <c r="Y260" s="257"/>
      <c r="Z260" s="257"/>
      <c r="AA260" s="257"/>
      <c r="AB260" s="257"/>
      <c r="AC260" s="257"/>
      <c r="AD260" s="257"/>
      <c r="AE260" s="257"/>
      <c r="AF260" s="257"/>
      <c r="AG260" s="257"/>
      <c r="AH260" s="257"/>
      <c r="AI260" s="257"/>
      <c r="AJ260" s="257"/>
      <c r="AK260" s="257"/>
      <c r="AL260" s="257"/>
      <c r="AM260" s="257"/>
      <c r="AN260" s="257"/>
      <c r="AO260" s="257"/>
      <c r="AP260" s="257"/>
      <c r="AQ260" s="257"/>
      <c r="AR260" s="257"/>
      <c r="AS260" s="257"/>
      <c r="AT260" s="257"/>
      <c r="AU260" s="257"/>
      <c r="AV260" s="257"/>
      <c r="AW260" s="257"/>
      <c r="AX260" s="257"/>
    </row>
    <row r="261" spans="1:50" ht="9.9499999999999993" customHeight="1" x14ac:dyDescent="0.15">
      <c r="A261" s="257"/>
      <c r="B261" s="331"/>
      <c r="C261" s="612"/>
      <c r="D261" s="7"/>
      <c r="E261" s="329" t="s">
        <v>357</v>
      </c>
      <c r="F261" s="260"/>
      <c r="G261" s="260"/>
      <c r="H261" s="261"/>
      <c r="I261" s="329" t="s">
        <v>110</v>
      </c>
      <c r="J261" s="329" t="s">
        <v>110</v>
      </c>
      <c r="K261" s="329" t="s">
        <v>110</v>
      </c>
      <c r="L261" s="22" t="s">
        <v>110</v>
      </c>
      <c r="M261" s="8"/>
      <c r="N261" s="8"/>
      <c r="O261" s="8"/>
      <c r="P261" s="285"/>
      <c r="Q261" s="285"/>
      <c r="R261" s="285"/>
      <c r="S261" s="257"/>
      <c r="T261" s="257"/>
      <c r="U261" s="257"/>
      <c r="V261" s="257"/>
      <c r="W261" s="257"/>
      <c r="X261" s="257"/>
      <c r="Y261" s="257"/>
      <c r="Z261" s="257"/>
      <c r="AA261" s="257"/>
      <c r="AB261" s="257"/>
      <c r="AC261" s="257"/>
      <c r="AD261" s="257"/>
      <c r="AE261" s="257"/>
      <c r="AF261" s="257"/>
      <c r="AG261" s="257"/>
      <c r="AH261" s="257"/>
      <c r="AI261" s="257"/>
      <c r="AJ261" s="257"/>
      <c r="AK261" s="257"/>
      <c r="AL261" s="257"/>
      <c r="AM261" s="257"/>
      <c r="AN261" s="257"/>
      <c r="AO261" s="257"/>
      <c r="AP261" s="257"/>
      <c r="AQ261" s="257"/>
      <c r="AR261" s="257"/>
      <c r="AS261" s="257"/>
      <c r="AT261" s="257"/>
      <c r="AU261" s="257"/>
      <c r="AV261" s="257"/>
      <c r="AW261" s="257"/>
      <c r="AX261" s="257"/>
    </row>
    <row r="262" spans="1:50" ht="9.9499999999999993" customHeight="1" x14ac:dyDescent="0.15">
      <c r="S262" s="257"/>
      <c r="T262" s="257"/>
      <c r="U262" s="257"/>
      <c r="V262" s="257"/>
      <c r="W262" s="257"/>
      <c r="X262" s="257"/>
      <c r="Y262" s="257"/>
      <c r="Z262" s="257"/>
      <c r="AA262" s="257"/>
      <c r="AB262" s="257"/>
      <c r="AC262" s="257"/>
      <c r="AD262" s="257"/>
      <c r="AE262" s="257"/>
      <c r="AF262" s="257"/>
      <c r="AG262" s="257"/>
      <c r="AH262" s="257"/>
      <c r="AI262" s="257"/>
      <c r="AJ262" s="257"/>
      <c r="AK262" s="257"/>
    </row>
    <row r="263" spans="1:50" ht="9.9499999999999993" customHeight="1" x14ac:dyDescent="0.15">
      <c r="A263" s="257"/>
      <c r="B263" s="258" t="s">
        <v>564</v>
      </c>
      <c r="C263" s="258"/>
      <c r="D263" s="258"/>
      <c r="E263" s="258"/>
      <c r="F263" s="258"/>
      <c r="G263" s="258"/>
      <c r="H263" s="258"/>
      <c r="I263" s="258"/>
      <c r="J263" s="258"/>
      <c r="K263" s="258"/>
      <c r="L263" s="258"/>
      <c r="M263" s="258"/>
      <c r="N263" s="258" t="s">
        <v>531</v>
      </c>
      <c r="O263" s="258"/>
      <c r="P263" s="258"/>
      <c r="Q263" s="258"/>
      <c r="R263" s="258"/>
      <c r="S263" s="258"/>
      <c r="T263" s="258"/>
      <c r="U263" s="258"/>
      <c r="V263" s="258"/>
      <c r="W263" s="8"/>
      <c r="X263" s="8"/>
      <c r="Y263" s="8"/>
      <c r="Z263" s="8"/>
      <c r="AA263" s="8"/>
    </row>
    <row r="264" spans="1:50" ht="9.9499999999999993" customHeight="1" x14ac:dyDescent="0.15">
      <c r="A264" s="257"/>
      <c r="B264" s="273" t="s">
        <v>451</v>
      </c>
      <c r="C264" s="8"/>
      <c r="D264" s="8"/>
      <c r="E264" s="8"/>
      <c r="F264" s="8"/>
      <c r="G264" s="9"/>
      <c r="H264" s="9"/>
      <c r="I264" s="9"/>
      <c r="J264" s="9"/>
      <c r="K264" s="9"/>
      <c r="L264" s="8"/>
      <c r="M264" s="8" t="s">
        <v>533</v>
      </c>
      <c r="N264" s="8"/>
      <c r="O264" s="8"/>
      <c r="P264" s="8"/>
      <c r="Q264" s="8"/>
      <c r="R264" s="8"/>
      <c r="S264" s="8"/>
      <c r="T264" s="8"/>
      <c r="U264" s="8"/>
      <c r="V264" s="8"/>
      <c r="W264" s="8"/>
      <c r="X264" s="8"/>
      <c r="Y264" s="8"/>
      <c r="Z264" s="8"/>
      <c r="AA264" s="8"/>
      <c r="AB264" s="8"/>
      <c r="AC264" s="8"/>
      <c r="AD264" s="8"/>
      <c r="AE264" s="8"/>
      <c r="AF264" s="257"/>
      <c r="AH264" s="273"/>
      <c r="AI264" s="8"/>
      <c r="AJ264" s="8"/>
      <c r="AK264" s="8"/>
      <c r="AL264" s="8"/>
      <c r="AM264" s="8"/>
      <c r="AN264" s="8"/>
      <c r="AO264" s="8"/>
      <c r="AP264" s="8"/>
      <c r="AQ264" s="8"/>
      <c r="AR264" s="8"/>
      <c r="AS264" s="8"/>
      <c r="AT264" s="8"/>
      <c r="AU264" s="257"/>
      <c r="AV264" s="257"/>
      <c r="AW264" s="257"/>
      <c r="AX264" s="257"/>
    </row>
    <row r="265" spans="1:50" ht="9.9499999999999993" customHeight="1" x14ac:dyDescent="0.15">
      <c r="B265" s="3" t="s">
        <v>534</v>
      </c>
      <c r="C265" s="3" t="s">
        <v>232</v>
      </c>
      <c r="D265" s="3" t="s">
        <v>385</v>
      </c>
      <c r="E265" s="3" t="s">
        <v>234</v>
      </c>
      <c r="F265" s="3" t="s">
        <v>235</v>
      </c>
      <c r="G265" s="259" t="s">
        <v>236</v>
      </c>
      <c r="H265" s="260"/>
      <c r="I265" s="260"/>
      <c r="J265" s="260"/>
      <c r="K265" s="260"/>
      <c r="L265" s="262"/>
      <c r="M265" s="3" t="s">
        <v>565</v>
      </c>
      <c r="N265" s="346">
        <v>43395</v>
      </c>
      <c r="O265" s="346">
        <v>43396</v>
      </c>
      <c r="P265" s="346">
        <v>43397</v>
      </c>
      <c r="Q265" s="346">
        <v>43398</v>
      </c>
      <c r="R265" s="346">
        <v>43399</v>
      </c>
      <c r="S265" s="257"/>
      <c r="T265" s="257"/>
      <c r="U265" s="257"/>
      <c r="V265" s="257"/>
      <c r="W265" s="257"/>
      <c r="X265" s="257"/>
      <c r="Y265" s="257"/>
      <c r="Z265" s="257"/>
      <c r="AA265" s="257"/>
      <c r="AB265" s="257"/>
      <c r="AC265" s="257"/>
      <c r="AD265" s="257"/>
      <c r="AE265" s="257"/>
      <c r="AF265" s="257"/>
      <c r="AG265" s="257"/>
      <c r="AH265" s="257" t="s">
        <v>566</v>
      </c>
      <c r="AI265" s="8"/>
      <c r="AJ265" s="8"/>
      <c r="AK265" s="8"/>
      <c r="AL265" s="8"/>
      <c r="AM265" s="8"/>
      <c r="AN265" s="8"/>
      <c r="AO265" s="8"/>
      <c r="AP265" s="8"/>
      <c r="AQ265" s="8"/>
      <c r="AR265" s="8"/>
      <c r="AS265" s="8"/>
    </row>
    <row r="266" spans="1:50" ht="9.9499999999999993" customHeight="1" x14ac:dyDescent="0.15">
      <c r="B266" s="5"/>
      <c r="C266" s="5"/>
      <c r="D266" s="5"/>
      <c r="E266" s="5"/>
      <c r="F266" s="5"/>
      <c r="G266" s="346">
        <v>43395</v>
      </c>
      <c r="H266" s="346">
        <v>43396</v>
      </c>
      <c r="I266" s="346">
        <v>43397</v>
      </c>
      <c r="J266" s="346">
        <v>43398</v>
      </c>
      <c r="K266" s="346">
        <v>43399</v>
      </c>
      <c r="L266" s="5"/>
      <c r="M266" s="7"/>
      <c r="N266" s="293" t="s">
        <v>276</v>
      </c>
      <c r="O266" s="351" t="s">
        <v>277</v>
      </c>
      <c r="P266" s="351" t="s">
        <v>278</v>
      </c>
      <c r="Q266" s="293" t="s">
        <v>279</v>
      </c>
      <c r="R266" s="351" t="s">
        <v>280</v>
      </c>
      <c r="S266" s="257"/>
      <c r="T266" s="257"/>
      <c r="U266" s="257"/>
      <c r="V266" s="257"/>
      <c r="W266" s="257"/>
      <c r="X266" s="257"/>
      <c r="Y266" s="257"/>
      <c r="Z266" s="257"/>
      <c r="AA266" s="257"/>
      <c r="AB266" s="257"/>
      <c r="AC266" s="257"/>
      <c r="AD266" s="257"/>
      <c r="AE266" s="257"/>
      <c r="AF266" s="257"/>
      <c r="AG266" s="257"/>
      <c r="AH266" s="257" t="s">
        <v>246</v>
      </c>
      <c r="AI266" s="257"/>
      <c r="AJ266" s="257"/>
      <c r="AK266" s="257"/>
      <c r="AL266" s="257"/>
      <c r="AM266" s="257"/>
      <c r="AN266" s="257"/>
      <c r="AO266" s="257"/>
      <c r="AP266" s="257"/>
      <c r="AQ266" s="257"/>
      <c r="AR266" s="257"/>
      <c r="AS266" s="257"/>
    </row>
    <row r="267" spans="1:50" ht="9.9499999999999993" customHeight="1" x14ac:dyDescent="0.15">
      <c r="B267" s="7"/>
      <c r="C267" s="7"/>
      <c r="D267" s="7"/>
      <c r="E267" s="7"/>
      <c r="F267" s="5"/>
      <c r="G267" s="293" t="s">
        <v>276</v>
      </c>
      <c r="H267" s="351" t="s">
        <v>277</v>
      </c>
      <c r="I267" s="351" t="s">
        <v>278</v>
      </c>
      <c r="J267" s="293" t="s">
        <v>279</v>
      </c>
      <c r="K267" s="351" t="s">
        <v>280</v>
      </c>
      <c r="L267" s="5"/>
      <c r="M267" s="2" t="s">
        <v>238</v>
      </c>
      <c r="N267" s="265">
        <v>5.1999999999999998E-2</v>
      </c>
      <c r="O267" s="265">
        <v>4.4999999999999998E-2</v>
      </c>
      <c r="P267" s="265">
        <v>4.9000000000000002E-2</v>
      </c>
      <c r="Q267" s="312">
        <v>4.2000000000000003E-2</v>
      </c>
      <c r="R267" s="265">
        <v>0.05</v>
      </c>
      <c r="S267" s="13"/>
      <c r="T267" s="15"/>
      <c r="U267" s="15"/>
      <c r="V267" s="15"/>
      <c r="W267" s="15"/>
      <c r="X267" s="15"/>
      <c r="Y267" s="15"/>
      <c r="Z267" s="15"/>
      <c r="AA267" s="15"/>
      <c r="AB267" s="15"/>
      <c r="AC267" s="15"/>
      <c r="AD267" s="15"/>
      <c r="AE267" s="15"/>
      <c r="AF267" s="15"/>
      <c r="AG267" s="15"/>
      <c r="AH267" s="257" t="s">
        <v>567</v>
      </c>
      <c r="AI267" s="257"/>
      <c r="AJ267" s="257"/>
      <c r="AK267" s="257"/>
      <c r="AL267" s="257"/>
      <c r="AM267" s="257"/>
      <c r="AN267" s="257"/>
      <c r="AO267" s="257"/>
      <c r="AP267" s="257"/>
      <c r="AQ267" s="257"/>
      <c r="AR267" s="257"/>
      <c r="AS267" s="257"/>
    </row>
    <row r="268" spans="1:50" ht="9.9499999999999993" customHeight="1" x14ac:dyDescent="0.15">
      <c r="B268" s="266" t="s">
        <v>568</v>
      </c>
      <c r="C268" s="266" t="s">
        <v>569</v>
      </c>
      <c r="D268" s="266" t="s">
        <v>570</v>
      </c>
      <c r="E268" s="267" t="s">
        <v>571</v>
      </c>
      <c r="F268" s="268"/>
      <c r="G268" s="269">
        <v>940</v>
      </c>
      <c r="H268" s="352">
        <v>970</v>
      </c>
      <c r="I268" s="352">
        <v>980</v>
      </c>
      <c r="J268" s="269">
        <v>950</v>
      </c>
      <c r="K268" s="352">
        <v>930</v>
      </c>
      <c r="L268" s="5"/>
      <c r="M268" s="2" t="s">
        <v>242</v>
      </c>
      <c r="N268" s="265">
        <v>6.7000000000000004E-2</v>
      </c>
      <c r="O268" s="265">
        <v>6.5000000000000002E-2</v>
      </c>
      <c r="P268" s="265">
        <v>6.5000000000000002E-2</v>
      </c>
      <c r="Q268" s="312">
        <v>6.6000000000000003E-2</v>
      </c>
      <c r="R268" s="265">
        <v>7.3999999999999996E-2</v>
      </c>
      <c r="S268" s="13"/>
      <c r="T268" s="15"/>
      <c r="U268" s="15"/>
      <c r="V268" s="15"/>
      <c r="W268" s="15"/>
      <c r="X268" s="15"/>
      <c r="Y268" s="15"/>
      <c r="Z268" s="15"/>
      <c r="AA268" s="15"/>
      <c r="AB268" s="15"/>
      <c r="AC268" s="15"/>
      <c r="AD268" s="15"/>
      <c r="AE268" s="15"/>
      <c r="AF268" s="15"/>
      <c r="AG268" s="15"/>
      <c r="AH268" s="257"/>
      <c r="AI268" s="257"/>
      <c r="AJ268" s="257"/>
      <c r="AK268" s="257"/>
      <c r="AL268" s="257"/>
      <c r="AM268" s="257"/>
      <c r="AN268" s="257"/>
      <c r="AO268" s="257"/>
      <c r="AP268" s="257"/>
      <c r="AQ268" s="257"/>
      <c r="AR268" s="257"/>
      <c r="AS268" s="257"/>
    </row>
    <row r="269" spans="1:50" ht="9.9499999999999993" customHeight="1" x14ac:dyDescent="0.15">
      <c r="B269" s="7"/>
      <c r="C269" s="7"/>
      <c r="D269" s="7"/>
      <c r="E269" s="7"/>
      <c r="F269" s="7"/>
      <c r="G269" s="270"/>
      <c r="H269" s="354"/>
      <c r="I269" s="354"/>
      <c r="J269" s="270"/>
      <c r="K269" s="271">
        <f>SUM(G268:K268)</f>
        <v>4770</v>
      </c>
      <c r="L269" s="5"/>
      <c r="M269" s="2" t="s">
        <v>243</v>
      </c>
      <c r="N269" s="265">
        <v>7.1999999999999995E-2</v>
      </c>
      <c r="O269" s="265">
        <v>6.8000000000000005E-2</v>
      </c>
      <c r="P269" s="265">
        <v>6.5000000000000002E-2</v>
      </c>
      <c r="Q269" s="312">
        <v>6.8000000000000005E-2</v>
      </c>
      <c r="R269" s="265">
        <v>8.5999999999999993E-2</v>
      </c>
      <c r="S269" s="13"/>
      <c r="T269" s="15"/>
      <c r="U269" s="15"/>
      <c r="V269" s="15"/>
      <c r="W269" s="15"/>
      <c r="X269" s="15"/>
      <c r="Y269" s="15"/>
      <c r="Z269" s="15"/>
      <c r="AA269" s="15"/>
      <c r="AB269" s="15"/>
      <c r="AC269" s="15"/>
      <c r="AD269" s="15"/>
      <c r="AE269" s="15"/>
      <c r="AF269" s="15"/>
      <c r="AG269" s="15"/>
      <c r="AH269" s="353" t="s">
        <v>259</v>
      </c>
      <c r="AI269" s="260"/>
      <c r="AJ269" s="261"/>
      <c r="AK269" s="353" t="s">
        <v>260</v>
      </c>
      <c r="AL269" s="261"/>
      <c r="AM269" s="19" t="s">
        <v>233</v>
      </c>
      <c r="AN269" s="353" t="s">
        <v>261</v>
      </c>
      <c r="AO269" s="261"/>
      <c r="AP269" s="353" t="s">
        <v>262</v>
      </c>
      <c r="AQ269" s="261"/>
      <c r="AR269" s="257"/>
      <c r="AS269" s="257"/>
    </row>
    <row r="270" spans="1:50" ht="9.9499999999999993" customHeight="1" x14ac:dyDescent="0.15">
      <c r="B270" s="8"/>
      <c r="C270" s="8"/>
      <c r="D270" s="8"/>
      <c r="E270" s="8"/>
      <c r="F270" s="8"/>
      <c r="G270" s="8"/>
      <c r="H270" s="8"/>
      <c r="I270" s="8"/>
      <c r="J270" s="8"/>
      <c r="K270" s="8"/>
      <c r="L270" s="8"/>
      <c r="M270" s="2" t="s">
        <v>245</v>
      </c>
      <c r="N270" s="265">
        <v>5.3999999999999999E-2</v>
      </c>
      <c r="O270" s="265">
        <v>0.05</v>
      </c>
      <c r="P270" s="265">
        <v>4.9000000000000002E-2</v>
      </c>
      <c r="Q270" s="312">
        <v>5.5E-2</v>
      </c>
      <c r="R270" s="265">
        <v>5.6000000000000001E-2</v>
      </c>
      <c r="S270" s="13"/>
      <c r="T270" s="15"/>
      <c r="U270" s="15"/>
      <c r="V270" s="15"/>
      <c r="W270" s="15"/>
      <c r="X270" s="15"/>
      <c r="Y270" s="15"/>
      <c r="Z270" s="15"/>
      <c r="AA270" s="15"/>
      <c r="AB270" s="15"/>
      <c r="AC270" s="15"/>
      <c r="AD270" s="15"/>
      <c r="AE270" s="15"/>
      <c r="AF270" s="15"/>
      <c r="AG270" s="15"/>
      <c r="AH270" s="353" t="s">
        <v>572</v>
      </c>
      <c r="AI270" s="260"/>
      <c r="AJ270" s="261"/>
      <c r="AK270" s="353" t="s">
        <v>220</v>
      </c>
      <c r="AL270" s="261"/>
      <c r="AM270" s="19" t="s">
        <v>458</v>
      </c>
      <c r="AN270" s="353" t="s">
        <v>573</v>
      </c>
      <c r="AO270" s="261"/>
      <c r="AP270" s="355" t="s">
        <v>574</v>
      </c>
      <c r="AQ270" s="261"/>
      <c r="AR270" s="257"/>
      <c r="AS270" s="257"/>
    </row>
    <row r="271" spans="1:50" ht="9.9499999999999993" customHeight="1" x14ac:dyDescent="0.15">
      <c r="B271" s="8" t="s">
        <v>507</v>
      </c>
      <c r="C271" s="8"/>
      <c r="D271" s="8"/>
      <c r="E271" s="8"/>
      <c r="F271" s="8"/>
      <c r="G271" s="8"/>
      <c r="H271" s="8"/>
      <c r="I271" s="8"/>
      <c r="J271" s="8"/>
      <c r="K271" s="8"/>
      <c r="L271" s="8"/>
      <c r="M271" s="274"/>
      <c r="N271" s="274"/>
      <c r="O271" s="274"/>
      <c r="P271" s="274"/>
      <c r="Q271" s="274"/>
      <c r="R271" s="274"/>
      <c r="S271" s="13"/>
      <c r="T271" s="15"/>
      <c r="U271" s="15"/>
      <c r="V271" s="15"/>
      <c r="W271" s="15"/>
      <c r="X271" s="15"/>
      <c r="Y271" s="15"/>
      <c r="Z271" s="15"/>
      <c r="AA271" s="15"/>
      <c r="AB271" s="15"/>
      <c r="AC271" s="15"/>
      <c r="AD271" s="15"/>
      <c r="AE271" s="15"/>
      <c r="AF271" s="15"/>
      <c r="AG271" s="15"/>
      <c r="AH271" s="288" t="s">
        <v>392</v>
      </c>
      <c r="AI271" s="260"/>
      <c r="AJ271" s="260"/>
      <c r="AK271" s="260"/>
      <c r="AL271" s="260"/>
      <c r="AM271" s="260"/>
      <c r="AN271" s="260"/>
      <c r="AO271" s="260"/>
      <c r="AP271" s="260"/>
      <c r="AQ271" s="260"/>
      <c r="AR271" s="257"/>
      <c r="AS271" s="257" t="s">
        <v>393</v>
      </c>
    </row>
    <row r="272" spans="1:50" ht="9.9499999999999993" customHeight="1" x14ac:dyDescent="0.15">
      <c r="B272" s="16"/>
      <c r="C272" s="3" t="s">
        <v>575</v>
      </c>
      <c r="D272" s="586" t="s">
        <v>358</v>
      </c>
      <c r="E272" s="276" t="s">
        <v>576</v>
      </c>
      <c r="F272" s="3" t="s">
        <v>396</v>
      </c>
      <c r="G272" s="259" t="s">
        <v>273</v>
      </c>
      <c r="H272" s="260"/>
      <c r="I272" s="260"/>
      <c r="J272" s="260"/>
      <c r="K272" s="260"/>
      <c r="L272" s="260"/>
      <c r="M272" s="260"/>
      <c r="N272" s="260"/>
      <c r="O272" s="260"/>
      <c r="P272" s="260"/>
      <c r="Q272" s="260"/>
      <c r="R272" s="260"/>
      <c r="S272" s="260"/>
      <c r="T272" s="260"/>
      <c r="U272" s="260"/>
      <c r="V272" s="260"/>
      <c r="W272" s="260"/>
      <c r="X272" s="260"/>
      <c r="Y272" s="260"/>
      <c r="Z272" s="260"/>
      <c r="AA272" s="260"/>
      <c r="AB272" s="260"/>
      <c r="AC272" s="260"/>
      <c r="AD272" s="260"/>
      <c r="AE272" s="260"/>
      <c r="AF272" s="261"/>
      <c r="AG272" s="15"/>
      <c r="AH272" s="291"/>
      <c r="AI272" s="260"/>
      <c r="AJ272" s="260"/>
      <c r="AK272" s="261"/>
      <c r="AL272" s="259" t="s">
        <v>271</v>
      </c>
      <c r="AM272" s="260"/>
      <c r="AN272" s="261"/>
      <c r="AO272" s="259" t="s">
        <v>272</v>
      </c>
      <c r="AP272" s="261"/>
      <c r="AQ272" s="259" t="s">
        <v>273</v>
      </c>
      <c r="AR272" s="2" t="s">
        <v>274</v>
      </c>
      <c r="AS272" s="2" t="s">
        <v>464</v>
      </c>
    </row>
    <row r="273" spans="2:45" ht="9.9499999999999993" customHeight="1" x14ac:dyDescent="0.15">
      <c r="B273" s="5"/>
      <c r="C273" s="5"/>
      <c r="D273" s="587"/>
      <c r="E273" s="5"/>
      <c r="F273" s="588" t="s">
        <v>254</v>
      </c>
      <c r="G273" s="259" t="s">
        <v>397</v>
      </c>
      <c r="H273" s="260"/>
      <c r="I273" s="260"/>
      <c r="J273" s="260"/>
      <c r="K273" s="260"/>
      <c r="L273" s="261"/>
      <c r="M273" s="259" t="s">
        <v>256</v>
      </c>
      <c r="N273" s="260"/>
      <c r="O273" s="260"/>
      <c r="P273" s="260"/>
      <c r="Q273" s="261"/>
      <c r="R273" s="259" t="s">
        <v>257</v>
      </c>
      <c r="S273" s="260"/>
      <c r="T273" s="260"/>
      <c r="U273" s="260"/>
      <c r="V273" s="261"/>
      <c r="W273" s="259" t="s">
        <v>258</v>
      </c>
      <c r="X273" s="260"/>
      <c r="Y273" s="260"/>
      <c r="Z273" s="260"/>
      <c r="AA273" s="261"/>
      <c r="AB273" s="259" t="s">
        <v>398</v>
      </c>
      <c r="AC273" s="260"/>
      <c r="AD273" s="260"/>
      <c r="AE273" s="260"/>
      <c r="AF273" s="261"/>
      <c r="AG273" s="15"/>
      <c r="AH273" s="10" t="s">
        <v>282</v>
      </c>
      <c r="AI273" s="281"/>
      <c r="AJ273" s="10" t="s">
        <v>283</v>
      </c>
      <c r="AK273" s="281"/>
      <c r="AL273" s="594" t="s">
        <v>284</v>
      </c>
      <c r="AM273" s="595"/>
      <c r="AN273" s="596"/>
      <c r="AO273" s="294">
        <v>43399</v>
      </c>
      <c r="AP273" s="281"/>
      <c r="AQ273" s="10" t="s">
        <v>110</v>
      </c>
      <c r="AR273" s="3" t="s">
        <v>110</v>
      </c>
      <c r="AS273" s="3" t="s">
        <v>110</v>
      </c>
    </row>
    <row r="274" spans="2:45" ht="9.9499999999999993" customHeight="1" x14ac:dyDescent="0.15">
      <c r="B274" s="5"/>
      <c r="C274" s="5"/>
      <c r="D274" s="587"/>
      <c r="E274" s="5"/>
      <c r="F274" s="589"/>
      <c r="G274" s="10" t="s">
        <v>263</v>
      </c>
      <c r="H274" s="280"/>
      <c r="I274" s="280"/>
      <c r="J274" s="280"/>
      <c r="K274" s="280"/>
      <c r="L274" s="280"/>
      <c r="M274" s="10"/>
      <c r="N274" s="280"/>
      <c r="O274" s="280"/>
      <c r="P274" s="280"/>
      <c r="Q274" s="281"/>
      <c r="R274" s="282"/>
      <c r="S274" s="280"/>
      <c r="T274" s="280"/>
      <c r="U274" s="280"/>
      <c r="V274" s="281"/>
      <c r="W274" s="280"/>
      <c r="X274" s="280"/>
      <c r="Y274" s="280"/>
      <c r="Z274" s="280"/>
      <c r="AA274" s="281"/>
      <c r="AB274" s="334"/>
      <c r="AC274" s="280"/>
      <c r="AD274" s="280"/>
      <c r="AE274" s="280"/>
      <c r="AF274" s="281"/>
      <c r="AG274" s="15"/>
      <c r="AH274" s="13"/>
      <c r="AI274" s="14"/>
      <c r="AJ274" s="11"/>
      <c r="AK274" s="12"/>
      <c r="AL274" s="597"/>
      <c r="AM274" s="598"/>
      <c r="AN274" s="599"/>
      <c r="AO274" s="11"/>
      <c r="AP274" s="12"/>
      <c r="AQ274" s="11"/>
      <c r="AR274" s="7"/>
      <c r="AS274" s="7"/>
    </row>
    <row r="275" spans="2:45" ht="9.9499999999999993" customHeight="1" x14ac:dyDescent="0.15">
      <c r="B275" s="5"/>
      <c r="C275" s="5"/>
      <c r="D275" s="5"/>
      <c r="E275" s="5"/>
      <c r="F275" s="625"/>
      <c r="G275" s="11"/>
      <c r="H275" s="278" t="s">
        <v>266</v>
      </c>
      <c r="I275" s="9"/>
      <c r="J275" s="9"/>
      <c r="K275" s="9"/>
      <c r="L275" s="9"/>
      <c r="M275" s="335" t="s">
        <v>400</v>
      </c>
      <c r="N275" s="9"/>
      <c r="O275" s="9"/>
      <c r="P275" s="9"/>
      <c r="Q275" s="12"/>
      <c r="R275" s="9"/>
      <c r="S275" s="9"/>
      <c r="T275" s="9"/>
      <c r="U275" s="9"/>
      <c r="V275" s="12"/>
      <c r="W275" s="9"/>
      <c r="X275" s="9"/>
      <c r="Y275" s="9"/>
      <c r="Z275" s="9"/>
      <c r="AA275" s="12"/>
      <c r="AB275" s="11"/>
      <c r="AC275" s="9"/>
      <c r="AD275" s="9"/>
      <c r="AE275" s="9"/>
      <c r="AF275" s="12"/>
      <c r="AG275" s="15"/>
      <c r="AH275" s="11"/>
      <c r="AI275" s="12"/>
      <c r="AJ275" s="259" t="s">
        <v>287</v>
      </c>
      <c r="AK275" s="261"/>
      <c r="AL275" s="11" t="s">
        <v>288</v>
      </c>
      <c r="AM275" s="9"/>
      <c r="AN275" s="12"/>
      <c r="AO275" s="295">
        <v>43399</v>
      </c>
      <c r="AP275" s="261"/>
      <c r="AQ275" s="259" t="s">
        <v>110</v>
      </c>
      <c r="AR275" s="2" t="s">
        <v>110</v>
      </c>
      <c r="AS275" s="2" t="s">
        <v>110</v>
      </c>
    </row>
    <row r="276" spans="2:45" ht="9.9499999999999993" customHeight="1" x14ac:dyDescent="0.15">
      <c r="B276" s="590" t="s">
        <v>431</v>
      </c>
      <c r="C276" s="290">
        <v>0.23</v>
      </c>
      <c r="D276" s="592" t="s">
        <v>465</v>
      </c>
      <c r="E276" s="3" t="s">
        <v>565</v>
      </c>
      <c r="F276" s="346">
        <v>43234</v>
      </c>
      <c r="G276" s="346">
        <v>43395</v>
      </c>
      <c r="H276" s="346">
        <v>43396</v>
      </c>
      <c r="I276" s="346">
        <v>43397</v>
      </c>
      <c r="J276" s="346">
        <v>43398</v>
      </c>
      <c r="K276" s="346">
        <v>43399</v>
      </c>
      <c r="L276" s="346">
        <v>43400</v>
      </c>
      <c r="M276" s="346">
        <v>43402</v>
      </c>
      <c r="N276" s="346">
        <v>43403</v>
      </c>
      <c r="O276" s="346">
        <v>43404</v>
      </c>
      <c r="P276" s="346">
        <v>43405</v>
      </c>
      <c r="Q276" s="346">
        <v>43406</v>
      </c>
      <c r="R276" s="346">
        <v>43409</v>
      </c>
      <c r="S276" s="346">
        <v>43410</v>
      </c>
      <c r="T276" s="346">
        <v>43411</v>
      </c>
      <c r="U276" s="346">
        <v>43412</v>
      </c>
      <c r="V276" s="346">
        <v>43413</v>
      </c>
      <c r="W276" s="346">
        <v>43416</v>
      </c>
      <c r="X276" s="346">
        <v>43417</v>
      </c>
      <c r="Y276" s="346">
        <v>43418</v>
      </c>
      <c r="Z276" s="346">
        <v>43419</v>
      </c>
      <c r="AA276" s="346">
        <v>43420</v>
      </c>
      <c r="AB276" s="346">
        <v>43423</v>
      </c>
      <c r="AC276" s="346">
        <v>43424</v>
      </c>
      <c r="AD276" s="346">
        <v>43425</v>
      </c>
      <c r="AE276" s="346">
        <v>43426</v>
      </c>
      <c r="AF276" s="346">
        <v>43427</v>
      </c>
      <c r="AG276" s="346"/>
      <c r="AH276" s="288" t="s">
        <v>290</v>
      </c>
      <c r="AI276" s="260"/>
      <c r="AJ276" s="260"/>
      <c r="AK276" s="260"/>
      <c r="AL276" s="260"/>
      <c r="AM276" s="260"/>
      <c r="AN276" s="260"/>
      <c r="AO276" s="260"/>
      <c r="AP276" s="260"/>
      <c r="AQ276" s="260"/>
      <c r="AR276" s="260"/>
      <c r="AS276" s="1" t="s">
        <v>399</v>
      </c>
    </row>
    <row r="277" spans="2:45" ht="9.9499999999999993" customHeight="1" x14ac:dyDescent="0.15">
      <c r="B277" s="591"/>
      <c r="C277" s="292"/>
      <c r="D277" s="593"/>
      <c r="E277" s="7"/>
      <c r="F277" s="293" t="s">
        <v>276</v>
      </c>
      <c r="G277" s="293" t="s">
        <v>276</v>
      </c>
      <c r="H277" s="351" t="s">
        <v>277</v>
      </c>
      <c r="I277" s="351" t="s">
        <v>278</v>
      </c>
      <c r="J277" s="293" t="s">
        <v>279</v>
      </c>
      <c r="K277" s="351" t="s">
        <v>280</v>
      </c>
      <c r="L277" s="2" t="s">
        <v>281</v>
      </c>
      <c r="M277" s="293" t="s">
        <v>276</v>
      </c>
      <c r="N277" s="293" t="s">
        <v>277</v>
      </c>
      <c r="O277" s="351" t="s">
        <v>278</v>
      </c>
      <c r="P277" s="351" t="s">
        <v>279</v>
      </c>
      <c r="Q277" s="293" t="s">
        <v>280</v>
      </c>
      <c r="R277" s="351" t="s">
        <v>276</v>
      </c>
      <c r="S277" s="2" t="s">
        <v>277</v>
      </c>
      <c r="T277" s="293" t="s">
        <v>278</v>
      </c>
      <c r="U277" s="293" t="s">
        <v>279</v>
      </c>
      <c r="V277" s="351" t="s">
        <v>280</v>
      </c>
      <c r="W277" s="351" t="s">
        <v>276</v>
      </c>
      <c r="X277" s="293" t="s">
        <v>277</v>
      </c>
      <c r="Y277" s="351" t="s">
        <v>278</v>
      </c>
      <c r="Z277" s="2" t="s">
        <v>279</v>
      </c>
      <c r="AA277" s="293" t="s">
        <v>280</v>
      </c>
      <c r="AB277" s="293" t="s">
        <v>276</v>
      </c>
      <c r="AC277" s="351" t="s">
        <v>277</v>
      </c>
      <c r="AD277" s="351" t="s">
        <v>278</v>
      </c>
      <c r="AE277" s="293" t="s">
        <v>279</v>
      </c>
      <c r="AF277" s="351" t="s">
        <v>280</v>
      </c>
      <c r="AG277" s="2"/>
      <c r="AH277" s="259" t="s">
        <v>292</v>
      </c>
      <c r="AI277" s="260"/>
      <c r="AJ277" s="260"/>
      <c r="AK277" s="261"/>
      <c r="AL277" s="296" t="s">
        <v>401</v>
      </c>
      <c r="AM277" s="280"/>
      <c r="AN277" s="281"/>
      <c r="AO277" s="297" t="s">
        <v>577</v>
      </c>
      <c r="AP277" s="261"/>
      <c r="AQ277" s="298">
        <v>419</v>
      </c>
      <c r="AR277" s="6">
        <v>110</v>
      </c>
      <c r="AS277" s="22" t="s">
        <v>578</v>
      </c>
    </row>
    <row r="278" spans="2:45" ht="9.9499999999999993" customHeight="1" x14ac:dyDescent="0.15">
      <c r="B278" s="591"/>
      <c r="C278" s="292"/>
      <c r="D278" s="593"/>
      <c r="E278" s="2" t="s">
        <v>285</v>
      </c>
      <c r="F278" s="265">
        <v>4.8000000000000001E-2</v>
      </c>
      <c r="G278" s="265">
        <v>3.5999999999999997E-2</v>
      </c>
      <c r="H278" s="312">
        <v>3.5999999999999997E-2</v>
      </c>
      <c r="I278" s="312">
        <v>4.8000000000000001E-2</v>
      </c>
      <c r="J278" s="265">
        <v>4.2000000000000003E-2</v>
      </c>
      <c r="K278" s="312">
        <v>3.5999999999999997E-2</v>
      </c>
      <c r="L278" s="265">
        <v>4.8000000000000001E-2</v>
      </c>
      <c r="M278" s="265">
        <v>4.8000000000000001E-2</v>
      </c>
      <c r="N278" s="265">
        <v>4.2000000000000003E-2</v>
      </c>
      <c r="O278" s="265">
        <v>0.06</v>
      </c>
      <c r="P278" s="265">
        <v>4.8000000000000001E-2</v>
      </c>
      <c r="Q278" s="312">
        <v>3.5999999999999997E-2</v>
      </c>
      <c r="R278" s="265">
        <v>3.5999999999999997E-2</v>
      </c>
      <c r="S278" s="265">
        <v>4.8000000000000001E-2</v>
      </c>
      <c r="T278" s="265">
        <v>4.2000000000000003E-2</v>
      </c>
      <c r="U278" s="265">
        <v>4.8000000000000001E-2</v>
      </c>
      <c r="V278" s="265">
        <v>4.8000000000000001E-2</v>
      </c>
      <c r="W278" s="265">
        <v>4.2000000000000003E-2</v>
      </c>
      <c r="X278" s="265">
        <v>5.3999999999999999E-2</v>
      </c>
      <c r="Y278" s="265">
        <v>4.8000000000000001E-2</v>
      </c>
      <c r="Z278" s="265">
        <v>4.2000000000000003E-2</v>
      </c>
      <c r="AA278" s="265">
        <v>3.5999999999999997E-2</v>
      </c>
      <c r="AB278" s="265">
        <v>4.8000000000000001E-2</v>
      </c>
      <c r="AC278" s="265">
        <v>4.2000000000000003E-2</v>
      </c>
      <c r="AD278" s="265">
        <v>3.5999999999999997E-2</v>
      </c>
      <c r="AE278" s="265">
        <v>4.2000000000000003E-2</v>
      </c>
      <c r="AF278" s="265">
        <v>6.6000000000000003E-2</v>
      </c>
      <c r="AH278" s="259" t="s">
        <v>298</v>
      </c>
      <c r="AI278" s="260"/>
      <c r="AJ278" s="260"/>
      <c r="AK278" s="261"/>
      <c r="AL278" s="300" t="s">
        <v>299</v>
      </c>
      <c r="AM278" s="9"/>
      <c r="AN278" s="12"/>
      <c r="AO278" s="297" t="s">
        <v>577</v>
      </c>
      <c r="AP278" s="261"/>
      <c r="AQ278" s="298">
        <v>97</v>
      </c>
      <c r="AR278" s="6">
        <v>32</v>
      </c>
      <c r="AS278" s="2" t="s">
        <v>301</v>
      </c>
    </row>
    <row r="279" spans="2:45" ht="9.9499999999999993" customHeight="1" x14ac:dyDescent="0.15">
      <c r="B279" s="591"/>
      <c r="C279" s="292"/>
      <c r="D279" s="593"/>
      <c r="E279" s="2" t="s">
        <v>286</v>
      </c>
      <c r="F279" s="265">
        <v>3.2000000000000001E-2</v>
      </c>
      <c r="G279" s="265">
        <v>4.4999999999999998E-2</v>
      </c>
      <c r="H279" s="312">
        <v>4.4999999999999998E-2</v>
      </c>
      <c r="I279" s="312">
        <v>4.4999999999999998E-2</v>
      </c>
      <c r="J279" s="265">
        <v>4.4999999999999998E-2</v>
      </c>
      <c r="K279" s="312">
        <v>4.8000000000000001E-2</v>
      </c>
      <c r="L279" s="265">
        <v>5.2999999999999999E-2</v>
      </c>
      <c r="M279" s="265">
        <v>4.2999999999999997E-2</v>
      </c>
      <c r="N279" s="265">
        <v>4.2999999999999997E-2</v>
      </c>
      <c r="O279" s="265">
        <v>4.7E-2</v>
      </c>
      <c r="P279" s="265">
        <v>4.2000000000000003E-2</v>
      </c>
      <c r="Q279" s="312">
        <v>4.2000000000000003E-2</v>
      </c>
      <c r="R279" s="265">
        <v>0.04</v>
      </c>
      <c r="S279" s="265">
        <v>4.2000000000000003E-2</v>
      </c>
      <c r="T279" s="265">
        <v>3.6999999999999998E-2</v>
      </c>
      <c r="U279" s="265">
        <v>4.9000000000000002E-2</v>
      </c>
      <c r="V279" s="265">
        <v>4.7E-2</v>
      </c>
      <c r="W279" s="265">
        <v>4.2999999999999997E-2</v>
      </c>
      <c r="X279" s="265">
        <v>3.7999999999999999E-2</v>
      </c>
      <c r="Y279" s="265">
        <v>3.9E-2</v>
      </c>
      <c r="Z279" s="265">
        <v>3.6999999999999998E-2</v>
      </c>
      <c r="AA279" s="265">
        <v>4.2999999999999997E-2</v>
      </c>
      <c r="AB279" s="265">
        <v>4.1000000000000002E-2</v>
      </c>
      <c r="AC279" s="265">
        <v>4.3999999999999997E-2</v>
      </c>
      <c r="AD279" s="265">
        <v>3.4000000000000002E-2</v>
      </c>
      <c r="AE279" s="265">
        <v>4.4999999999999998E-2</v>
      </c>
      <c r="AF279" s="265">
        <v>4.9000000000000002E-2</v>
      </c>
      <c r="AH279" s="341" t="s">
        <v>468</v>
      </c>
      <c r="AI279" s="257"/>
      <c r="AJ279" s="280"/>
      <c r="AK279" s="280"/>
      <c r="AL279" s="280"/>
      <c r="AM279" s="280"/>
      <c r="AN279" s="280"/>
      <c r="AO279" s="280"/>
      <c r="AP279" s="280"/>
      <c r="AQ279" s="280"/>
      <c r="AR279" s="280"/>
      <c r="AS279" s="280"/>
    </row>
    <row r="280" spans="2:45" ht="9.9499999999999993" customHeight="1" x14ac:dyDescent="0.15">
      <c r="B280" s="591"/>
      <c r="C280" s="292"/>
      <c r="D280" s="5"/>
      <c r="E280" s="2" t="s">
        <v>542</v>
      </c>
      <c r="F280" s="265">
        <v>4.2999999999999997E-2</v>
      </c>
      <c r="G280" s="265">
        <v>4.2000000000000003E-2</v>
      </c>
      <c r="H280" s="312">
        <v>4.5999999999999999E-2</v>
      </c>
      <c r="I280" s="312">
        <v>3.9E-2</v>
      </c>
      <c r="J280" s="265">
        <v>4.7E-2</v>
      </c>
      <c r="K280" s="312">
        <v>4.2999999999999997E-2</v>
      </c>
      <c r="L280" s="265">
        <v>4.2999999999999997E-2</v>
      </c>
      <c r="M280" s="265">
        <v>4.1000000000000002E-2</v>
      </c>
      <c r="N280" s="265">
        <v>4.4999999999999998E-2</v>
      </c>
      <c r="O280" s="265">
        <v>5.3999999999999999E-2</v>
      </c>
      <c r="P280" s="265">
        <v>4.1000000000000002E-2</v>
      </c>
      <c r="Q280" s="312">
        <v>3.5999999999999997E-2</v>
      </c>
      <c r="R280" s="265">
        <v>3.5999999999999997E-2</v>
      </c>
      <c r="S280" s="265">
        <v>3.5000000000000003E-2</v>
      </c>
      <c r="T280" s="265">
        <v>0.04</v>
      </c>
      <c r="U280" s="265">
        <v>4.2000000000000003E-2</v>
      </c>
      <c r="V280" s="265">
        <v>4.2000000000000003E-2</v>
      </c>
      <c r="W280" s="265">
        <v>4.4999999999999998E-2</v>
      </c>
      <c r="X280" s="265">
        <v>4.2999999999999997E-2</v>
      </c>
      <c r="Y280" s="265">
        <v>4.2000000000000003E-2</v>
      </c>
      <c r="Z280" s="265">
        <v>0.04</v>
      </c>
      <c r="AA280" s="265">
        <v>4.3999999999999997E-2</v>
      </c>
      <c r="AB280" s="265">
        <v>4.2999999999999997E-2</v>
      </c>
      <c r="AC280" s="265">
        <v>4.2000000000000003E-2</v>
      </c>
      <c r="AD280" s="265">
        <v>4.3999999999999997E-2</v>
      </c>
      <c r="AE280" s="265">
        <v>0.04</v>
      </c>
      <c r="AF280" s="265">
        <v>5.5E-2</v>
      </c>
      <c r="AH280" s="341" t="s">
        <v>469</v>
      </c>
      <c r="AI280" s="257"/>
      <c r="AJ280" s="257"/>
      <c r="AK280" s="257"/>
      <c r="AL280" s="257"/>
      <c r="AM280" s="257"/>
      <c r="AN280" s="257"/>
      <c r="AO280" s="257"/>
      <c r="AP280" s="257"/>
      <c r="AQ280" s="257"/>
      <c r="AR280" s="257"/>
      <c r="AS280" s="257"/>
    </row>
    <row r="281" spans="2:45" ht="9.9499999999999993" customHeight="1" x14ac:dyDescent="0.15">
      <c r="B281" s="591"/>
      <c r="C281" s="292"/>
      <c r="D281" s="5"/>
      <c r="E281" s="2" t="s">
        <v>416</v>
      </c>
      <c r="F281" s="265">
        <v>3.9E-2</v>
      </c>
      <c r="G281" s="265">
        <v>3.9E-2</v>
      </c>
      <c r="H281" s="312">
        <v>3.9E-2</v>
      </c>
      <c r="I281" s="312">
        <v>3.3000000000000002E-2</v>
      </c>
      <c r="J281" s="265">
        <v>3.6999999999999998E-2</v>
      </c>
      <c r="K281" s="312">
        <v>3.5000000000000003E-2</v>
      </c>
      <c r="L281" s="265">
        <v>0.04</v>
      </c>
      <c r="M281" s="265">
        <v>3.5999999999999997E-2</v>
      </c>
      <c r="N281" s="265">
        <v>3.7999999999999999E-2</v>
      </c>
      <c r="O281" s="265">
        <v>5.1999999999999998E-2</v>
      </c>
      <c r="P281" s="265">
        <v>3.6999999999999998E-2</v>
      </c>
      <c r="Q281" s="312">
        <v>4.2000000000000003E-2</v>
      </c>
      <c r="R281" s="265">
        <v>3.6999999999999998E-2</v>
      </c>
      <c r="S281" s="265">
        <v>3.5000000000000003E-2</v>
      </c>
      <c r="T281" s="265">
        <v>3.4000000000000002E-2</v>
      </c>
      <c r="U281" s="265">
        <v>3.9E-2</v>
      </c>
      <c r="V281" s="265">
        <v>3.6999999999999998E-2</v>
      </c>
      <c r="W281" s="265">
        <v>3.6999999999999998E-2</v>
      </c>
      <c r="X281" s="265">
        <v>3.5000000000000003E-2</v>
      </c>
      <c r="Y281" s="265">
        <v>0.04</v>
      </c>
      <c r="Z281" s="265">
        <v>3.4000000000000002E-2</v>
      </c>
      <c r="AA281" s="265">
        <v>3.7999999999999999E-2</v>
      </c>
      <c r="AB281" s="265">
        <v>4.3999999999999997E-2</v>
      </c>
      <c r="AC281" s="265">
        <v>3.4000000000000002E-2</v>
      </c>
      <c r="AD281" s="265">
        <v>3.9E-2</v>
      </c>
      <c r="AE281" s="265">
        <v>3.5000000000000003E-2</v>
      </c>
      <c r="AF281" s="265">
        <v>5.7000000000000002E-2</v>
      </c>
      <c r="AH281" s="278" t="s">
        <v>471</v>
      </c>
      <c r="AI281" s="257"/>
      <c r="AJ281" s="257"/>
      <c r="AK281" s="257"/>
      <c r="AL281" s="257"/>
      <c r="AM281" s="257"/>
      <c r="AN281" s="257"/>
      <c r="AO281" s="257"/>
      <c r="AP281" s="257"/>
      <c r="AQ281" s="257"/>
      <c r="AR281" s="257"/>
      <c r="AS281" s="257" t="s">
        <v>543</v>
      </c>
    </row>
    <row r="282" spans="2:45" ht="9.9499999999999993" customHeight="1" x14ac:dyDescent="0.15">
      <c r="B282" s="5"/>
      <c r="C282" s="292"/>
      <c r="D282" s="5"/>
      <c r="E282" s="2" t="s">
        <v>297</v>
      </c>
      <c r="F282" s="265">
        <v>4.8000000000000001E-2</v>
      </c>
      <c r="G282" s="265">
        <v>4.2999999999999997E-2</v>
      </c>
      <c r="H282" s="312">
        <v>4.2999999999999997E-2</v>
      </c>
      <c r="I282" s="312">
        <v>4.1000000000000002E-2</v>
      </c>
      <c r="J282" s="265">
        <v>4.3999999999999997E-2</v>
      </c>
      <c r="K282" s="312">
        <v>4.9000000000000002E-2</v>
      </c>
      <c r="L282" s="265">
        <v>5.2999999999999999E-2</v>
      </c>
      <c r="M282" s="265">
        <v>4.4999999999999998E-2</v>
      </c>
      <c r="N282" s="265">
        <v>4.3999999999999997E-2</v>
      </c>
      <c r="O282" s="265">
        <v>5.8999999999999997E-2</v>
      </c>
      <c r="P282" s="265">
        <v>4.7E-2</v>
      </c>
      <c r="Q282" s="312">
        <v>4.2000000000000003E-2</v>
      </c>
      <c r="R282" s="265">
        <v>4.2999999999999997E-2</v>
      </c>
      <c r="S282" s="265">
        <v>4.4999999999999998E-2</v>
      </c>
      <c r="T282" s="265">
        <v>4.4999999999999998E-2</v>
      </c>
      <c r="U282" s="265">
        <v>4.4999999999999998E-2</v>
      </c>
      <c r="V282" s="265">
        <v>4.2000000000000003E-2</v>
      </c>
      <c r="W282" s="265">
        <v>4.7E-2</v>
      </c>
      <c r="X282" s="265">
        <v>4.4999999999999998E-2</v>
      </c>
      <c r="Y282" s="265">
        <v>4.4999999999999998E-2</v>
      </c>
      <c r="Z282" s="265">
        <v>4.2000000000000003E-2</v>
      </c>
      <c r="AA282" s="265">
        <v>4.4999999999999998E-2</v>
      </c>
      <c r="AB282" s="265">
        <v>4.4999999999999998E-2</v>
      </c>
      <c r="AC282" s="265">
        <v>4.2000000000000003E-2</v>
      </c>
      <c r="AD282" s="265">
        <v>4.8000000000000001E-2</v>
      </c>
      <c r="AE282" s="265">
        <v>4.5999999999999999E-2</v>
      </c>
      <c r="AF282" s="265">
        <v>6.7000000000000004E-2</v>
      </c>
      <c r="AH282" s="259" t="s">
        <v>316</v>
      </c>
      <c r="AI282" s="260"/>
      <c r="AJ282" s="260"/>
      <c r="AK282" s="261"/>
      <c r="AL282" s="10" t="s">
        <v>544</v>
      </c>
      <c r="AM282" s="280"/>
      <c r="AN282" s="281"/>
      <c r="AO282" s="259" t="s">
        <v>579</v>
      </c>
      <c r="AP282" s="261"/>
      <c r="AQ282" s="312">
        <v>0.06</v>
      </c>
      <c r="AR282" s="265" t="s">
        <v>301</v>
      </c>
      <c r="AS282" s="265">
        <v>0.113</v>
      </c>
    </row>
    <row r="283" spans="2:45" ht="9.9499999999999993" customHeight="1" x14ac:dyDescent="0.15">
      <c r="B283" s="7"/>
      <c r="C283" s="301"/>
      <c r="D283" s="7"/>
      <c r="E283" s="2" t="s">
        <v>580</v>
      </c>
      <c r="F283" s="265">
        <v>0.04</v>
      </c>
      <c r="G283" s="265">
        <v>3.6999999999999998E-2</v>
      </c>
      <c r="H283" s="312">
        <v>4.2999999999999997E-2</v>
      </c>
      <c r="I283" s="312">
        <v>3.9E-2</v>
      </c>
      <c r="J283" s="265">
        <v>0.04</v>
      </c>
      <c r="K283" s="312">
        <v>4.2999999999999997E-2</v>
      </c>
      <c r="L283" s="265">
        <v>4.5999999999999999E-2</v>
      </c>
      <c r="M283" s="265">
        <v>3.9E-2</v>
      </c>
      <c r="N283" s="265">
        <v>3.7999999999999999E-2</v>
      </c>
      <c r="O283" s="265">
        <v>5.1999999999999998E-2</v>
      </c>
      <c r="P283" s="265">
        <v>0.04</v>
      </c>
      <c r="Q283" s="312">
        <v>0.04</v>
      </c>
      <c r="R283" s="265">
        <v>4.2000000000000003E-2</v>
      </c>
      <c r="S283" s="265">
        <v>3.7999999999999999E-2</v>
      </c>
      <c r="T283" s="265">
        <v>3.9E-2</v>
      </c>
      <c r="U283" s="265">
        <v>4.2000000000000003E-2</v>
      </c>
      <c r="V283" s="265">
        <v>4.4999999999999998E-2</v>
      </c>
      <c r="W283" s="265">
        <v>0.04</v>
      </c>
      <c r="X283" s="265">
        <v>4.2999999999999997E-2</v>
      </c>
      <c r="Y283" s="265">
        <v>3.5999999999999997E-2</v>
      </c>
      <c r="Z283" s="265">
        <v>4.2999999999999997E-2</v>
      </c>
      <c r="AA283" s="265">
        <v>0.04</v>
      </c>
      <c r="AB283" s="265">
        <v>4.5999999999999999E-2</v>
      </c>
      <c r="AC283" s="265">
        <v>3.6999999999999998E-2</v>
      </c>
      <c r="AD283" s="265">
        <v>4.2999999999999997E-2</v>
      </c>
      <c r="AE283" s="265">
        <v>3.2000000000000001E-2</v>
      </c>
      <c r="AF283" s="265">
        <v>4.4999999999999998E-2</v>
      </c>
      <c r="AH283" s="259" t="s">
        <v>581</v>
      </c>
      <c r="AI283" s="260"/>
      <c r="AJ283" s="260"/>
      <c r="AK283" s="261"/>
      <c r="AL283" s="13"/>
      <c r="AM283" s="15"/>
      <c r="AN283" s="14"/>
      <c r="AO283" s="10" t="s">
        <v>582</v>
      </c>
      <c r="AP283" s="281"/>
      <c r="AQ283" s="312">
        <v>4.7E-2</v>
      </c>
      <c r="AR283" s="314" t="s">
        <v>418</v>
      </c>
      <c r="AS283" s="265">
        <v>0.06</v>
      </c>
    </row>
    <row r="284" spans="2:45" ht="9.9499999999999993" customHeight="1" x14ac:dyDescent="0.15">
      <c r="B284" s="600" t="s">
        <v>517</v>
      </c>
      <c r="C284" s="590" t="s">
        <v>305</v>
      </c>
      <c r="D284" s="604" t="s">
        <v>477</v>
      </c>
      <c r="E284" s="22" t="s">
        <v>583</v>
      </c>
      <c r="F284" s="22" t="s">
        <v>322</v>
      </c>
      <c r="G284" s="329" t="s">
        <v>584</v>
      </c>
      <c r="H284" s="260"/>
      <c r="I284" s="260"/>
      <c r="J284" s="261"/>
      <c r="K284" s="365"/>
      <c r="L284" s="261"/>
      <c r="M284" s="305">
        <v>43424</v>
      </c>
      <c r="N284" s="260"/>
      <c r="O284" s="260"/>
      <c r="P284" s="260"/>
      <c r="Q284" s="260"/>
      <c r="R284" s="260"/>
      <c r="S284" s="260"/>
      <c r="T284" s="260"/>
      <c r="U284" s="260"/>
      <c r="V284" s="260"/>
      <c r="W284" s="260"/>
      <c r="X284" s="260"/>
      <c r="Y284" s="260"/>
      <c r="Z284" s="260"/>
      <c r="AA284" s="260"/>
      <c r="AB284" s="260"/>
      <c r="AC284" s="260"/>
      <c r="AD284" s="260"/>
      <c r="AE284" s="260"/>
      <c r="AF284" s="261"/>
      <c r="AH284" s="259" t="s">
        <v>519</v>
      </c>
      <c r="AI284" s="260"/>
      <c r="AJ284" s="260"/>
      <c r="AK284" s="261"/>
      <c r="AL284" s="13"/>
      <c r="AM284" s="15"/>
      <c r="AN284" s="14"/>
      <c r="AO284" s="11"/>
      <c r="AP284" s="12"/>
      <c r="AQ284" s="312">
        <v>4.2999999999999997E-2</v>
      </c>
      <c r="AR284" s="314" t="s">
        <v>330</v>
      </c>
      <c r="AS284" s="265">
        <v>6.9000000000000006E-2</v>
      </c>
    </row>
    <row r="285" spans="2:45" ht="9.9499999999999993" customHeight="1" x14ac:dyDescent="0.15">
      <c r="B285" s="591"/>
      <c r="C285" s="602"/>
      <c r="D285" s="605"/>
      <c r="E285" s="22" t="s">
        <v>422</v>
      </c>
      <c r="F285" s="307">
        <v>110</v>
      </c>
      <c r="G285" s="308">
        <v>419</v>
      </c>
      <c r="H285" s="309"/>
      <c r="I285" s="309"/>
      <c r="J285" s="309"/>
      <c r="K285" s="311"/>
      <c r="L285" s="310"/>
      <c r="M285" s="308">
        <v>165</v>
      </c>
      <c r="N285" s="309"/>
      <c r="O285" s="309"/>
      <c r="P285" s="309"/>
      <c r="Q285" s="309"/>
      <c r="R285" s="309"/>
      <c r="S285" s="309"/>
      <c r="T285" s="309"/>
      <c r="U285" s="309"/>
      <c r="V285" s="309"/>
      <c r="W285" s="309"/>
      <c r="X285" s="309"/>
      <c r="Y285" s="309"/>
      <c r="Z285" s="309"/>
      <c r="AA285" s="309"/>
      <c r="AB285" s="309"/>
      <c r="AC285" s="309"/>
      <c r="AD285" s="309"/>
      <c r="AE285" s="309"/>
      <c r="AF285" s="310"/>
      <c r="AH285" s="3" t="s">
        <v>331</v>
      </c>
      <c r="AI285" s="259" t="s">
        <v>332</v>
      </c>
      <c r="AJ285" s="260"/>
      <c r="AK285" s="261"/>
      <c r="AL285" s="13"/>
      <c r="AM285" s="15"/>
      <c r="AN285" s="14"/>
      <c r="AO285" s="10" t="s">
        <v>585</v>
      </c>
      <c r="AP285" s="281"/>
      <c r="AQ285" s="312">
        <v>4.2999999999999997E-2</v>
      </c>
      <c r="AR285" s="265">
        <v>3.6999999999999998E-2</v>
      </c>
      <c r="AS285" s="265">
        <v>5.2999999999999999E-2</v>
      </c>
    </row>
    <row r="286" spans="2:45" ht="9.9499999999999993" customHeight="1" x14ac:dyDescent="0.15">
      <c r="B286" s="601"/>
      <c r="C286" s="603"/>
      <c r="D286" s="606"/>
      <c r="E286" s="22" t="s">
        <v>423</v>
      </c>
      <c r="F286" s="307">
        <v>32</v>
      </c>
      <c r="G286" s="308">
        <v>98</v>
      </c>
      <c r="H286" s="309"/>
      <c r="I286" s="309"/>
      <c r="J286" s="309"/>
      <c r="K286" s="311"/>
      <c r="L286" s="310"/>
      <c r="M286" s="308">
        <v>58</v>
      </c>
      <c r="N286" s="309"/>
      <c r="O286" s="309"/>
      <c r="P286" s="309"/>
      <c r="Q286" s="309"/>
      <c r="R286" s="309"/>
      <c r="S286" s="309"/>
      <c r="T286" s="309"/>
      <c r="U286" s="309"/>
      <c r="V286" s="309"/>
      <c r="W286" s="309"/>
      <c r="X286" s="309"/>
      <c r="Y286" s="309"/>
      <c r="Z286" s="309"/>
      <c r="AA286" s="309"/>
      <c r="AB286" s="309"/>
      <c r="AC286" s="309"/>
      <c r="AD286" s="309"/>
      <c r="AE286" s="309"/>
      <c r="AF286" s="310"/>
      <c r="AH286" s="5"/>
      <c r="AI286" s="259" t="s">
        <v>334</v>
      </c>
      <c r="AJ286" s="260"/>
      <c r="AK286" s="261"/>
      <c r="AL286" s="13"/>
      <c r="AM286" s="15"/>
      <c r="AN286" s="14"/>
      <c r="AO286" s="13"/>
      <c r="AP286" s="14"/>
      <c r="AQ286" s="312">
        <v>3.5999999999999997E-2</v>
      </c>
      <c r="AR286" s="265">
        <v>3.5999999999999997E-2</v>
      </c>
      <c r="AS286" s="265">
        <v>5.8000000000000003E-2</v>
      </c>
    </row>
    <row r="287" spans="2:45" ht="9.9499999999999993" customHeight="1" x14ac:dyDescent="0.15">
      <c r="B287" s="600" t="s">
        <v>520</v>
      </c>
      <c r="C287" s="610" t="s">
        <v>586</v>
      </c>
      <c r="D287" s="604" t="s">
        <v>477</v>
      </c>
      <c r="E287" s="22" t="s">
        <v>307</v>
      </c>
      <c r="F287" s="22" t="s">
        <v>322</v>
      </c>
      <c r="G287" s="4"/>
      <c r="H287" s="291"/>
      <c r="I287" s="291"/>
      <c r="J287" s="4"/>
      <c r="K287" s="329" t="s">
        <v>323</v>
      </c>
      <c r="L287" s="4"/>
      <c r="M287" s="329" t="s">
        <v>587</v>
      </c>
      <c r="N287" s="260"/>
      <c r="O287" s="260"/>
      <c r="P287" s="260"/>
      <c r="Q287" s="260"/>
      <c r="R287" s="260"/>
      <c r="S287" s="260"/>
      <c r="T287" s="260"/>
      <c r="U287" s="260"/>
      <c r="V287" s="260"/>
      <c r="W287" s="260"/>
      <c r="X287" s="260"/>
      <c r="Y287" s="260"/>
      <c r="Z287" s="260"/>
      <c r="AA287" s="260"/>
      <c r="AB287" s="260"/>
      <c r="AC287" s="260"/>
      <c r="AD287" s="260"/>
      <c r="AE287" s="260"/>
      <c r="AF287" s="261"/>
      <c r="AH287" s="5"/>
      <c r="AI287" s="259" t="s">
        <v>336</v>
      </c>
      <c r="AJ287" s="260"/>
      <c r="AK287" s="261"/>
      <c r="AL287" s="13"/>
      <c r="AM287" s="15"/>
      <c r="AN287" s="14"/>
      <c r="AO287" s="13"/>
      <c r="AP287" s="14"/>
      <c r="AQ287" s="312">
        <v>3.7999999999999999E-2</v>
      </c>
      <c r="AR287" s="265">
        <v>4.2000000000000003E-2</v>
      </c>
      <c r="AS287" s="265">
        <v>5.7000000000000002E-2</v>
      </c>
    </row>
    <row r="288" spans="2:45" ht="9.9499999999999993" customHeight="1" x14ac:dyDescent="0.15">
      <c r="B288" s="609"/>
      <c r="C288" s="616"/>
      <c r="D288" s="605"/>
      <c r="E288" s="22" t="s">
        <v>283</v>
      </c>
      <c r="F288" s="22" t="s">
        <v>110</v>
      </c>
      <c r="G288" s="4"/>
      <c r="H288" s="291"/>
      <c r="I288" s="291"/>
      <c r="J288" s="4"/>
      <c r="K288" s="329" t="s">
        <v>110</v>
      </c>
      <c r="L288" s="4"/>
      <c r="M288" s="329" t="s">
        <v>110</v>
      </c>
      <c r="N288" s="260"/>
      <c r="O288" s="260"/>
      <c r="P288" s="260"/>
      <c r="Q288" s="260"/>
      <c r="R288" s="260"/>
      <c r="S288" s="260"/>
      <c r="T288" s="260"/>
      <c r="U288" s="260"/>
      <c r="V288" s="260"/>
      <c r="W288" s="260"/>
      <c r="X288" s="260"/>
      <c r="Y288" s="260"/>
      <c r="Z288" s="260"/>
      <c r="AA288" s="260"/>
      <c r="AB288" s="260"/>
      <c r="AC288" s="260"/>
      <c r="AD288" s="260"/>
      <c r="AE288" s="260"/>
      <c r="AF288" s="261"/>
      <c r="AH288" s="5"/>
      <c r="AI288" s="259" t="s">
        <v>338</v>
      </c>
      <c r="AJ288" s="260"/>
      <c r="AK288" s="261"/>
      <c r="AL288" s="13"/>
      <c r="AM288" s="15"/>
      <c r="AN288" s="14"/>
      <c r="AO288" s="13"/>
      <c r="AP288" s="14"/>
      <c r="AQ288" s="312">
        <v>4.1000000000000002E-2</v>
      </c>
      <c r="AR288" s="265">
        <v>4.2000000000000003E-2</v>
      </c>
      <c r="AS288" s="265">
        <v>5.5E-2</v>
      </c>
    </row>
    <row r="289" spans="2:45" ht="9.9499999999999993" customHeight="1" x14ac:dyDescent="0.15">
      <c r="B289" s="622"/>
      <c r="C289" s="617"/>
      <c r="D289" s="606"/>
      <c r="E289" s="22" t="s">
        <v>287</v>
      </c>
      <c r="F289" s="22" t="s">
        <v>110</v>
      </c>
      <c r="G289" s="4"/>
      <c r="H289" s="291"/>
      <c r="I289" s="291"/>
      <c r="J289" s="4"/>
      <c r="K289" s="329" t="s">
        <v>110</v>
      </c>
      <c r="L289" s="4"/>
      <c r="M289" s="329" t="s">
        <v>110</v>
      </c>
      <c r="N289" s="260"/>
      <c r="O289" s="260"/>
      <c r="P289" s="260"/>
      <c r="Q289" s="260"/>
      <c r="R289" s="260"/>
      <c r="S289" s="260"/>
      <c r="T289" s="260"/>
      <c r="U289" s="260"/>
      <c r="V289" s="260"/>
      <c r="W289" s="260"/>
      <c r="X289" s="260"/>
      <c r="Y289" s="260"/>
      <c r="Z289" s="260"/>
      <c r="AA289" s="260"/>
      <c r="AB289" s="260"/>
      <c r="AC289" s="260"/>
      <c r="AD289" s="260"/>
      <c r="AE289" s="260"/>
      <c r="AF289" s="261"/>
      <c r="AH289" s="7"/>
      <c r="AI289" s="259" t="s">
        <v>339</v>
      </c>
      <c r="AJ289" s="260"/>
      <c r="AK289" s="261"/>
      <c r="AL289" s="11"/>
      <c r="AM289" s="9"/>
      <c r="AN289" s="12"/>
      <c r="AO289" s="11"/>
      <c r="AP289" s="12"/>
      <c r="AQ289" s="312">
        <v>4.2999999999999997E-2</v>
      </c>
      <c r="AR289" s="265">
        <v>4.4999999999999998E-2</v>
      </c>
      <c r="AS289" s="265">
        <v>5.8000000000000003E-2</v>
      </c>
    </row>
    <row r="290" spans="2:45" ht="9.9499999999999993" customHeight="1" x14ac:dyDescent="0.15">
      <c r="B290" s="288" t="s">
        <v>588</v>
      </c>
      <c r="C290" s="260"/>
      <c r="D290" s="260"/>
      <c r="E290" s="260"/>
      <c r="F290" s="260"/>
      <c r="G290" s="260"/>
      <c r="H290" s="260"/>
      <c r="I290" s="260"/>
      <c r="J290" s="260"/>
      <c r="K290" s="260"/>
      <c r="L290" s="260"/>
      <c r="M290" s="260"/>
      <c r="N290" s="260"/>
      <c r="O290" s="260"/>
      <c r="P290" s="260"/>
      <c r="Q290" s="260"/>
      <c r="R290" s="260"/>
      <c r="S290" s="260"/>
      <c r="T290" s="260"/>
      <c r="U290" s="260"/>
      <c r="V290" s="260"/>
      <c r="W290" s="260"/>
      <c r="X290" s="260"/>
      <c r="Y290" s="260"/>
      <c r="Z290" s="260"/>
      <c r="AA290" s="260"/>
      <c r="AB290" s="260"/>
      <c r="AC290" s="260"/>
      <c r="AD290" s="260"/>
      <c r="AE290" s="260"/>
      <c r="AF290" s="289"/>
      <c r="AH290" s="362" t="s">
        <v>523</v>
      </c>
      <c r="AI290" s="274"/>
      <c r="AJ290" s="274"/>
      <c r="AK290" s="274"/>
      <c r="AL290" s="274"/>
      <c r="AM290" s="337"/>
      <c r="AR290" s="1" t="s">
        <v>524</v>
      </c>
    </row>
    <row r="291" spans="2:45" ht="9.9499999999999993" customHeight="1" x14ac:dyDescent="0.15">
      <c r="B291" s="16"/>
      <c r="C291" s="3" t="s">
        <v>271</v>
      </c>
      <c r="D291" s="3" t="s">
        <v>111</v>
      </c>
      <c r="E291" s="3" t="s">
        <v>337</v>
      </c>
      <c r="F291" s="346">
        <v>43238</v>
      </c>
      <c r="G291" s="346">
        <v>43395</v>
      </c>
      <c r="H291" s="346">
        <v>43396</v>
      </c>
      <c r="I291" s="346">
        <v>43397</v>
      </c>
      <c r="J291" s="346">
        <v>43398</v>
      </c>
      <c r="K291" s="346">
        <v>43399</v>
      </c>
      <c r="L291" s="346">
        <v>43400</v>
      </c>
      <c r="M291" s="346">
        <v>43402</v>
      </c>
      <c r="N291" s="346">
        <v>43403</v>
      </c>
      <c r="O291" s="346">
        <v>43404</v>
      </c>
      <c r="P291" s="346">
        <v>43405</v>
      </c>
      <c r="Q291" s="346">
        <v>43406</v>
      </c>
      <c r="R291" s="346">
        <v>43409</v>
      </c>
      <c r="S291" s="346">
        <v>43410</v>
      </c>
      <c r="T291" s="346">
        <v>43411</v>
      </c>
      <c r="U291" s="346">
        <v>43412</v>
      </c>
      <c r="V291" s="346">
        <v>43413</v>
      </c>
      <c r="W291" s="346">
        <v>43416</v>
      </c>
      <c r="X291" s="346">
        <v>43417</v>
      </c>
      <c r="Y291" s="346">
        <v>43418</v>
      </c>
      <c r="Z291" s="346">
        <v>43419</v>
      </c>
      <c r="AA291" s="346">
        <v>43420</v>
      </c>
      <c r="AB291" s="346">
        <v>43423</v>
      </c>
      <c r="AC291" s="346">
        <v>43424</v>
      </c>
      <c r="AD291" s="346">
        <v>43425</v>
      </c>
      <c r="AE291" s="346">
        <v>43426</v>
      </c>
      <c r="AF291" s="346">
        <v>43427</v>
      </c>
      <c r="AH291" s="291"/>
      <c r="AI291" s="318"/>
      <c r="AJ291" s="318"/>
      <c r="AK291" s="319"/>
      <c r="AL291" s="259" t="s">
        <v>271</v>
      </c>
      <c r="AM291" s="318"/>
      <c r="AN291" s="319"/>
      <c r="AO291" s="2" t="s">
        <v>272</v>
      </c>
      <c r="AP291" s="2" t="s">
        <v>273</v>
      </c>
      <c r="AQ291" s="2" t="s">
        <v>274</v>
      </c>
      <c r="AR291" s="2" t="s">
        <v>430</v>
      </c>
    </row>
    <row r="292" spans="2:45" ht="9.9499999999999993" customHeight="1" x14ac:dyDescent="0.15">
      <c r="B292" s="7"/>
      <c r="C292" s="7"/>
      <c r="D292" s="7"/>
      <c r="E292" s="7"/>
      <c r="F292" s="293" t="s">
        <v>280</v>
      </c>
      <c r="G292" s="293" t="s">
        <v>276</v>
      </c>
      <c r="H292" s="351" t="s">
        <v>277</v>
      </c>
      <c r="I292" s="351" t="s">
        <v>278</v>
      </c>
      <c r="J292" s="293" t="s">
        <v>279</v>
      </c>
      <c r="K292" s="351" t="s">
        <v>280</v>
      </c>
      <c r="L292" s="2" t="s">
        <v>281</v>
      </c>
      <c r="M292" s="293" t="s">
        <v>276</v>
      </c>
      <c r="N292" s="293" t="s">
        <v>277</v>
      </c>
      <c r="O292" s="351" t="s">
        <v>278</v>
      </c>
      <c r="P292" s="351" t="s">
        <v>279</v>
      </c>
      <c r="Q292" s="293" t="s">
        <v>280</v>
      </c>
      <c r="R292" s="351" t="s">
        <v>276</v>
      </c>
      <c r="S292" s="2" t="s">
        <v>277</v>
      </c>
      <c r="T292" s="293" t="s">
        <v>278</v>
      </c>
      <c r="U292" s="293" t="s">
        <v>279</v>
      </c>
      <c r="V292" s="351" t="s">
        <v>280</v>
      </c>
      <c r="W292" s="351" t="s">
        <v>276</v>
      </c>
      <c r="X292" s="293" t="s">
        <v>277</v>
      </c>
      <c r="Y292" s="351" t="s">
        <v>278</v>
      </c>
      <c r="Z292" s="2" t="s">
        <v>279</v>
      </c>
      <c r="AA292" s="293" t="s">
        <v>280</v>
      </c>
      <c r="AB292" s="293" t="s">
        <v>276</v>
      </c>
      <c r="AC292" s="351" t="s">
        <v>277</v>
      </c>
      <c r="AD292" s="351" t="s">
        <v>278</v>
      </c>
      <c r="AE292" s="293" t="s">
        <v>279</v>
      </c>
      <c r="AF292" s="351" t="s">
        <v>280</v>
      </c>
      <c r="AH292" s="259" t="s">
        <v>347</v>
      </c>
      <c r="AI292" s="318"/>
      <c r="AJ292" s="318"/>
      <c r="AK292" s="319"/>
      <c r="AL292" s="580" t="s">
        <v>348</v>
      </c>
      <c r="AM292" s="581"/>
      <c r="AN292" s="582"/>
      <c r="AO292" s="320">
        <v>43399</v>
      </c>
      <c r="AP292" s="2" t="s">
        <v>110</v>
      </c>
      <c r="AQ292" s="2" t="s">
        <v>110</v>
      </c>
      <c r="AR292" s="2" t="s">
        <v>110</v>
      </c>
    </row>
    <row r="293" spans="2:45" ht="9.9499999999999993" customHeight="1" x14ac:dyDescent="0.15">
      <c r="B293" s="590" t="s">
        <v>269</v>
      </c>
      <c r="C293" s="290">
        <v>0.23</v>
      </c>
      <c r="D293" s="590" t="s">
        <v>486</v>
      </c>
      <c r="E293" s="2" t="s">
        <v>589</v>
      </c>
      <c r="F293" s="265">
        <v>4.2000000000000003E-2</v>
      </c>
      <c r="G293" s="265">
        <v>5.3999999999999999E-2</v>
      </c>
      <c r="H293" s="312">
        <v>5.3999999999999999E-2</v>
      </c>
      <c r="I293" s="312">
        <v>4.8000000000000001E-2</v>
      </c>
      <c r="J293" s="265">
        <v>0.06</v>
      </c>
      <c r="K293" s="312">
        <v>0.06</v>
      </c>
      <c r="L293" s="265">
        <v>4.8000000000000001E-2</v>
      </c>
      <c r="M293" s="265">
        <v>4.8000000000000001E-2</v>
      </c>
      <c r="N293" s="265">
        <v>0.06</v>
      </c>
      <c r="O293" s="265">
        <v>6.6000000000000003E-2</v>
      </c>
      <c r="P293" s="265">
        <v>5.3999999999999999E-2</v>
      </c>
      <c r="Q293" s="312">
        <v>4.8000000000000001E-2</v>
      </c>
      <c r="R293" s="265">
        <v>5.3999999999999999E-2</v>
      </c>
      <c r="S293" s="265">
        <v>4.2000000000000003E-2</v>
      </c>
      <c r="T293" s="265">
        <v>0.06</v>
      </c>
      <c r="U293" s="265">
        <v>0.03</v>
      </c>
      <c r="V293" s="265">
        <v>0.06</v>
      </c>
      <c r="W293" s="265">
        <v>4.8000000000000001E-2</v>
      </c>
      <c r="X293" s="265">
        <v>4.2000000000000003E-2</v>
      </c>
      <c r="Y293" s="265">
        <v>4.8000000000000001E-2</v>
      </c>
      <c r="Z293" s="265">
        <v>6.6000000000000003E-2</v>
      </c>
      <c r="AA293" s="265">
        <v>4.8000000000000001E-2</v>
      </c>
      <c r="AB293" s="265">
        <v>4.8000000000000001E-2</v>
      </c>
      <c r="AC293" s="265">
        <v>3.5999999999999997E-2</v>
      </c>
      <c r="AD293" s="265">
        <v>0.06</v>
      </c>
      <c r="AE293" s="265">
        <v>0.06</v>
      </c>
      <c r="AF293" s="265">
        <v>0.06</v>
      </c>
      <c r="AH293" s="259" t="s">
        <v>527</v>
      </c>
      <c r="AI293" s="318"/>
      <c r="AJ293" s="318"/>
      <c r="AK293" s="319"/>
      <c r="AL293" s="583"/>
      <c r="AM293" s="584"/>
      <c r="AN293" s="585"/>
      <c r="AO293" s="320">
        <v>43399</v>
      </c>
      <c r="AP293" s="2" t="s">
        <v>110</v>
      </c>
      <c r="AQ293" s="2" t="s">
        <v>110</v>
      </c>
      <c r="AR293" s="2" t="s">
        <v>110</v>
      </c>
    </row>
    <row r="294" spans="2:45" ht="9.9499999999999993" customHeight="1" x14ac:dyDescent="0.15">
      <c r="B294" s="591"/>
      <c r="C294" s="292"/>
      <c r="D294" s="591"/>
      <c r="E294" s="2" t="s">
        <v>590</v>
      </c>
      <c r="F294" s="265">
        <v>3.6999999999999998E-2</v>
      </c>
      <c r="G294" s="265">
        <v>0.04</v>
      </c>
      <c r="H294" s="312">
        <v>4.3999999999999997E-2</v>
      </c>
      <c r="I294" s="312">
        <v>4.5999999999999999E-2</v>
      </c>
      <c r="J294" s="265">
        <v>0.04</v>
      </c>
      <c r="K294" s="312">
        <v>4.2999999999999997E-2</v>
      </c>
      <c r="L294" s="317"/>
      <c r="M294" s="265">
        <v>4.2999999999999997E-2</v>
      </c>
      <c r="N294" s="265">
        <v>4.3999999999999997E-2</v>
      </c>
      <c r="O294" s="265">
        <v>4.3999999999999997E-2</v>
      </c>
      <c r="P294" s="265">
        <v>4.2000000000000003E-2</v>
      </c>
      <c r="Q294" s="312">
        <v>4.1000000000000002E-2</v>
      </c>
      <c r="R294" s="265">
        <v>4.2999999999999997E-2</v>
      </c>
      <c r="S294" s="265">
        <v>4.2000000000000003E-2</v>
      </c>
      <c r="T294" s="265">
        <v>3.7999999999999999E-2</v>
      </c>
      <c r="U294" s="265">
        <v>4.3999999999999997E-2</v>
      </c>
      <c r="V294" s="265">
        <v>4.2000000000000003E-2</v>
      </c>
      <c r="W294" s="265">
        <v>4.3999999999999997E-2</v>
      </c>
      <c r="X294" s="265">
        <v>3.7999999999999999E-2</v>
      </c>
      <c r="Y294" s="265">
        <v>0.04</v>
      </c>
      <c r="Z294" s="265">
        <v>0.04</v>
      </c>
      <c r="AA294" s="265">
        <v>4.2999999999999997E-2</v>
      </c>
      <c r="AB294" s="265">
        <v>3.7999999999999999E-2</v>
      </c>
      <c r="AC294" s="265">
        <v>4.2000000000000003E-2</v>
      </c>
      <c r="AD294" s="265">
        <v>5.7000000000000002E-2</v>
      </c>
      <c r="AE294" s="265">
        <v>3.6999999999999998E-2</v>
      </c>
      <c r="AF294" s="265">
        <v>4.3999999999999997E-2</v>
      </c>
      <c r="AH294" s="259" t="s">
        <v>353</v>
      </c>
      <c r="AI294" s="318"/>
      <c r="AJ294" s="318"/>
      <c r="AK294" s="319"/>
      <c r="AL294" s="583"/>
      <c r="AM294" s="584"/>
      <c r="AN294" s="585"/>
      <c r="AO294" s="320">
        <v>43399</v>
      </c>
      <c r="AP294" s="22">
        <v>0.9</v>
      </c>
      <c r="AQ294" s="2" t="s">
        <v>110</v>
      </c>
      <c r="AR294" s="2" t="s">
        <v>434</v>
      </c>
    </row>
    <row r="295" spans="2:45" ht="9.9499999999999993" customHeight="1" x14ac:dyDescent="0.15">
      <c r="B295" s="591"/>
      <c r="C295" s="292"/>
      <c r="D295" s="591"/>
      <c r="E295" s="2" t="s">
        <v>591</v>
      </c>
      <c r="F295" s="265">
        <v>3.5999999999999997E-2</v>
      </c>
      <c r="G295" s="265">
        <v>3.7999999999999999E-2</v>
      </c>
      <c r="H295" s="312">
        <v>3.5999999999999997E-2</v>
      </c>
      <c r="I295" s="312">
        <v>3.5000000000000003E-2</v>
      </c>
      <c r="J295" s="265">
        <v>3.5000000000000003E-2</v>
      </c>
      <c r="K295" s="312">
        <v>3.5999999999999997E-2</v>
      </c>
      <c r="L295" s="317"/>
      <c r="M295" s="265">
        <v>3.6999999999999998E-2</v>
      </c>
      <c r="N295" s="265">
        <v>3.4000000000000002E-2</v>
      </c>
      <c r="O295" s="265">
        <v>3.6999999999999998E-2</v>
      </c>
      <c r="P295" s="265">
        <v>4.1000000000000002E-2</v>
      </c>
      <c r="Q295" s="312">
        <v>3.7999999999999999E-2</v>
      </c>
      <c r="R295" s="265">
        <v>4.1000000000000002E-2</v>
      </c>
      <c r="S295" s="265">
        <v>4.2000000000000003E-2</v>
      </c>
      <c r="T295" s="265">
        <v>3.5999999999999997E-2</v>
      </c>
      <c r="U295" s="265">
        <v>3.7999999999999999E-2</v>
      </c>
      <c r="V295" s="265">
        <v>3.2000000000000001E-2</v>
      </c>
      <c r="W295" s="265">
        <v>4.1000000000000002E-2</v>
      </c>
      <c r="X295" s="265">
        <v>2.8000000000000001E-2</v>
      </c>
      <c r="Y295" s="265">
        <v>3.3000000000000002E-2</v>
      </c>
      <c r="Z295" s="265">
        <v>3.4000000000000002E-2</v>
      </c>
      <c r="AA295" s="265">
        <v>3.7999999999999999E-2</v>
      </c>
      <c r="AB295" s="265">
        <v>0.04</v>
      </c>
      <c r="AC295" s="265">
        <v>3.6999999999999998E-2</v>
      </c>
      <c r="AD295" s="265">
        <v>4.5999999999999999E-2</v>
      </c>
      <c r="AE295" s="265">
        <v>3.6999999999999998E-2</v>
      </c>
      <c r="AF295" s="265">
        <v>4.3999999999999997E-2</v>
      </c>
      <c r="AH295" s="259" t="s">
        <v>357</v>
      </c>
      <c r="AI295" s="318"/>
      <c r="AJ295" s="318"/>
      <c r="AK295" s="319"/>
      <c r="AL295" s="11" t="s">
        <v>288</v>
      </c>
      <c r="AM295" s="322"/>
      <c r="AN295" s="323"/>
      <c r="AO295" s="320">
        <v>43399</v>
      </c>
      <c r="AP295" s="2" t="s">
        <v>110</v>
      </c>
      <c r="AQ295" s="2" t="s">
        <v>110</v>
      </c>
      <c r="AR295" s="2" t="s">
        <v>110</v>
      </c>
    </row>
    <row r="296" spans="2:45" ht="9.9499999999999993" customHeight="1" x14ac:dyDescent="0.15">
      <c r="B296" s="5"/>
      <c r="C296" s="292"/>
      <c r="D296" s="601"/>
      <c r="E296" s="2" t="s">
        <v>592</v>
      </c>
      <c r="F296" s="265">
        <v>4.2000000000000003E-2</v>
      </c>
      <c r="G296" s="265">
        <v>0.04</v>
      </c>
      <c r="H296" s="312">
        <v>3.5000000000000003E-2</v>
      </c>
      <c r="I296" s="312">
        <v>3.5000000000000003E-2</v>
      </c>
      <c r="J296" s="265">
        <v>0.04</v>
      </c>
      <c r="K296" s="312">
        <v>4.1000000000000002E-2</v>
      </c>
      <c r="L296" s="317"/>
      <c r="M296" s="265">
        <v>3.9E-2</v>
      </c>
      <c r="N296" s="265">
        <v>3.1E-2</v>
      </c>
      <c r="O296" s="265">
        <v>4.2000000000000003E-2</v>
      </c>
      <c r="P296" s="265">
        <v>3.7999999999999999E-2</v>
      </c>
      <c r="Q296" s="312">
        <v>3.7999999999999999E-2</v>
      </c>
      <c r="R296" s="265">
        <v>3.2000000000000001E-2</v>
      </c>
      <c r="S296" s="265">
        <v>4.1000000000000002E-2</v>
      </c>
      <c r="T296" s="265">
        <v>0.04</v>
      </c>
      <c r="U296" s="265">
        <v>0.04</v>
      </c>
      <c r="V296" s="265">
        <v>3.6999999999999998E-2</v>
      </c>
      <c r="W296" s="265">
        <v>0.04</v>
      </c>
      <c r="X296" s="265">
        <v>4.3999999999999997E-2</v>
      </c>
      <c r="Y296" s="265">
        <v>4.2000000000000003E-2</v>
      </c>
      <c r="Z296" s="265">
        <v>3.1E-2</v>
      </c>
      <c r="AA296" s="265">
        <v>3.2000000000000001E-2</v>
      </c>
      <c r="AB296" s="265">
        <v>3.9E-2</v>
      </c>
      <c r="AC296" s="265">
        <v>4.2000000000000003E-2</v>
      </c>
      <c r="AD296" s="265">
        <v>4.2000000000000003E-2</v>
      </c>
      <c r="AE296" s="265">
        <v>3.3000000000000002E-2</v>
      </c>
      <c r="AF296" s="265">
        <v>3.9E-2</v>
      </c>
      <c r="AH296" s="344" t="s">
        <v>360</v>
      </c>
      <c r="AI296" s="324"/>
      <c r="AJ296" s="324"/>
      <c r="AK296" s="324"/>
      <c r="AL296" s="324"/>
      <c r="AM296" s="325"/>
    </row>
    <row r="297" spans="2:45" ht="9.9499999999999993" customHeight="1" x14ac:dyDescent="0.15">
      <c r="B297" s="5"/>
      <c r="C297" s="292"/>
      <c r="D297" s="3" t="s">
        <v>349</v>
      </c>
      <c r="E297" s="2" t="s">
        <v>593</v>
      </c>
      <c r="F297" s="265">
        <v>4.2000000000000003E-2</v>
      </c>
      <c r="G297" s="265">
        <v>4.1000000000000002E-2</v>
      </c>
      <c r="H297" s="312">
        <v>4.5999999999999999E-2</v>
      </c>
      <c r="I297" s="312">
        <v>3.5999999999999997E-2</v>
      </c>
      <c r="J297" s="265">
        <v>3.9E-2</v>
      </c>
      <c r="K297" s="312">
        <v>4.2000000000000003E-2</v>
      </c>
      <c r="L297" s="317"/>
      <c r="M297" s="265">
        <v>4.3999999999999997E-2</v>
      </c>
      <c r="N297" s="265">
        <v>3.9E-2</v>
      </c>
      <c r="O297" s="265">
        <v>4.5999999999999999E-2</v>
      </c>
      <c r="P297" s="265">
        <v>4.2000000000000003E-2</v>
      </c>
      <c r="Q297" s="312">
        <v>4.5999999999999999E-2</v>
      </c>
      <c r="R297" s="265">
        <v>4.2000000000000003E-2</v>
      </c>
      <c r="S297" s="265">
        <v>3.7999999999999999E-2</v>
      </c>
      <c r="T297" s="265">
        <v>4.2000000000000003E-2</v>
      </c>
      <c r="U297" s="265">
        <v>4.1000000000000002E-2</v>
      </c>
      <c r="V297" s="265">
        <v>4.7E-2</v>
      </c>
      <c r="W297" s="265">
        <v>3.9E-2</v>
      </c>
      <c r="X297" s="265">
        <v>4.2999999999999997E-2</v>
      </c>
      <c r="Y297" s="265">
        <v>4.2000000000000003E-2</v>
      </c>
      <c r="Z297" s="265">
        <v>3.9E-2</v>
      </c>
      <c r="AA297" s="265">
        <v>0.04</v>
      </c>
      <c r="AB297" s="265">
        <v>4.7E-2</v>
      </c>
      <c r="AC297" s="265">
        <v>0.05</v>
      </c>
      <c r="AD297" s="265">
        <v>4.9000000000000002E-2</v>
      </c>
      <c r="AE297" s="265">
        <v>4.5999999999999999E-2</v>
      </c>
      <c r="AF297" s="265">
        <v>4.7E-2</v>
      </c>
      <c r="AH297" s="93" t="s">
        <v>366</v>
      </c>
      <c r="AJ297" s="257"/>
      <c r="AK297" s="257"/>
      <c r="AL297" s="257"/>
      <c r="AM297" s="257"/>
      <c r="AN297" s="257"/>
      <c r="AO297" s="257"/>
      <c r="AP297" s="257"/>
      <c r="AQ297" s="257"/>
      <c r="AR297" s="257"/>
      <c r="AS297" s="257"/>
    </row>
    <row r="298" spans="2:45" ht="9.9499999999999993" customHeight="1" x14ac:dyDescent="0.15">
      <c r="B298" s="7"/>
      <c r="C298" s="301"/>
      <c r="D298" s="7"/>
      <c r="E298" s="2" t="s">
        <v>352</v>
      </c>
      <c r="F298" s="265">
        <v>4.4999999999999998E-2</v>
      </c>
      <c r="G298" s="265">
        <v>5.0999999999999997E-2</v>
      </c>
      <c r="H298" s="312">
        <v>4.2000000000000003E-2</v>
      </c>
      <c r="I298" s="312">
        <v>4.1000000000000002E-2</v>
      </c>
      <c r="J298" s="265">
        <v>4.2999999999999997E-2</v>
      </c>
      <c r="K298" s="312">
        <v>4.3999999999999997E-2</v>
      </c>
      <c r="L298" s="317"/>
      <c r="M298" s="265">
        <v>4.5999999999999999E-2</v>
      </c>
      <c r="N298" s="265">
        <v>4.3999999999999997E-2</v>
      </c>
      <c r="O298" s="265">
        <v>4.7E-2</v>
      </c>
      <c r="P298" s="265">
        <v>4.2000000000000003E-2</v>
      </c>
      <c r="Q298" s="312">
        <v>4.2000000000000003E-2</v>
      </c>
      <c r="R298" s="265">
        <v>3.5999999999999997E-2</v>
      </c>
      <c r="S298" s="265">
        <v>4.4999999999999998E-2</v>
      </c>
      <c r="T298" s="265">
        <v>3.7999999999999999E-2</v>
      </c>
      <c r="U298" s="265">
        <v>4.1000000000000002E-2</v>
      </c>
      <c r="V298" s="265">
        <v>3.7999999999999999E-2</v>
      </c>
      <c r="W298" s="265">
        <v>4.8000000000000001E-2</v>
      </c>
      <c r="X298" s="265">
        <v>3.7999999999999999E-2</v>
      </c>
      <c r="Y298" s="265">
        <v>4.4999999999999998E-2</v>
      </c>
      <c r="Z298" s="265">
        <v>4.3999999999999997E-2</v>
      </c>
      <c r="AA298" s="265">
        <v>4.1000000000000002E-2</v>
      </c>
      <c r="AB298" s="265">
        <v>4.4999999999999998E-2</v>
      </c>
      <c r="AC298" s="265">
        <v>0.05</v>
      </c>
      <c r="AD298" s="265">
        <v>5.3999999999999999E-2</v>
      </c>
      <c r="AE298" s="265">
        <v>4.4999999999999998E-2</v>
      </c>
      <c r="AF298" s="265">
        <v>4.4999999999999998E-2</v>
      </c>
      <c r="AH298" s="93" t="s">
        <v>529</v>
      </c>
      <c r="AJ298" s="257"/>
      <c r="AK298" s="257"/>
      <c r="AL298" s="257"/>
      <c r="AM298" s="257"/>
      <c r="AN298" s="257"/>
      <c r="AO298" s="257"/>
      <c r="AP298" s="257"/>
      <c r="AQ298" s="257"/>
      <c r="AR298" s="257"/>
      <c r="AS298" s="257"/>
    </row>
    <row r="299" spans="2:45" ht="9.9499999999999993" customHeight="1" x14ac:dyDescent="0.15">
      <c r="B299" s="288" t="s">
        <v>356</v>
      </c>
      <c r="C299" s="260"/>
      <c r="D299" s="260"/>
      <c r="E299" s="260"/>
      <c r="F299" s="260"/>
      <c r="G299" s="260"/>
      <c r="H299" s="260"/>
      <c r="I299" s="260"/>
      <c r="J299" s="260"/>
      <c r="K299" s="260"/>
      <c r="L299" s="260"/>
      <c r="M299" s="260"/>
      <c r="N299" s="260"/>
      <c r="O299" s="260"/>
      <c r="P299" s="260"/>
      <c r="Q299" s="260"/>
      <c r="R299" s="260"/>
      <c r="S299" s="260"/>
      <c r="T299" s="260"/>
      <c r="U299" s="260"/>
      <c r="V299" s="260"/>
      <c r="W299" s="260"/>
      <c r="X299" s="260"/>
      <c r="Y299" s="260"/>
      <c r="Z299" s="260"/>
      <c r="AA299" s="260"/>
      <c r="AB299" s="260"/>
      <c r="AC299" s="260"/>
      <c r="AD299" s="260"/>
      <c r="AE299" s="260"/>
      <c r="AF299" s="289"/>
      <c r="AH299" s="93" t="s">
        <v>361</v>
      </c>
      <c r="AJ299" s="257"/>
      <c r="AK299" s="257"/>
      <c r="AL299" s="257"/>
      <c r="AM299" s="257"/>
      <c r="AN299" s="257"/>
      <c r="AO299" s="257"/>
      <c r="AP299" s="257"/>
      <c r="AQ299" s="257"/>
      <c r="AR299" s="257"/>
      <c r="AS299" s="257"/>
    </row>
    <row r="300" spans="2:45" ht="9.9499999999999993" customHeight="1" x14ac:dyDescent="0.15">
      <c r="B300" s="16"/>
      <c r="C300" s="3" t="s">
        <v>271</v>
      </c>
      <c r="D300" s="607" t="s">
        <v>358</v>
      </c>
      <c r="E300" s="3" t="s">
        <v>359</v>
      </c>
      <c r="F300" s="346">
        <v>43238</v>
      </c>
      <c r="G300" s="346">
        <v>43395</v>
      </c>
      <c r="H300" s="346">
        <v>43396</v>
      </c>
      <c r="I300" s="346">
        <v>43397</v>
      </c>
      <c r="J300" s="346">
        <v>43398</v>
      </c>
      <c r="K300" s="346">
        <v>43399</v>
      </c>
      <c r="L300" s="346">
        <v>43400</v>
      </c>
      <c r="M300" s="346">
        <v>43402</v>
      </c>
      <c r="N300" s="346">
        <v>43403</v>
      </c>
      <c r="O300" s="346">
        <v>43404</v>
      </c>
      <c r="P300" s="346">
        <v>43405</v>
      </c>
      <c r="Q300" s="346">
        <v>43406</v>
      </c>
      <c r="R300" s="346">
        <v>43409</v>
      </c>
      <c r="S300" s="346">
        <v>43410</v>
      </c>
      <c r="T300" s="346">
        <v>43411</v>
      </c>
      <c r="U300" s="346">
        <v>43412</v>
      </c>
      <c r="V300" s="346">
        <v>43413</v>
      </c>
      <c r="W300" s="346">
        <v>43416</v>
      </c>
      <c r="X300" s="346">
        <v>43417</v>
      </c>
      <c r="Y300" s="346">
        <v>43418</v>
      </c>
      <c r="Z300" s="346">
        <v>43419</v>
      </c>
      <c r="AA300" s="346">
        <v>43420</v>
      </c>
      <c r="AB300" s="346">
        <v>43423</v>
      </c>
      <c r="AC300" s="346">
        <v>43424</v>
      </c>
      <c r="AD300" s="346">
        <v>43425</v>
      </c>
      <c r="AE300" s="346">
        <v>43426</v>
      </c>
      <c r="AF300" s="346">
        <v>43427</v>
      </c>
      <c r="AH300" s="257"/>
      <c r="AI300" s="257"/>
      <c r="AJ300" s="257"/>
      <c r="AK300" s="257"/>
      <c r="AL300" s="257"/>
      <c r="AM300" s="257"/>
      <c r="AN300" s="257"/>
      <c r="AO300" s="257"/>
      <c r="AP300" s="257"/>
      <c r="AQ300" s="257"/>
      <c r="AR300" s="257"/>
      <c r="AS300" s="257"/>
    </row>
    <row r="301" spans="2:45" ht="9.9499999999999993" customHeight="1" x14ac:dyDescent="0.15">
      <c r="B301" s="7"/>
      <c r="C301" s="7"/>
      <c r="D301" s="608"/>
      <c r="E301" s="7"/>
      <c r="F301" s="293" t="s">
        <v>280</v>
      </c>
      <c r="G301" s="293" t="s">
        <v>276</v>
      </c>
      <c r="H301" s="351" t="s">
        <v>277</v>
      </c>
      <c r="I301" s="351" t="s">
        <v>278</v>
      </c>
      <c r="J301" s="293" t="s">
        <v>279</v>
      </c>
      <c r="K301" s="351" t="s">
        <v>280</v>
      </c>
      <c r="L301" s="2" t="s">
        <v>281</v>
      </c>
      <c r="M301" s="293" t="s">
        <v>276</v>
      </c>
      <c r="N301" s="293" t="s">
        <v>277</v>
      </c>
      <c r="O301" s="351" t="s">
        <v>278</v>
      </c>
      <c r="P301" s="351" t="s">
        <v>279</v>
      </c>
      <c r="Q301" s="293" t="s">
        <v>280</v>
      </c>
      <c r="R301" s="351" t="s">
        <v>276</v>
      </c>
      <c r="S301" s="2" t="s">
        <v>277</v>
      </c>
      <c r="T301" s="293" t="s">
        <v>278</v>
      </c>
      <c r="U301" s="293" t="s">
        <v>279</v>
      </c>
      <c r="V301" s="351" t="s">
        <v>280</v>
      </c>
      <c r="W301" s="351" t="s">
        <v>276</v>
      </c>
      <c r="X301" s="293" t="s">
        <v>277</v>
      </c>
      <c r="Y301" s="351" t="s">
        <v>278</v>
      </c>
      <c r="Z301" s="2" t="s">
        <v>279</v>
      </c>
      <c r="AA301" s="293" t="s">
        <v>280</v>
      </c>
      <c r="AB301" s="293" t="s">
        <v>276</v>
      </c>
      <c r="AC301" s="351" t="s">
        <v>277</v>
      </c>
      <c r="AD301" s="351" t="s">
        <v>278</v>
      </c>
      <c r="AE301" s="293" t="s">
        <v>279</v>
      </c>
      <c r="AF301" s="351" t="s">
        <v>280</v>
      </c>
      <c r="AH301" s="257"/>
      <c r="AI301" s="257"/>
      <c r="AJ301" s="257"/>
      <c r="AK301" s="257"/>
      <c r="AL301" s="257"/>
      <c r="AM301" s="257"/>
      <c r="AN301" s="257"/>
      <c r="AO301" s="257"/>
      <c r="AP301" s="22" t="s">
        <v>494</v>
      </c>
      <c r="AQ301" s="257"/>
      <c r="AR301" s="257"/>
      <c r="AS301" s="257"/>
    </row>
    <row r="302" spans="2:45" ht="9.9499999999999993" customHeight="1" x14ac:dyDescent="0.15">
      <c r="B302" s="590" t="s">
        <v>269</v>
      </c>
      <c r="C302" s="290">
        <v>0.23</v>
      </c>
      <c r="D302" s="592" t="s">
        <v>465</v>
      </c>
      <c r="E302" s="2" t="s">
        <v>363</v>
      </c>
      <c r="F302" s="265">
        <v>4.2000000000000003E-2</v>
      </c>
      <c r="G302" s="265">
        <v>4.8000000000000001E-2</v>
      </c>
      <c r="H302" s="312">
        <v>5.3999999999999999E-2</v>
      </c>
      <c r="I302" s="312">
        <v>0.06</v>
      </c>
      <c r="J302" s="265">
        <v>4.8000000000000001E-2</v>
      </c>
      <c r="K302" s="312">
        <v>4.2000000000000003E-2</v>
      </c>
      <c r="L302" s="265">
        <v>0.06</v>
      </c>
      <c r="M302" s="265">
        <v>4.2000000000000003E-2</v>
      </c>
      <c r="N302" s="265">
        <v>0.06</v>
      </c>
      <c r="O302" s="265">
        <v>5.3999999999999999E-2</v>
      </c>
      <c r="P302" s="265">
        <v>3.5999999999999997E-2</v>
      </c>
      <c r="Q302" s="312">
        <v>5.3999999999999999E-2</v>
      </c>
      <c r="R302" s="265">
        <v>4.8000000000000001E-2</v>
      </c>
      <c r="S302" s="265">
        <v>4.8000000000000001E-2</v>
      </c>
      <c r="T302" s="265">
        <v>0.06</v>
      </c>
      <c r="U302" s="265">
        <v>3.5999999999999997E-2</v>
      </c>
      <c r="V302" s="265">
        <v>5.3999999999999999E-2</v>
      </c>
      <c r="W302" s="265">
        <v>4.2000000000000003E-2</v>
      </c>
      <c r="X302" s="265">
        <v>4.2000000000000003E-2</v>
      </c>
      <c r="Y302" s="265">
        <v>4.8000000000000001E-2</v>
      </c>
      <c r="Z302" s="265">
        <v>3.5999999999999997E-2</v>
      </c>
      <c r="AA302" s="265">
        <v>4.2000000000000003E-2</v>
      </c>
      <c r="AB302" s="265">
        <v>4.2000000000000003E-2</v>
      </c>
      <c r="AC302" s="265">
        <v>4.8000000000000001E-2</v>
      </c>
      <c r="AD302" s="265">
        <v>4.2000000000000003E-2</v>
      </c>
      <c r="AE302" s="265">
        <v>0.03</v>
      </c>
      <c r="AF302" s="265">
        <v>4.2000000000000003E-2</v>
      </c>
    </row>
    <row r="303" spans="2:45" ht="9.9499999999999993" customHeight="1" x14ac:dyDescent="0.15">
      <c r="B303" s="591"/>
      <c r="C303" s="292"/>
      <c r="D303" s="593"/>
      <c r="E303" s="2" t="s">
        <v>594</v>
      </c>
      <c r="F303" s="265">
        <v>4.7E-2</v>
      </c>
      <c r="G303" s="265">
        <v>3.4000000000000002E-2</v>
      </c>
      <c r="H303" s="312">
        <v>3.4000000000000002E-2</v>
      </c>
      <c r="I303" s="312">
        <v>3.2000000000000001E-2</v>
      </c>
      <c r="J303" s="265">
        <v>3.9E-2</v>
      </c>
      <c r="K303" s="312">
        <v>3.5999999999999997E-2</v>
      </c>
      <c r="L303" s="265">
        <v>0.04</v>
      </c>
      <c r="M303" s="265">
        <v>3.2000000000000001E-2</v>
      </c>
      <c r="N303" s="265">
        <v>4.1000000000000002E-2</v>
      </c>
      <c r="O303" s="265">
        <v>5.2999999999999999E-2</v>
      </c>
      <c r="P303" s="265">
        <v>0.04</v>
      </c>
      <c r="Q303" s="312">
        <v>3.6999999999999998E-2</v>
      </c>
      <c r="R303" s="265">
        <v>3.9E-2</v>
      </c>
      <c r="S303" s="265">
        <v>0.03</v>
      </c>
      <c r="T303" s="265">
        <v>3.1E-2</v>
      </c>
      <c r="U303" s="265">
        <v>3.3000000000000002E-2</v>
      </c>
      <c r="V303" s="265">
        <v>3.4000000000000002E-2</v>
      </c>
      <c r="W303" s="265">
        <v>3.9E-2</v>
      </c>
      <c r="X303" s="265">
        <v>3.6999999999999998E-2</v>
      </c>
      <c r="Y303" s="265">
        <v>3.7999999999999999E-2</v>
      </c>
      <c r="Z303" s="265">
        <v>2.8000000000000001E-2</v>
      </c>
      <c r="AA303" s="265">
        <v>3.9E-2</v>
      </c>
      <c r="AB303" s="265">
        <v>3.5999999999999997E-2</v>
      </c>
      <c r="AC303" s="265">
        <v>3.4000000000000002E-2</v>
      </c>
      <c r="AD303" s="265">
        <v>0.03</v>
      </c>
      <c r="AE303" s="265">
        <v>3.6999999999999998E-2</v>
      </c>
      <c r="AF303" s="265">
        <v>4.5999999999999999E-2</v>
      </c>
    </row>
    <row r="304" spans="2:45" ht="9.9499999999999993" customHeight="1" x14ac:dyDescent="0.15">
      <c r="B304" s="591"/>
      <c r="C304" s="292"/>
      <c r="D304" s="593"/>
      <c r="E304" s="2" t="s">
        <v>595</v>
      </c>
      <c r="F304" s="265">
        <v>5.5E-2</v>
      </c>
      <c r="G304" s="265">
        <v>4.9000000000000002E-2</v>
      </c>
      <c r="H304" s="312">
        <v>5.1999999999999998E-2</v>
      </c>
      <c r="I304" s="312">
        <v>5.3999999999999999E-2</v>
      </c>
      <c r="J304" s="265">
        <v>4.8000000000000001E-2</v>
      </c>
      <c r="K304" s="312">
        <v>5.0999999999999997E-2</v>
      </c>
      <c r="L304" s="265">
        <v>4.8000000000000001E-2</v>
      </c>
      <c r="M304" s="265">
        <v>4.3999999999999997E-2</v>
      </c>
      <c r="N304" s="265">
        <v>5.3999999999999999E-2</v>
      </c>
      <c r="O304" s="265">
        <v>5.7000000000000002E-2</v>
      </c>
      <c r="P304" s="265">
        <v>4.7E-2</v>
      </c>
      <c r="Q304" s="312">
        <v>5.0999999999999997E-2</v>
      </c>
      <c r="R304" s="265">
        <v>4.5999999999999999E-2</v>
      </c>
      <c r="S304" s="265">
        <v>4.9000000000000002E-2</v>
      </c>
      <c r="T304" s="265">
        <v>4.5999999999999999E-2</v>
      </c>
      <c r="U304" s="265">
        <v>5.2999999999999999E-2</v>
      </c>
      <c r="V304" s="265">
        <v>4.2000000000000003E-2</v>
      </c>
      <c r="W304" s="265">
        <v>4.8000000000000001E-2</v>
      </c>
      <c r="X304" s="265">
        <v>4.8000000000000001E-2</v>
      </c>
      <c r="Y304" s="265">
        <v>0.05</v>
      </c>
      <c r="Z304" s="265">
        <v>4.2999999999999997E-2</v>
      </c>
      <c r="AA304" s="265">
        <v>4.7E-2</v>
      </c>
      <c r="AB304" s="265">
        <v>5.0999999999999997E-2</v>
      </c>
      <c r="AC304" s="265">
        <v>4.5999999999999999E-2</v>
      </c>
      <c r="AD304" s="265">
        <v>4.4999999999999998E-2</v>
      </c>
      <c r="AE304" s="265">
        <v>5.1999999999999998E-2</v>
      </c>
      <c r="AF304" s="265">
        <v>7.1999999999999995E-2</v>
      </c>
    </row>
    <row r="305" spans="1:50" ht="9.9499999999999993" customHeight="1" x14ac:dyDescent="0.15">
      <c r="B305" s="5"/>
      <c r="C305" s="292"/>
      <c r="D305" s="593"/>
      <c r="E305" s="2" t="s">
        <v>369</v>
      </c>
      <c r="F305" s="265">
        <v>4.5999999999999999E-2</v>
      </c>
      <c r="G305" s="265">
        <v>4.7E-2</v>
      </c>
      <c r="H305" s="312">
        <v>4.4999999999999998E-2</v>
      </c>
      <c r="I305" s="312">
        <v>4.7E-2</v>
      </c>
      <c r="J305" s="265">
        <v>4.1000000000000002E-2</v>
      </c>
      <c r="K305" s="312">
        <v>4.3999999999999997E-2</v>
      </c>
      <c r="L305" s="265">
        <v>4.9000000000000002E-2</v>
      </c>
      <c r="M305" s="265">
        <v>4.2999999999999997E-2</v>
      </c>
      <c r="N305" s="265">
        <v>5.0999999999999997E-2</v>
      </c>
      <c r="O305" s="265">
        <v>5.0999999999999997E-2</v>
      </c>
      <c r="P305" s="265">
        <v>4.4999999999999998E-2</v>
      </c>
      <c r="Q305" s="312">
        <v>5.1999999999999998E-2</v>
      </c>
      <c r="R305" s="265">
        <v>4.4999999999999998E-2</v>
      </c>
      <c r="S305" s="265">
        <v>4.2000000000000003E-2</v>
      </c>
      <c r="T305" s="265">
        <v>0.04</v>
      </c>
      <c r="U305" s="265">
        <v>4.2000000000000003E-2</v>
      </c>
      <c r="V305" s="265">
        <v>5.1999999999999998E-2</v>
      </c>
      <c r="W305" s="265">
        <v>4.4999999999999998E-2</v>
      </c>
      <c r="X305" s="265">
        <v>0.05</v>
      </c>
      <c r="Y305" s="265">
        <v>4.9000000000000002E-2</v>
      </c>
      <c r="Z305" s="265">
        <v>3.9E-2</v>
      </c>
      <c r="AA305" s="265">
        <v>4.9000000000000002E-2</v>
      </c>
      <c r="AB305" s="265">
        <v>4.8000000000000001E-2</v>
      </c>
      <c r="AC305" s="265">
        <v>4.2999999999999997E-2</v>
      </c>
      <c r="AD305" s="265">
        <v>4.1000000000000002E-2</v>
      </c>
      <c r="AE305" s="265">
        <v>4.9000000000000002E-2</v>
      </c>
      <c r="AF305" s="265">
        <v>6.7000000000000004E-2</v>
      </c>
    </row>
    <row r="306" spans="1:50" ht="9.9499999999999993" customHeight="1" x14ac:dyDescent="0.15">
      <c r="B306" s="5"/>
      <c r="C306" s="292"/>
      <c r="D306" s="5"/>
      <c r="E306" s="2" t="s">
        <v>297</v>
      </c>
      <c r="F306" s="265">
        <v>5.2999999999999999E-2</v>
      </c>
      <c r="G306" s="265">
        <v>3.7999999999999999E-2</v>
      </c>
      <c r="H306" s="312">
        <v>4.5999999999999999E-2</v>
      </c>
      <c r="I306" s="312">
        <v>0.04</v>
      </c>
      <c r="J306" s="265">
        <v>0.04</v>
      </c>
      <c r="K306" s="312">
        <v>4.2000000000000003E-2</v>
      </c>
      <c r="L306" s="265">
        <v>4.4999999999999998E-2</v>
      </c>
      <c r="M306" s="265">
        <v>4.2999999999999997E-2</v>
      </c>
      <c r="N306" s="265">
        <v>5.5E-2</v>
      </c>
      <c r="O306" s="265">
        <v>5.3999999999999999E-2</v>
      </c>
      <c r="P306" s="265">
        <v>4.4999999999999998E-2</v>
      </c>
      <c r="Q306" s="312">
        <v>4.2999999999999997E-2</v>
      </c>
      <c r="R306" s="265">
        <v>4.3999999999999997E-2</v>
      </c>
      <c r="S306" s="265">
        <v>4.1000000000000002E-2</v>
      </c>
      <c r="T306" s="265">
        <v>0.04</v>
      </c>
      <c r="U306" s="265">
        <v>3.6999999999999998E-2</v>
      </c>
      <c r="V306" s="265">
        <v>0.04</v>
      </c>
      <c r="W306" s="265">
        <v>4.9000000000000002E-2</v>
      </c>
      <c r="X306" s="265">
        <v>4.7E-2</v>
      </c>
      <c r="Y306" s="265">
        <v>4.2000000000000003E-2</v>
      </c>
      <c r="Z306" s="265">
        <v>3.5999999999999997E-2</v>
      </c>
      <c r="AA306" s="265">
        <v>4.4999999999999998E-2</v>
      </c>
      <c r="AB306" s="265">
        <v>4.1000000000000002E-2</v>
      </c>
      <c r="AC306" s="265">
        <v>4.2000000000000003E-2</v>
      </c>
      <c r="AD306" s="265">
        <v>4.1000000000000002E-2</v>
      </c>
      <c r="AE306" s="265">
        <v>4.4999999999999998E-2</v>
      </c>
      <c r="AF306" s="265">
        <v>6.6000000000000003E-2</v>
      </c>
    </row>
    <row r="307" spans="1:50" ht="9.9499999999999993" customHeight="1" x14ac:dyDescent="0.15">
      <c r="B307" s="5"/>
      <c r="C307" s="292"/>
      <c r="D307" s="5"/>
      <c r="E307" s="2" t="s">
        <v>596</v>
      </c>
      <c r="F307" s="265">
        <v>5.1999999999999998E-2</v>
      </c>
      <c r="G307" s="265">
        <v>0.05</v>
      </c>
      <c r="H307" s="312">
        <v>4.7E-2</v>
      </c>
      <c r="I307" s="312">
        <v>4.5999999999999999E-2</v>
      </c>
      <c r="J307" s="265">
        <v>4.4999999999999998E-2</v>
      </c>
      <c r="K307" s="312">
        <v>4.2000000000000003E-2</v>
      </c>
      <c r="L307" s="265">
        <v>4.7E-2</v>
      </c>
      <c r="M307" s="265">
        <v>4.8000000000000001E-2</v>
      </c>
      <c r="N307" s="265">
        <v>4.8000000000000001E-2</v>
      </c>
      <c r="O307" s="265">
        <v>5.1999999999999998E-2</v>
      </c>
      <c r="P307" s="265">
        <v>5.2999999999999999E-2</v>
      </c>
      <c r="Q307" s="312">
        <v>4.3999999999999997E-2</v>
      </c>
      <c r="R307" s="265">
        <v>4.7E-2</v>
      </c>
      <c r="S307" s="265">
        <v>4.2999999999999997E-2</v>
      </c>
      <c r="T307" s="265">
        <v>4.7E-2</v>
      </c>
      <c r="U307" s="265">
        <v>4.5999999999999999E-2</v>
      </c>
      <c r="V307" s="265">
        <v>5.2999999999999999E-2</v>
      </c>
      <c r="W307" s="265">
        <v>4.4999999999999998E-2</v>
      </c>
      <c r="X307" s="265">
        <v>4.7E-2</v>
      </c>
      <c r="Y307" s="265">
        <v>4.1000000000000002E-2</v>
      </c>
      <c r="Z307" s="265">
        <v>4.4999999999999998E-2</v>
      </c>
      <c r="AA307" s="265">
        <v>4.4999999999999998E-2</v>
      </c>
      <c r="AB307" s="265">
        <v>4.8000000000000001E-2</v>
      </c>
      <c r="AC307" s="265">
        <v>4.9000000000000002E-2</v>
      </c>
      <c r="AD307" s="265">
        <v>4.4999999999999998E-2</v>
      </c>
      <c r="AE307" s="265">
        <v>4.3999999999999997E-2</v>
      </c>
      <c r="AF307" s="265">
        <v>7.3999999999999996E-2</v>
      </c>
    </row>
    <row r="308" spans="1:50" ht="9.9499999999999993" customHeight="1" x14ac:dyDescent="0.15">
      <c r="B308" s="7"/>
      <c r="C308" s="301"/>
      <c r="D308" s="7"/>
      <c r="E308" s="2" t="s">
        <v>371</v>
      </c>
      <c r="F308" s="265">
        <v>4.8000000000000001E-2</v>
      </c>
      <c r="G308" s="265">
        <v>0.04</v>
      </c>
      <c r="H308" s="312">
        <v>3.9E-2</v>
      </c>
      <c r="I308" s="312">
        <v>4.1000000000000002E-2</v>
      </c>
      <c r="J308" s="265">
        <v>3.4000000000000002E-2</v>
      </c>
      <c r="K308" s="312">
        <v>3.6999999999999998E-2</v>
      </c>
      <c r="L308" s="265">
        <v>0.04</v>
      </c>
      <c r="M308" s="265">
        <v>3.5999999999999997E-2</v>
      </c>
      <c r="N308" s="265">
        <v>4.5999999999999999E-2</v>
      </c>
      <c r="O308" s="265">
        <v>4.2999999999999997E-2</v>
      </c>
      <c r="P308" s="265">
        <v>3.6999999999999998E-2</v>
      </c>
      <c r="Q308" s="312">
        <v>3.3000000000000002E-2</v>
      </c>
      <c r="R308" s="265">
        <v>3.2000000000000001E-2</v>
      </c>
      <c r="S308" s="265">
        <v>3.9E-2</v>
      </c>
      <c r="T308" s="265">
        <v>3.3000000000000002E-2</v>
      </c>
      <c r="U308" s="265">
        <v>3.5000000000000003E-2</v>
      </c>
      <c r="V308" s="265">
        <v>4.1000000000000002E-2</v>
      </c>
      <c r="W308" s="265">
        <v>0.04</v>
      </c>
      <c r="X308" s="265">
        <v>3.5999999999999997E-2</v>
      </c>
      <c r="Y308" s="265">
        <v>3.1E-2</v>
      </c>
      <c r="Z308" s="265">
        <v>3.9E-2</v>
      </c>
      <c r="AA308" s="265">
        <v>3.5000000000000003E-2</v>
      </c>
      <c r="AB308" s="265">
        <v>0.04</v>
      </c>
      <c r="AC308" s="265">
        <v>3.6999999999999998E-2</v>
      </c>
      <c r="AD308" s="265">
        <v>3.7999999999999999E-2</v>
      </c>
      <c r="AE308" s="265">
        <v>3.7999999999999999E-2</v>
      </c>
      <c r="AF308" s="265">
        <v>5.7000000000000002E-2</v>
      </c>
    </row>
    <row r="309" spans="1:50" ht="9.9499999999999993" customHeight="1" x14ac:dyDescent="0.15">
      <c r="B309" s="600" t="s">
        <v>372</v>
      </c>
      <c r="C309" s="610" t="s">
        <v>597</v>
      </c>
      <c r="D309" s="629" t="s">
        <v>497</v>
      </c>
      <c r="E309" s="326"/>
      <c r="F309" s="260"/>
      <c r="G309" s="260"/>
      <c r="H309" s="260"/>
      <c r="I309" s="329" t="s">
        <v>598</v>
      </c>
      <c r="J309" s="348">
        <v>43399</v>
      </c>
      <c r="K309" s="366">
        <v>43409</v>
      </c>
      <c r="L309" s="22" t="s">
        <v>345</v>
      </c>
      <c r="M309" s="280"/>
      <c r="N309" s="280"/>
      <c r="O309" s="280"/>
      <c r="P309" s="280"/>
      <c r="Q309" s="280"/>
      <c r="R309" s="280"/>
      <c r="S309" s="280"/>
      <c r="T309" s="280"/>
      <c r="U309" s="280"/>
      <c r="V309" s="280"/>
      <c r="W309" s="280"/>
      <c r="X309" s="280"/>
      <c r="Y309" s="280"/>
      <c r="Z309" s="280"/>
      <c r="AA309" s="280"/>
      <c r="AB309" s="280"/>
      <c r="AC309" s="280"/>
      <c r="AD309" s="280"/>
      <c r="AE309" s="280"/>
    </row>
    <row r="310" spans="1:50" ht="9.9499999999999993" customHeight="1" x14ac:dyDescent="0.15">
      <c r="B310" s="609"/>
      <c r="C310" s="611"/>
      <c r="D310" s="630"/>
      <c r="E310" s="329" t="s">
        <v>447</v>
      </c>
      <c r="F310" s="260"/>
      <c r="G310" s="260"/>
      <c r="H310" s="260"/>
      <c r="I310" s="329" t="s">
        <v>110</v>
      </c>
      <c r="J310" s="22" t="s">
        <v>110</v>
      </c>
      <c r="K310" s="329" t="s">
        <v>110</v>
      </c>
      <c r="L310" s="22" t="s">
        <v>110</v>
      </c>
      <c r="N310" s="15" t="s">
        <v>348</v>
      </c>
      <c r="O310" s="15"/>
      <c r="P310" s="15"/>
      <c r="Q310" s="15"/>
      <c r="R310" s="15"/>
      <c r="S310" s="15"/>
      <c r="T310" s="15"/>
      <c r="U310" s="15"/>
      <c r="V310" s="15"/>
      <c r="W310" s="15"/>
      <c r="X310" s="15"/>
      <c r="Y310" s="15"/>
      <c r="Z310" s="15"/>
      <c r="AA310" s="15"/>
      <c r="AB310" s="15"/>
      <c r="AC310" s="15"/>
      <c r="AD310" s="15"/>
      <c r="AE310" s="15"/>
    </row>
    <row r="311" spans="1:50" ht="9.9499999999999993" customHeight="1" x14ac:dyDescent="0.15">
      <c r="B311" s="609"/>
      <c r="C311" s="611"/>
      <c r="D311" s="630"/>
      <c r="E311" s="329" t="s">
        <v>448</v>
      </c>
      <c r="F311" s="260"/>
      <c r="G311" s="260"/>
      <c r="H311" s="260"/>
      <c r="I311" s="329" t="s">
        <v>110</v>
      </c>
      <c r="J311" s="22" t="s">
        <v>110</v>
      </c>
      <c r="K311" s="329" t="s">
        <v>110</v>
      </c>
      <c r="L311" s="22" t="s">
        <v>110</v>
      </c>
      <c r="N311" s="1" t="s">
        <v>377</v>
      </c>
      <c r="O311" s="15"/>
      <c r="P311" s="15"/>
      <c r="Q311" s="15"/>
      <c r="R311" s="15"/>
      <c r="S311" s="15"/>
      <c r="T311" s="15"/>
      <c r="U311" s="15"/>
      <c r="V311" s="15"/>
      <c r="W311" s="15"/>
      <c r="X311" s="15"/>
      <c r="Y311" s="15"/>
      <c r="Z311" s="15"/>
      <c r="AA311" s="15"/>
      <c r="AB311" s="15"/>
      <c r="AC311" s="15"/>
      <c r="AD311" s="15"/>
      <c r="AE311" s="15"/>
    </row>
    <row r="312" spans="1:50" ht="9.9499999999999993" customHeight="1" x14ac:dyDescent="0.15">
      <c r="B312" s="268"/>
      <c r="C312" s="611"/>
      <c r="D312" s="630"/>
      <c r="E312" s="329" t="s">
        <v>353</v>
      </c>
      <c r="F312" s="260"/>
      <c r="G312" s="260"/>
      <c r="H312" s="260"/>
      <c r="I312" s="329" t="s">
        <v>110</v>
      </c>
      <c r="J312" s="330">
        <v>0.9</v>
      </c>
      <c r="K312" s="329" t="s">
        <v>110</v>
      </c>
      <c r="L312" s="22" t="s">
        <v>355</v>
      </c>
      <c r="M312" s="8"/>
      <c r="N312" s="8"/>
      <c r="O312" s="8"/>
      <c r="P312" s="15"/>
      <c r="Q312" s="15"/>
      <c r="R312" s="15"/>
      <c r="S312" s="15"/>
      <c r="T312" s="15"/>
      <c r="U312" s="15"/>
      <c r="V312" s="15"/>
      <c r="W312" s="15"/>
      <c r="X312" s="15"/>
      <c r="Y312" s="15"/>
      <c r="Z312" s="15"/>
      <c r="AA312" s="15"/>
      <c r="AB312" s="15"/>
      <c r="AC312" s="15"/>
      <c r="AD312" s="15"/>
      <c r="AE312" s="15"/>
    </row>
    <row r="313" spans="1:50" ht="9.9499999999999993" customHeight="1" x14ac:dyDescent="0.15">
      <c r="B313" s="331"/>
      <c r="C313" s="612"/>
      <c r="D313" s="7"/>
      <c r="E313" s="329" t="s">
        <v>357</v>
      </c>
      <c r="F313" s="260"/>
      <c r="G313" s="260"/>
      <c r="H313" s="260"/>
      <c r="I313" s="329" t="s">
        <v>110</v>
      </c>
      <c r="J313" s="22" t="s">
        <v>110</v>
      </c>
      <c r="K313" s="329" t="s">
        <v>110</v>
      </c>
      <c r="L313" s="22" t="s">
        <v>110</v>
      </c>
      <c r="M313" s="8"/>
      <c r="N313" s="8"/>
      <c r="O313" s="8"/>
      <c r="P313" s="15"/>
      <c r="Q313" s="15"/>
      <c r="R313" s="15"/>
      <c r="S313" s="15"/>
      <c r="T313" s="15"/>
      <c r="U313" s="15"/>
      <c r="V313" s="15"/>
      <c r="W313" s="15"/>
      <c r="X313" s="15"/>
      <c r="Y313" s="15"/>
      <c r="Z313" s="15"/>
      <c r="AA313" s="15"/>
      <c r="AB313" s="15"/>
      <c r="AC313" s="15"/>
      <c r="AD313" s="15"/>
      <c r="AE313" s="15"/>
    </row>
    <row r="315" spans="1:50" ht="9.9499999999999993" customHeight="1" x14ac:dyDescent="0.15">
      <c r="A315" s="257"/>
      <c r="B315" s="258" t="s">
        <v>599</v>
      </c>
      <c r="C315" s="258"/>
      <c r="D315" s="258"/>
      <c r="E315" s="258"/>
      <c r="F315" s="258"/>
      <c r="G315" s="258"/>
      <c r="H315" s="258"/>
      <c r="I315" s="258"/>
      <c r="J315" s="258"/>
      <c r="K315" s="258"/>
      <c r="L315" s="258"/>
      <c r="M315" s="258"/>
      <c r="N315" s="258" t="s">
        <v>531</v>
      </c>
      <c r="O315" s="258"/>
      <c r="P315" s="258"/>
      <c r="Q315" s="258"/>
      <c r="R315" s="258"/>
      <c r="S315" s="258"/>
      <c r="T315" s="258"/>
      <c r="U315" s="258"/>
      <c r="V315" s="258"/>
      <c r="W315" s="8"/>
      <c r="X315" s="8"/>
      <c r="Y315" s="8"/>
      <c r="Z315" s="8"/>
      <c r="AA315" s="8"/>
    </row>
    <row r="316" spans="1:50" ht="9.9499999999999993" customHeight="1" x14ac:dyDescent="0.15">
      <c r="A316" s="257"/>
      <c r="B316" s="273" t="s">
        <v>600</v>
      </c>
      <c r="C316" s="8"/>
      <c r="D316" s="8"/>
      <c r="E316" s="8"/>
      <c r="F316" s="8"/>
      <c r="G316" s="8"/>
      <c r="H316" s="8"/>
      <c r="I316" s="8"/>
      <c r="J316" s="8"/>
      <c r="K316" s="8"/>
      <c r="L316" s="8"/>
      <c r="M316" s="8"/>
      <c r="N316" s="8"/>
      <c r="O316" s="8"/>
      <c r="P316" s="8"/>
      <c r="Q316" s="8"/>
      <c r="R316" s="8"/>
      <c r="S316" s="8"/>
      <c r="T316" s="8"/>
      <c r="U316" s="8"/>
      <c r="V316" s="8"/>
      <c r="W316" s="8"/>
      <c r="X316" s="8"/>
      <c r="Y316" s="8"/>
      <c r="Z316" s="8"/>
      <c r="AA316" s="8"/>
      <c r="AB316" s="8"/>
      <c r="AC316" s="8"/>
      <c r="AD316" s="8"/>
      <c r="AE316" s="8"/>
      <c r="AF316" s="257"/>
      <c r="AH316" s="273"/>
      <c r="AI316" s="8"/>
      <c r="AJ316" s="8"/>
      <c r="AK316" s="8"/>
      <c r="AL316" s="8"/>
      <c r="AM316" s="8"/>
      <c r="AN316" s="8"/>
      <c r="AO316" s="8"/>
      <c r="AP316" s="8"/>
      <c r="AQ316" s="8"/>
      <c r="AR316" s="8"/>
      <c r="AS316" s="8"/>
      <c r="AT316" s="8"/>
      <c r="AU316" s="257"/>
      <c r="AV316" s="257"/>
      <c r="AW316" s="257"/>
      <c r="AX316" s="257"/>
    </row>
    <row r="317" spans="1:50" ht="9.9499999999999993" customHeight="1" x14ac:dyDescent="0.15">
      <c r="A317" s="257"/>
      <c r="B317" s="278" t="s">
        <v>601</v>
      </c>
      <c r="C317" s="9"/>
      <c r="D317" s="9"/>
      <c r="E317" s="9"/>
      <c r="F317" s="9"/>
      <c r="G317" s="9"/>
      <c r="H317" s="9"/>
      <c r="I317" s="9"/>
      <c r="J317" s="9"/>
      <c r="K317" s="9"/>
      <c r="L317" s="9"/>
      <c r="M317" s="9"/>
      <c r="N317" s="9"/>
      <c r="O317" s="9"/>
      <c r="P317" s="9"/>
      <c r="Q317" s="9"/>
      <c r="R317" s="9"/>
      <c r="S317" s="9"/>
      <c r="T317" s="9"/>
      <c r="U317" s="9"/>
      <c r="V317" s="9"/>
      <c r="W317" s="9"/>
      <c r="X317" s="9"/>
      <c r="Y317" s="9"/>
      <c r="Z317" s="9"/>
      <c r="AA317" s="9"/>
      <c r="AB317" s="9"/>
      <c r="AC317" s="8"/>
      <c r="AD317" s="8"/>
      <c r="AE317" s="8"/>
      <c r="AF317" s="257"/>
      <c r="AH317" s="257"/>
      <c r="AI317" s="257"/>
      <c r="AJ317" s="257"/>
      <c r="AK317" s="257"/>
      <c r="AL317" s="257"/>
      <c r="AM317" s="257"/>
      <c r="AN317" s="257"/>
      <c r="AO317" s="257"/>
      <c r="AP317" s="257"/>
      <c r="AQ317" s="257"/>
      <c r="AR317" s="257"/>
      <c r="AS317" s="257"/>
      <c r="AT317" s="257"/>
      <c r="AU317" s="257"/>
      <c r="AV317" s="257"/>
      <c r="AW317" s="257"/>
      <c r="AX317" s="257"/>
    </row>
    <row r="318" spans="1:50" ht="9.9499999999999993" customHeight="1" x14ac:dyDescent="0.15">
      <c r="B318" s="4"/>
      <c r="C318" s="299" t="s">
        <v>602</v>
      </c>
      <c r="D318" s="299" t="s">
        <v>603</v>
      </c>
      <c r="E318" s="299" t="s">
        <v>604</v>
      </c>
      <c r="F318" s="299" t="s">
        <v>605</v>
      </c>
      <c r="G318" s="259" t="s">
        <v>606</v>
      </c>
      <c r="H318" s="260"/>
      <c r="I318" s="260"/>
      <c r="J318" s="260"/>
      <c r="K318" s="260"/>
      <c r="L318" s="260"/>
      <c r="M318" s="260"/>
      <c r="N318" s="260"/>
      <c r="O318" s="260"/>
      <c r="P318" s="260"/>
      <c r="Q318" s="260"/>
      <c r="R318" s="260"/>
      <c r="S318" s="260"/>
      <c r="T318" s="260"/>
      <c r="U318" s="260"/>
      <c r="V318" s="260"/>
      <c r="W318" s="260"/>
      <c r="X318" s="260"/>
      <c r="Y318" s="260"/>
      <c r="Z318" s="260"/>
      <c r="AA318" s="260"/>
      <c r="AB318" s="261"/>
      <c r="AC318" s="8"/>
      <c r="AD318" s="8"/>
      <c r="AE318" s="8"/>
      <c r="AF318" s="257"/>
    </row>
    <row r="319" spans="1:50" ht="9.9499999999999993" customHeight="1" x14ac:dyDescent="0.15">
      <c r="B319" s="590" t="s">
        <v>431</v>
      </c>
      <c r="C319" s="290">
        <v>0.23</v>
      </c>
      <c r="D319" s="629" t="s">
        <v>607</v>
      </c>
      <c r="E319" s="3" t="s">
        <v>237</v>
      </c>
      <c r="F319" s="346" t="s">
        <v>608</v>
      </c>
      <c r="G319" s="346" t="s">
        <v>609</v>
      </c>
      <c r="H319" s="346" t="s">
        <v>610</v>
      </c>
      <c r="I319" s="346" t="s">
        <v>611</v>
      </c>
      <c r="J319" s="346" t="s">
        <v>612</v>
      </c>
      <c r="K319" s="346" t="s">
        <v>613</v>
      </c>
      <c r="L319" s="346" t="s">
        <v>614</v>
      </c>
      <c r="M319" s="346" t="s">
        <v>615</v>
      </c>
      <c r="N319" s="346" t="s">
        <v>616</v>
      </c>
      <c r="O319" s="346" t="s">
        <v>617</v>
      </c>
      <c r="P319" s="346" t="s">
        <v>618</v>
      </c>
      <c r="Q319" s="346" t="s">
        <v>619</v>
      </c>
      <c r="R319" s="346" t="s">
        <v>620</v>
      </c>
      <c r="S319" s="346" t="s">
        <v>621</v>
      </c>
      <c r="T319" s="346" t="s">
        <v>622</v>
      </c>
      <c r="U319" s="346" t="s">
        <v>623</v>
      </c>
      <c r="V319" s="346" t="s">
        <v>624</v>
      </c>
      <c r="W319" s="346" t="s">
        <v>625</v>
      </c>
      <c r="X319" s="346" t="s">
        <v>626</v>
      </c>
      <c r="Y319" s="346" t="s">
        <v>627</v>
      </c>
      <c r="Z319" s="346" t="s">
        <v>628</v>
      </c>
      <c r="AA319" s="346" t="s">
        <v>629</v>
      </c>
      <c r="AB319" s="346" t="s">
        <v>630</v>
      </c>
      <c r="AC319" s="8"/>
      <c r="AD319" s="8"/>
      <c r="AE319" s="8"/>
      <c r="AF319" s="257"/>
    </row>
    <row r="320" spans="1:50" ht="9.9499999999999993" customHeight="1" x14ac:dyDescent="0.15">
      <c r="B320" s="591"/>
      <c r="C320" s="292"/>
      <c r="D320" s="630"/>
      <c r="E320" s="7"/>
      <c r="F320" s="293" t="s">
        <v>276</v>
      </c>
      <c r="G320" s="293" t="s">
        <v>276</v>
      </c>
      <c r="H320" s="351" t="s">
        <v>279</v>
      </c>
      <c r="I320" s="351" t="s">
        <v>276</v>
      </c>
      <c r="J320" s="293" t="s">
        <v>279</v>
      </c>
      <c r="K320" s="351" t="s">
        <v>276</v>
      </c>
      <c r="L320" s="2" t="s">
        <v>279</v>
      </c>
      <c r="M320" s="293" t="s">
        <v>276</v>
      </c>
      <c r="N320" s="293" t="s">
        <v>279</v>
      </c>
      <c r="O320" s="351" t="s">
        <v>276</v>
      </c>
      <c r="P320" s="351" t="s">
        <v>279</v>
      </c>
      <c r="Q320" s="293" t="s">
        <v>279</v>
      </c>
      <c r="R320" s="351" t="s">
        <v>279</v>
      </c>
      <c r="S320" s="2" t="s">
        <v>279</v>
      </c>
      <c r="T320" s="293" t="s">
        <v>279</v>
      </c>
      <c r="U320" s="293" t="s">
        <v>279</v>
      </c>
      <c r="V320" s="351" t="s">
        <v>279</v>
      </c>
      <c r="W320" s="351" t="s">
        <v>279</v>
      </c>
      <c r="X320" s="293" t="s">
        <v>279</v>
      </c>
      <c r="Y320" s="351" t="s">
        <v>279</v>
      </c>
      <c r="Z320" s="2" t="s">
        <v>279</v>
      </c>
      <c r="AA320" s="293" t="s">
        <v>280</v>
      </c>
      <c r="AB320" s="293" t="s">
        <v>279</v>
      </c>
      <c r="AC320" s="8"/>
      <c r="AD320" s="8"/>
      <c r="AE320" s="8"/>
      <c r="AF320" s="257"/>
    </row>
    <row r="321" spans="2:32" ht="9.9499999999999993" customHeight="1" x14ac:dyDescent="0.15">
      <c r="B321" s="591"/>
      <c r="C321" s="292"/>
      <c r="D321" s="630"/>
      <c r="E321" s="2" t="s">
        <v>631</v>
      </c>
      <c r="F321" s="265">
        <v>4.8000000000000001E-2</v>
      </c>
      <c r="G321" s="265">
        <v>0.03</v>
      </c>
      <c r="H321" s="312">
        <v>5.3999999999999999E-2</v>
      </c>
      <c r="I321" s="312">
        <v>4.8000000000000001E-2</v>
      </c>
      <c r="J321" s="265">
        <v>3.5999999999999997E-2</v>
      </c>
      <c r="K321" s="312">
        <v>0.03</v>
      </c>
      <c r="L321" s="265">
        <v>4.2000000000000003E-2</v>
      </c>
      <c r="M321" s="265">
        <v>4.8000000000000001E-2</v>
      </c>
      <c r="N321" s="265">
        <v>4.2000000000000003E-2</v>
      </c>
      <c r="O321" s="265">
        <v>4.8000000000000001E-2</v>
      </c>
      <c r="P321" s="265">
        <v>4.8000000000000001E-2</v>
      </c>
      <c r="Q321" s="312">
        <v>4.2000000000000003E-2</v>
      </c>
      <c r="R321" s="265">
        <v>4.2000000000000003E-2</v>
      </c>
      <c r="S321" s="265">
        <v>5.3999999999999999E-2</v>
      </c>
      <c r="T321" s="265">
        <v>4.2000000000000003E-2</v>
      </c>
      <c r="U321" s="265">
        <v>3.5999999999999997E-2</v>
      </c>
      <c r="V321" s="265">
        <v>4.2000000000000003E-2</v>
      </c>
      <c r="W321" s="265">
        <v>4.2000000000000003E-2</v>
      </c>
      <c r="X321" s="265">
        <v>4.2000000000000003E-2</v>
      </c>
      <c r="Y321" s="265">
        <v>0.06</v>
      </c>
      <c r="Z321" s="265">
        <v>5.3999999999999999E-2</v>
      </c>
      <c r="AA321" s="265">
        <v>4.8000000000000001E-2</v>
      </c>
      <c r="AB321" s="265">
        <v>4.8000000000000001E-2</v>
      </c>
      <c r="AC321" s="8"/>
      <c r="AD321" s="8"/>
      <c r="AE321" s="8"/>
      <c r="AF321" s="257"/>
    </row>
    <row r="322" spans="2:32" ht="9.9499999999999993" customHeight="1" x14ac:dyDescent="0.15">
      <c r="B322" s="591"/>
      <c r="C322" s="292"/>
      <c r="D322" s="630"/>
      <c r="E322" s="2" t="s">
        <v>286</v>
      </c>
      <c r="F322" s="265">
        <v>3.2000000000000001E-2</v>
      </c>
      <c r="G322" s="265">
        <v>4.1000000000000002E-2</v>
      </c>
      <c r="H322" s="312">
        <v>4.1000000000000002E-2</v>
      </c>
      <c r="I322" s="312">
        <v>4.1000000000000002E-2</v>
      </c>
      <c r="J322" s="265">
        <v>3.9E-2</v>
      </c>
      <c r="K322" s="312">
        <v>3.6999999999999998E-2</v>
      </c>
      <c r="L322" s="265">
        <v>3.5999999999999997E-2</v>
      </c>
      <c r="M322" s="265">
        <v>4.1000000000000002E-2</v>
      </c>
      <c r="N322" s="265">
        <v>4.2000000000000003E-2</v>
      </c>
      <c r="O322" s="265">
        <v>4.3999999999999997E-2</v>
      </c>
      <c r="P322" s="265">
        <v>0.04</v>
      </c>
      <c r="Q322" s="312">
        <v>3.4000000000000002E-2</v>
      </c>
      <c r="R322" s="265">
        <v>3.6999999999999998E-2</v>
      </c>
      <c r="S322" s="265">
        <v>4.5999999999999999E-2</v>
      </c>
      <c r="T322" s="265">
        <v>3.6999999999999998E-2</v>
      </c>
      <c r="U322" s="265">
        <v>0.04</v>
      </c>
      <c r="V322" s="265">
        <v>3.5000000000000003E-2</v>
      </c>
      <c r="W322" s="265">
        <v>3.9E-2</v>
      </c>
      <c r="X322" s="265">
        <v>4.1000000000000002E-2</v>
      </c>
      <c r="Y322" s="265">
        <v>4.4999999999999998E-2</v>
      </c>
      <c r="Z322" s="265">
        <v>0.04</v>
      </c>
      <c r="AA322" s="265">
        <v>4.2999999999999997E-2</v>
      </c>
      <c r="AB322" s="265">
        <v>4.2999999999999997E-2</v>
      </c>
      <c r="AC322" s="8"/>
      <c r="AD322" s="8"/>
      <c r="AE322" s="8"/>
      <c r="AF322" s="257"/>
    </row>
    <row r="323" spans="2:32" ht="9.9499999999999993" customHeight="1" x14ac:dyDescent="0.15">
      <c r="B323" s="591"/>
      <c r="C323" s="292"/>
      <c r="D323" s="5"/>
      <c r="E323" s="2" t="s">
        <v>412</v>
      </c>
      <c r="F323" s="265">
        <v>4.2999999999999997E-2</v>
      </c>
      <c r="G323" s="265">
        <v>4.4999999999999998E-2</v>
      </c>
      <c r="H323" s="312">
        <v>0.04</v>
      </c>
      <c r="I323" s="312">
        <v>3.7999999999999999E-2</v>
      </c>
      <c r="J323" s="265">
        <v>4.2999999999999997E-2</v>
      </c>
      <c r="K323" s="312">
        <v>3.7999999999999999E-2</v>
      </c>
      <c r="L323" s="265">
        <v>4.3999999999999997E-2</v>
      </c>
      <c r="M323" s="265">
        <v>4.2999999999999997E-2</v>
      </c>
      <c r="N323" s="265">
        <v>3.9E-2</v>
      </c>
      <c r="O323" s="265">
        <v>3.7999999999999999E-2</v>
      </c>
      <c r="P323" s="265">
        <v>3.6999999999999998E-2</v>
      </c>
      <c r="Q323" s="312">
        <v>3.3000000000000002E-2</v>
      </c>
      <c r="R323" s="265">
        <v>3.6999999999999998E-2</v>
      </c>
      <c r="S323" s="265">
        <v>0.05</v>
      </c>
      <c r="T323" s="265">
        <v>3.7999999999999999E-2</v>
      </c>
      <c r="U323" s="265">
        <v>3.2000000000000001E-2</v>
      </c>
      <c r="V323" s="265">
        <v>3.7999999999999999E-2</v>
      </c>
      <c r="W323" s="265">
        <v>0.04</v>
      </c>
      <c r="X323" s="265">
        <v>4.2999999999999997E-2</v>
      </c>
      <c r="Y323" s="265">
        <v>4.7E-2</v>
      </c>
      <c r="Z323" s="265">
        <v>4.5999999999999999E-2</v>
      </c>
      <c r="AA323" s="265">
        <v>4.2000000000000003E-2</v>
      </c>
      <c r="AB323" s="265">
        <v>0.04</v>
      </c>
      <c r="AC323" s="8"/>
      <c r="AD323" s="8"/>
      <c r="AE323" s="8"/>
      <c r="AF323" s="257"/>
    </row>
    <row r="324" spans="2:32" ht="9.9499999999999993" customHeight="1" x14ac:dyDescent="0.15">
      <c r="B324" s="591"/>
      <c r="C324" s="292"/>
      <c r="D324" s="5"/>
      <c r="E324" s="2" t="s">
        <v>291</v>
      </c>
      <c r="F324" s="265">
        <v>3.9E-2</v>
      </c>
      <c r="G324" s="265">
        <v>3.5999999999999997E-2</v>
      </c>
      <c r="H324" s="312">
        <v>3.3000000000000002E-2</v>
      </c>
      <c r="I324" s="312">
        <v>0.04</v>
      </c>
      <c r="J324" s="265">
        <v>3.6999999999999998E-2</v>
      </c>
      <c r="K324" s="312">
        <v>3.5999999999999997E-2</v>
      </c>
      <c r="L324" s="265">
        <v>3.9E-2</v>
      </c>
      <c r="M324" s="265">
        <v>3.9E-2</v>
      </c>
      <c r="N324" s="265">
        <v>3.3000000000000002E-2</v>
      </c>
      <c r="O324" s="265">
        <v>3.6999999999999998E-2</v>
      </c>
      <c r="P324" s="265">
        <v>3.9E-2</v>
      </c>
      <c r="Q324" s="312">
        <v>0.03</v>
      </c>
      <c r="R324" s="265">
        <v>3.5000000000000003E-2</v>
      </c>
      <c r="S324" s="265">
        <v>5.7000000000000002E-2</v>
      </c>
      <c r="T324" s="265">
        <v>3.7999999999999999E-2</v>
      </c>
      <c r="U324" s="265">
        <v>4.2000000000000003E-2</v>
      </c>
      <c r="V324" s="265">
        <v>3.2000000000000001E-2</v>
      </c>
      <c r="W324" s="265">
        <v>3.7999999999999999E-2</v>
      </c>
      <c r="X324" s="265">
        <v>3.5000000000000003E-2</v>
      </c>
      <c r="Y324" s="265">
        <v>4.2999999999999997E-2</v>
      </c>
      <c r="Z324" s="265">
        <v>3.9E-2</v>
      </c>
      <c r="AA324" s="265">
        <v>3.7999999999999999E-2</v>
      </c>
      <c r="AB324" s="265">
        <v>0.04</v>
      </c>
      <c r="AC324" s="8"/>
      <c r="AD324" s="8"/>
      <c r="AE324" s="8"/>
      <c r="AF324" s="257"/>
    </row>
    <row r="325" spans="2:32" ht="9.9499999999999993" customHeight="1" x14ac:dyDescent="0.15">
      <c r="B325" s="5"/>
      <c r="C325" s="292"/>
      <c r="D325" s="5"/>
      <c r="E325" s="2" t="s">
        <v>632</v>
      </c>
      <c r="F325" s="265">
        <v>4.8000000000000001E-2</v>
      </c>
      <c r="G325" s="265">
        <v>4.9000000000000002E-2</v>
      </c>
      <c r="H325" s="312">
        <v>4.8000000000000001E-2</v>
      </c>
      <c r="I325" s="312">
        <v>4.2999999999999997E-2</v>
      </c>
      <c r="J325" s="265">
        <v>4.1000000000000002E-2</v>
      </c>
      <c r="K325" s="312">
        <v>0.04</v>
      </c>
      <c r="L325" s="265">
        <v>4.4999999999999998E-2</v>
      </c>
      <c r="M325" s="265">
        <v>4.4999999999999998E-2</v>
      </c>
      <c r="N325" s="265">
        <v>4.5999999999999999E-2</v>
      </c>
      <c r="O325" s="265">
        <v>4.7E-2</v>
      </c>
      <c r="P325" s="265">
        <v>0.04</v>
      </c>
      <c r="Q325" s="312">
        <v>0.04</v>
      </c>
      <c r="R325" s="265">
        <v>3.9E-2</v>
      </c>
      <c r="S325" s="265">
        <v>5.7000000000000002E-2</v>
      </c>
      <c r="T325" s="265">
        <v>4.2000000000000003E-2</v>
      </c>
      <c r="U325" s="265">
        <v>0.04</v>
      </c>
      <c r="V325" s="265">
        <v>0.04</v>
      </c>
      <c r="W325" s="265">
        <v>4.3999999999999997E-2</v>
      </c>
      <c r="X325" s="265">
        <v>4.3999999999999997E-2</v>
      </c>
      <c r="Y325" s="265">
        <v>5.3999999999999999E-2</v>
      </c>
      <c r="Z325" s="265">
        <v>4.8000000000000001E-2</v>
      </c>
      <c r="AA325" s="265">
        <v>3.9E-2</v>
      </c>
      <c r="AB325" s="265">
        <v>4.2000000000000003E-2</v>
      </c>
      <c r="AC325" s="8"/>
      <c r="AD325" s="8"/>
      <c r="AE325" s="8"/>
      <c r="AF325" s="257"/>
    </row>
    <row r="326" spans="2:32" ht="9.9499999999999993" customHeight="1" x14ac:dyDescent="0.15">
      <c r="B326" s="7"/>
      <c r="C326" s="301"/>
      <c r="D326" s="7"/>
      <c r="E326" s="2" t="s">
        <v>633</v>
      </c>
      <c r="F326" s="265">
        <v>0.04</v>
      </c>
      <c r="G326" s="265">
        <v>3.9E-2</v>
      </c>
      <c r="H326" s="312">
        <v>3.5999999999999997E-2</v>
      </c>
      <c r="I326" s="312">
        <v>3.7999999999999999E-2</v>
      </c>
      <c r="J326" s="265">
        <v>4.1000000000000002E-2</v>
      </c>
      <c r="K326" s="312">
        <v>3.6999999999999998E-2</v>
      </c>
      <c r="L326" s="265">
        <v>4.2000000000000003E-2</v>
      </c>
      <c r="M326" s="265">
        <v>3.7999999999999999E-2</v>
      </c>
      <c r="N326" s="265">
        <v>0.04</v>
      </c>
      <c r="O326" s="265">
        <v>0.04</v>
      </c>
      <c r="P326" s="265">
        <v>3.5000000000000003E-2</v>
      </c>
      <c r="Q326" s="312">
        <v>3.6999999999999998E-2</v>
      </c>
      <c r="R326" s="265">
        <v>3.7999999999999999E-2</v>
      </c>
      <c r="S326" s="265">
        <v>5.5E-2</v>
      </c>
      <c r="T326" s="265">
        <v>3.7999999999999999E-2</v>
      </c>
      <c r="U326" s="265">
        <v>3.3000000000000002E-2</v>
      </c>
      <c r="V326" s="265">
        <v>3.5999999999999997E-2</v>
      </c>
      <c r="W326" s="265">
        <v>3.5999999999999997E-2</v>
      </c>
      <c r="X326" s="265">
        <v>3.5999999999999997E-2</v>
      </c>
      <c r="Y326" s="265">
        <v>4.7E-2</v>
      </c>
      <c r="Z326" s="265">
        <v>4.5999999999999999E-2</v>
      </c>
      <c r="AA326" s="265">
        <v>4.1000000000000002E-2</v>
      </c>
      <c r="AB326" s="265">
        <v>4.2999999999999997E-2</v>
      </c>
      <c r="AC326" s="8"/>
      <c r="AD326" s="8"/>
      <c r="AE326" s="8"/>
      <c r="AF326" s="257"/>
    </row>
    <row r="327" spans="2:32" ht="9.9499999999999993" customHeight="1" x14ac:dyDescent="0.15">
      <c r="B327" s="600" t="s">
        <v>634</v>
      </c>
      <c r="C327" s="590" t="s">
        <v>635</v>
      </c>
      <c r="D327" s="590" t="s">
        <v>636</v>
      </c>
      <c r="E327" s="22" t="s">
        <v>307</v>
      </c>
      <c r="F327" s="22" t="s">
        <v>637</v>
      </c>
      <c r="G327" s="22" t="s">
        <v>616</v>
      </c>
      <c r="H327" s="22" t="s">
        <v>620</v>
      </c>
      <c r="I327" s="22" t="s">
        <v>638</v>
      </c>
      <c r="J327" s="22" t="s">
        <v>639</v>
      </c>
      <c r="K327" s="334"/>
      <c r="L327" s="280"/>
      <c r="M327" s="280"/>
      <c r="N327" s="280"/>
      <c r="O327" s="280"/>
      <c r="P327" s="280"/>
      <c r="Q327" s="280"/>
      <c r="R327" s="280"/>
      <c r="S327" s="280"/>
      <c r="T327" s="280"/>
      <c r="U327" s="280"/>
      <c r="V327" s="280"/>
      <c r="W327" s="280"/>
      <c r="X327" s="280"/>
      <c r="Y327" s="280"/>
      <c r="Z327" s="280"/>
      <c r="AA327" s="280"/>
      <c r="AB327" s="349"/>
      <c r="AC327" s="8"/>
      <c r="AD327" s="8"/>
      <c r="AE327" s="8"/>
      <c r="AF327" s="257"/>
    </row>
    <row r="328" spans="2:32" ht="9.9499999999999993" customHeight="1" x14ac:dyDescent="0.15">
      <c r="B328" s="591"/>
      <c r="C328" s="602"/>
      <c r="D328" s="631"/>
      <c r="E328" s="22" t="s">
        <v>422</v>
      </c>
      <c r="F328" s="307">
        <v>110</v>
      </c>
      <c r="G328" s="307">
        <v>170</v>
      </c>
      <c r="H328" s="307">
        <v>130</v>
      </c>
      <c r="I328" s="307">
        <v>66</v>
      </c>
      <c r="J328" s="307">
        <v>51</v>
      </c>
      <c r="K328" s="13"/>
      <c r="L328" s="15"/>
      <c r="M328" s="15"/>
      <c r="N328" s="15"/>
      <c r="O328" s="15"/>
      <c r="P328" s="15"/>
      <c r="Q328" s="15"/>
      <c r="R328" s="15"/>
      <c r="S328" s="15"/>
      <c r="T328" s="15"/>
      <c r="U328" s="15"/>
      <c r="V328" s="15"/>
      <c r="W328" s="15"/>
      <c r="X328" s="15"/>
      <c r="Y328" s="15"/>
      <c r="Z328" s="15"/>
      <c r="AA328" s="15"/>
      <c r="AB328" s="279"/>
      <c r="AC328" s="8"/>
      <c r="AD328" s="8"/>
      <c r="AE328" s="8"/>
      <c r="AF328" s="257"/>
    </row>
    <row r="329" spans="2:32" ht="9.9499999999999993" customHeight="1" x14ac:dyDescent="0.15">
      <c r="B329" s="601"/>
      <c r="C329" s="603"/>
      <c r="D329" s="632"/>
      <c r="E329" s="22" t="s">
        <v>423</v>
      </c>
      <c r="F329" s="307">
        <v>32</v>
      </c>
      <c r="G329" s="307">
        <v>45</v>
      </c>
      <c r="H329" s="307">
        <v>81</v>
      </c>
      <c r="I329" s="307">
        <v>19</v>
      </c>
      <c r="J329" s="22" t="s">
        <v>110</v>
      </c>
      <c r="K329" s="13"/>
      <c r="L329" s="15"/>
      <c r="M329" s="15"/>
      <c r="N329" s="15"/>
      <c r="O329" s="15"/>
      <c r="P329" s="15"/>
      <c r="Q329" s="15"/>
      <c r="R329" s="15"/>
      <c r="S329" s="15"/>
      <c r="T329" s="15"/>
      <c r="U329" s="15"/>
      <c r="V329" s="15"/>
      <c r="W329" s="15"/>
      <c r="X329" s="15"/>
      <c r="Y329" s="15"/>
      <c r="Z329" s="15"/>
      <c r="AA329" s="15"/>
      <c r="AB329" s="279"/>
      <c r="AC329" s="8"/>
      <c r="AD329" s="8"/>
      <c r="AE329" s="8"/>
      <c r="AF329" s="257"/>
    </row>
    <row r="330" spans="2:32" ht="9.9499999999999993" customHeight="1" x14ac:dyDescent="0.15">
      <c r="B330" s="600" t="s">
        <v>640</v>
      </c>
      <c r="C330" s="610" t="s">
        <v>641</v>
      </c>
      <c r="D330" s="590" t="s">
        <v>636</v>
      </c>
      <c r="E330" s="22" t="s">
        <v>307</v>
      </c>
      <c r="F330" s="22" t="s">
        <v>642</v>
      </c>
      <c r="G330" s="22" t="s">
        <v>643</v>
      </c>
      <c r="H330" s="22" t="s">
        <v>644</v>
      </c>
      <c r="I330" s="22" t="s">
        <v>645</v>
      </c>
      <c r="J330" s="22" t="s">
        <v>646</v>
      </c>
      <c r="K330" s="13"/>
      <c r="L330" s="15"/>
      <c r="M330" s="15"/>
      <c r="N330" s="15"/>
      <c r="O330" s="15"/>
      <c r="P330" s="15"/>
      <c r="Q330" s="15"/>
      <c r="R330" s="15"/>
      <c r="S330" s="15"/>
      <c r="T330" s="15"/>
      <c r="U330" s="15"/>
      <c r="V330" s="15"/>
      <c r="W330" s="15"/>
      <c r="X330" s="15"/>
      <c r="Y330" s="15"/>
      <c r="Z330" s="15"/>
      <c r="AA330" s="15"/>
      <c r="AB330" s="279"/>
      <c r="AC330" s="8"/>
      <c r="AD330" s="8"/>
      <c r="AE330" s="8"/>
      <c r="AF330" s="257"/>
    </row>
    <row r="331" spans="2:32" ht="9.9499999999999993" customHeight="1" x14ac:dyDescent="0.15">
      <c r="B331" s="609"/>
      <c r="C331" s="616"/>
      <c r="D331" s="631"/>
      <c r="E331" s="22" t="s">
        <v>647</v>
      </c>
      <c r="F331" s="22" t="s">
        <v>110</v>
      </c>
      <c r="G331" s="22" t="s">
        <v>110</v>
      </c>
      <c r="H331" s="22" t="s">
        <v>110</v>
      </c>
      <c r="I331" s="22" t="s">
        <v>110</v>
      </c>
      <c r="J331" s="22" t="s">
        <v>110</v>
      </c>
      <c r="K331" s="13"/>
      <c r="L331" s="15"/>
      <c r="M331" s="15"/>
      <c r="N331" s="15"/>
      <c r="O331" s="15"/>
      <c r="P331" s="15"/>
      <c r="Q331" s="15"/>
      <c r="R331" s="15"/>
      <c r="S331" s="15"/>
      <c r="T331" s="15"/>
      <c r="U331" s="15"/>
      <c r="V331" s="15"/>
      <c r="W331" s="15"/>
      <c r="X331" s="15"/>
      <c r="Y331" s="15"/>
      <c r="Z331" s="15"/>
      <c r="AA331" s="15"/>
      <c r="AB331" s="279"/>
    </row>
    <row r="332" spans="2:32" ht="9.9499999999999993" customHeight="1" x14ac:dyDescent="0.15">
      <c r="B332" s="622"/>
      <c r="C332" s="617"/>
      <c r="D332" s="632"/>
      <c r="E332" s="22" t="s">
        <v>648</v>
      </c>
      <c r="F332" s="22" t="s">
        <v>110</v>
      </c>
      <c r="G332" s="22" t="s">
        <v>110</v>
      </c>
      <c r="H332" s="22" t="s">
        <v>110</v>
      </c>
      <c r="I332" s="22" t="s">
        <v>110</v>
      </c>
      <c r="J332" s="22" t="s">
        <v>110</v>
      </c>
      <c r="K332" s="333"/>
      <c r="L332" s="285"/>
      <c r="M332" s="285"/>
      <c r="N332" s="285"/>
      <c r="O332" s="285"/>
      <c r="P332" s="285"/>
      <c r="Q332" s="285"/>
      <c r="R332" s="285"/>
      <c r="S332" s="285"/>
      <c r="T332" s="285"/>
      <c r="U332" s="285"/>
      <c r="V332" s="285"/>
      <c r="W332" s="285"/>
      <c r="X332" s="285"/>
      <c r="Y332" s="285"/>
      <c r="Z332" s="285"/>
      <c r="AA332" s="285"/>
      <c r="AB332" s="286"/>
    </row>
    <row r="333" spans="2:32" ht="9.9499999999999993" customHeight="1" x14ac:dyDescent="0.15">
      <c r="B333" s="288" t="s">
        <v>649</v>
      </c>
      <c r="C333" s="260"/>
      <c r="D333" s="260"/>
      <c r="E333" s="260"/>
      <c r="F333" s="260"/>
      <c r="G333" s="260"/>
      <c r="H333" s="260"/>
      <c r="I333" s="260"/>
      <c r="J333" s="260"/>
      <c r="K333" s="260"/>
      <c r="L333" s="260"/>
      <c r="M333" s="260"/>
      <c r="N333" s="260"/>
      <c r="O333" s="260"/>
      <c r="P333" s="260"/>
      <c r="Q333" s="260"/>
      <c r="R333" s="260"/>
      <c r="S333" s="260"/>
      <c r="T333" s="260"/>
      <c r="U333" s="260"/>
      <c r="V333" s="260"/>
      <c r="W333" s="260"/>
      <c r="X333" s="260"/>
      <c r="Y333" s="260"/>
      <c r="Z333" s="260"/>
      <c r="AA333" s="260"/>
      <c r="AB333" s="289"/>
    </row>
    <row r="334" spans="2:32" ht="9.9499999999999993" customHeight="1" x14ac:dyDescent="0.15">
      <c r="B334" s="16"/>
      <c r="C334" s="3" t="s">
        <v>271</v>
      </c>
      <c r="D334" s="3" t="s">
        <v>111</v>
      </c>
      <c r="E334" s="3" t="s">
        <v>337</v>
      </c>
      <c r="F334" s="346" t="s">
        <v>650</v>
      </c>
      <c r="G334" s="346" t="s">
        <v>609</v>
      </c>
      <c r="H334" s="346" t="s">
        <v>610</v>
      </c>
      <c r="I334" s="346" t="s">
        <v>611</v>
      </c>
      <c r="J334" s="346" t="s">
        <v>612</v>
      </c>
      <c r="K334" s="346" t="s">
        <v>613</v>
      </c>
      <c r="L334" s="346" t="s">
        <v>614</v>
      </c>
      <c r="M334" s="346" t="s">
        <v>615</v>
      </c>
      <c r="N334" s="346" t="s">
        <v>616</v>
      </c>
      <c r="O334" s="346" t="s">
        <v>617</v>
      </c>
      <c r="P334" s="346" t="s">
        <v>618</v>
      </c>
      <c r="Q334" s="346" t="s">
        <v>619</v>
      </c>
      <c r="R334" s="346" t="s">
        <v>620</v>
      </c>
      <c r="S334" s="346" t="s">
        <v>621</v>
      </c>
      <c r="T334" s="346" t="s">
        <v>622</v>
      </c>
      <c r="U334" s="346" t="s">
        <v>623</v>
      </c>
      <c r="V334" s="346" t="s">
        <v>624</v>
      </c>
      <c r="W334" s="346" t="s">
        <v>625</v>
      </c>
      <c r="X334" s="346" t="s">
        <v>626</v>
      </c>
      <c r="Y334" s="346" t="s">
        <v>627</v>
      </c>
      <c r="Z334" s="346" t="s">
        <v>628</v>
      </c>
      <c r="AA334" s="346" t="s">
        <v>629</v>
      </c>
      <c r="AB334" s="346" t="s">
        <v>630</v>
      </c>
    </row>
    <row r="335" spans="2:32" ht="9.9499999999999993" customHeight="1" x14ac:dyDescent="0.15">
      <c r="B335" s="7"/>
      <c r="C335" s="7"/>
      <c r="D335" s="7"/>
      <c r="E335" s="7"/>
      <c r="F335" s="293" t="s">
        <v>280</v>
      </c>
      <c r="G335" s="293" t="s">
        <v>276</v>
      </c>
      <c r="H335" s="351" t="s">
        <v>279</v>
      </c>
      <c r="I335" s="351" t="s">
        <v>276</v>
      </c>
      <c r="J335" s="293" t="s">
        <v>279</v>
      </c>
      <c r="K335" s="351" t="s">
        <v>276</v>
      </c>
      <c r="L335" s="2" t="s">
        <v>279</v>
      </c>
      <c r="M335" s="293" t="s">
        <v>276</v>
      </c>
      <c r="N335" s="293" t="s">
        <v>279</v>
      </c>
      <c r="O335" s="351" t="s">
        <v>276</v>
      </c>
      <c r="P335" s="351" t="s">
        <v>279</v>
      </c>
      <c r="Q335" s="293" t="s">
        <v>279</v>
      </c>
      <c r="R335" s="351" t="s">
        <v>279</v>
      </c>
      <c r="S335" s="2" t="s">
        <v>279</v>
      </c>
      <c r="T335" s="293" t="s">
        <v>279</v>
      </c>
      <c r="U335" s="293" t="s">
        <v>279</v>
      </c>
      <c r="V335" s="351" t="s">
        <v>279</v>
      </c>
      <c r="W335" s="351" t="s">
        <v>279</v>
      </c>
      <c r="X335" s="293" t="s">
        <v>279</v>
      </c>
      <c r="Y335" s="351" t="s">
        <v>279</v>
      </c>
      <c r="Z335" s="2" t="s">
        <v>279</v>
      </c>
      <c r="AA335" s="293" t="s">
        <v>280</v>
      </c>
      <c r="AB335" s="293" t="s">
        <v>279</v>
      </c>
    </row>
    <row r="336" spans="2:32" ht="9.9499999999999993" customHeight="1" x14ac:dyDescent="0.15">
      <c r="B336" s="590" t="s">
        <v>404</v>
      </c>
      <c r="C336" s="290">
        <v>0.23</v>
      </c>
      <c r="D336" s="590" t="s">
        <v>651</v>
      </c>
      <c r="E336" s="2" t="s">
        <v>652</v>
      </c>
      <c r="F336" s="265">
        <v>4.2000000000000003E-2</v>
      </c>
      <c r="G336" s="265">
        <v>3.5999999999999997E-2</v>
      </c>
      <c r="H336" s="312">
        <v>3.5999999999999997E-2</v>
      </c>
      <c r="I336" s="312">
        <v>4.2000000000000003E-2</v>
      </c>
      <c r="J336" s="265">
        <v>4.2000000000000003E-2</v>
      </c>
      <c r="K336" s="312">
        <v>5.3999999999999999E-2</v>
      </c>
      <c r="L336" s="265">
        <v>4.2000000000000003E-2</v>
      </c>
      <c r="M336" s="265">
        <v>4.8000000000000001E-2</v>
      </c>
      <c r="N336" s="265">
        <v>5.3999999999999999E-2</v>
      </c>
      <c r="O336" s="265"/>
      <c r="P336" s="265">
        <v>5.3999999999999999E-2</v>
      </c>
      <c r="Q336" s="312">
        <v>4.2000000000000003E-2</v>
      </c>
      <c r="R336" s="265">
        <v>5.3999999999999999E-2</v>
      </c>
      <c r="S336" s="265">
        <v>0.06</v>
      </c>
      <c r="T336" s="265">
        <v>4.8000000000000001E-2</v>
      </c>
      <c r="U336" s="265">
        <v>4.2000000000000003E-2</v>
      </c>
      <c r="V336" s="265">
        <v>4.8000000000000001E-2</v>
      </c>
      <c r="W336" s="265">
        <v>4.8000000000000001E-2</v>
      </c>
      <c r="X336" s="265">
        <v>6.6000000000000003E-2</v>
      </c>
      <c r="Y336" s="265">
        <v>0.06</v>
      </c>
      <c r="Z336" s="265">
        <v>5.3999999999999999E-2</v>
      </c>
      <c r="AA336" s="265">
        <v>5.3999999999999999E-2</v>
      </c>
      <c r="AB336" s="265">
        <v>4.2000000000000003E-2</v>
      </c>
    </row>
    <row r="337" spans="2:28" ht="9.9499999999999993" customHeight="1" x14ac:dyDescent="0.15">
      <c r="B337" s="591"/>
      <c r="C337" s="292"/>
      <c r="D337" s="591"/>
      <c r="E337" s="2" t="s">
        <v>653</v>
      </c>
      <c r="F337" s="265">
        <v>3.6999999999999998E-2</v>
      </c>
      <c r="G337" s="265">
        <v>0.04</v>
      </c>
      <c r="H337" s="312">
        <v>3.9E-2</v>
      </c>
      <c r="I337" s="312">
        <v>0.04</v>
      </c>
      <c r="J337" s="265">
        <v>4.9000000000000002E-2</v>
      </c>
      <c r="K337" s="312">
        <v>3.9E-2</v>
      </c>
      <c r="L337" s="265">
        <v>4.2999999999999997E-2</v>
      </c>
      <c r="M337" s="265">
        <v>3.9E-2</v>
      </c>
      <c r="N337" s="265">
        <v>4.9000000000000002E-2</v>
      </c>
      <c r="O337" s="265"/>
      <c r="P337" s="265">
        <v>4.2000000000000003E-2</v>
      </c>
      <c r="Q337" s="312">
        <v>2.8000000000000001E-2</v>
      </c>
      <c r="R337" s="265">
        <v>3.5999999999999997E-2</v>
      </c>
      <c r="S337" s="265">
        <v>5.5E-2</v>
      </c>
      <c r="T337" s="265">
        <v>3.1E-2</v>
      </c>
      <c r="U337" s="265">
        <v>4.1000000000000002E-2</v>
      </c>
      <c r="V337" s="265">
        <v>3.5000000000000003E-2</v>
      </c>
      <c r="W337" s="265">
        <v>4.2000000000000003E-2</v>
      </c>
      <c r="X337" s="265">
        <v>0.04</v>
      </c>
      <c r="Y337" s="265">
        <v>4.7E-2</v>
      </c>
      <c r="Z337" s="265">
        <v>4.2999999999999997E-2</v>
      </c>
      <c r="AA337" s="265">
        <v>4.2999999999999997E-2</v>
      </c>
      <c r="AB337" s="265">
        <v>3.4000000000000002E-2</v>
      </c>
    </row>
    <row r="338" spans="2:28" ht="9.9499999999999993" customHeight="1" x14ac:dyDescent="0.15">
      <c r="B338" s="591"/>
      <c r="C338" s="292"/>
      <c r="D338" s="591"/>
      <c r="E338" s="2" t="s">
        <v>436</v>
      </c>
      <c r="F338" s="265">
        <v>3.5999999999999997E-2</v>
      </c>
      <c r="G338" s="265">
        <v>3.9E-2</v>
      </c>
      <c r="H338" s="312">
        <v>3.9E-2</v>
      </c>
      <c r="I338" s="312">
        <v>0.04</v>
      </c>
      <c r="J338" s="265">
        <v>0.04</v>
      </c>
      <c r="K338" s="312">
        <v>3.3000000000000002E-2</v>
      </c>
      <c r="L338" s="265">
        <v>3.4000000000000002E-2</v>
      </c>
      <c r="M338" s="265">
        <v>3.5999999999999997E-2</v>
      </c>
      <c r="N338" s="265">
        <v>3.5000000000000003E-2</v>
      </c>
      <c r="O338" s="265"/>
      <c r="P338" s="265">
        <v>0.04</v>
      </c>
      <c r="Q338" s="312">
        <v>2.3E-2</v>
      </c>
      <c r="R338" s="265">
        <v>3.1E-2</v>
      </c>
      <c r="S338" s="265">
        <v>7.0000000000000007E-2</v>
      </c>
      <c r="T338" s="265">
        <v>2.4E-2</v>
      </c>
      <c r="U338" s="265">
        <v>2.5000000000000001E-2</v>
      </c>
      <c r="V338" s="265">
        <v>2.9000000000000001E-2</v>
      </c>
      <c r="W338" s="265">
        <v>2.8000000000000001E-2</v>
      </c>
      <c r="X338" s="265">
        <v>3.7999999999999999E-2</v>
      </c>
      <c r="Y338" s="265">
        <v>4.3999999999999997E-2</v>
      </c>
      <c r="Z338" s="265">
        <v>3.9E-2</v>
      </c>
      <c r="AA338" s="265">
        <v>3.5000000000000003E-2</v>
      </c>
      <c r="AB338" s="265">
        <v>3.7999999999999999E-2</v>
      </c>
    </row>
    <row r="339" spans="2:28" ht="9.9499999999999993" customHeight="1" x14ac:dyDescent="0.15">
      <c r="B339" s="5"/>
      <c r="C339" s="292"/>
      <c r="D339" s="601"/>
      <c r="E339" s="2" t="s">
        <v>654</v>
      </c>
      <c r="F339" s="265">
        <v>4.2000000000000003E-2</v>
      </c>
      <c r="G339" s="265">
        <v>3.6999999999999998E-2</v>
      </c>
      <c r="H339" s="312">
        <v>3.2000000000000001E-2</v>
      </c>
      <c r="I339" s="312">
        <v>3.3000000000000002E-2</v>
      </c>
      <c r="J339" s="265">
        <v>4.2000000000000003E-2</v>
      </c>
      <c r="K339" s="312">
        <v>3.4000000000000002E-2</v>
      </c>
      <c r="L339" s="265">
        <v>3.6999999999999998E-2</v>
      </c>
      <c r="M339" s="265">
        <v>0.04</v>
      </c>
      <c r="N339" s="265">
        <v>2.9000000000000001E-2</v>
      </c>
      <c r="O339" s="265"/>
      <c r="P339" s="265">
        <v>0.04</v>
      </c>
      <c r="Q339" s="312">
        <v>3.2000000000000001E-2</v>
      </c>
      <c r="R339" s="265">
        <v>3.7999999999999999E-2</v>
      </c>
      <c r="S339" s="265">
        <v>4.5999999999999999E-2</v>
      </c>
      <c r="T339" s="265">
        <v>3.5000000000000003E-2</v>
      </c>
      <c r="U339" s="265">
        <v>3.5999999999999997E-2</v>
      </c>
      <c r="V339" s="265">
        <v>3.2000000000000001E-2</v>
      </c>
      <c r="W339" s="265">
        <v>4.1000000000000002E-2</v>
      </c>
      <c r="X339" s="265">
        <v>0.04</v>
      </c>
      <c r="Y339" s="265">
        <v>3.3000000000000002E-2</v>
      </c>
      <c r="Z339" s="265">
        <v>3.4000000000000002E-2</v>
      </c>
      <c r="AA339" s="265">
        <v>0.04</v>
      </c>
      <c r="AB339" s="265">
        <v>3.5000000000000003E-2</v>
      </c>
    </row>
    <row r="340" spans="2:28" ht="9.9499999999999993" customHeight="1" x14ac:dyDescent="0.15">
      <c r="B340" s="5"/>
      <c r="C340" s="292"/>
      <c r="D340" s="3" t="s">
        <v>349</v>
      </c>
      <c r="E340" s="2" t="s">
        <v>437</v>
      </c>
      <c r="F340" s="265">
        <v>4.2000000000000003E-2</v>
      </c>
      <c r="G340" s="265">
        <v>4.2999999999999997E-2</v>
      </c>
      <c r="H340" s="312">
        <v>4.9000000000000002E-2</v>
      </c>
      <c r="I340" s="312">
        <v>4.1000000000000002E-2</v>
      </c>
      <c r="J340" s="265">
        <v>5.2999999999999999E-2</v>
      </c>
      <c r="K340" s="312">
        <v>3.7999999999999999E-2</v>
      </c>
      <c r="L340" s="265">
        <v>0.04</v>
      </c>
      <c r="M340" s="265">
        <v>4.2000000000000003E-2</v>
      </c>
      <c r="N340" s="265">
        <v>4.1000000000000002E-2</v>
      </c>
      <c r="O340" s="265"/>
      <c r="P340" s="265">
        <v>3.9E-2</v>
      </c>
      <c r="Q340" s="312">
        <v>4.2999999999999997E-2</v>
      </c>
      <c r="R340" s="265">
        <v>4.2000000000000003E-2</v>
      </c>
      <c r="S340" s="265">
        <v>6.3E-2</v>
      </c>
      <c r="T340" s="265">
        <v>3.3000000000000002E-2</v>
      </c>
      <c r="U340" s="265">
        <v>4.1000000000000002E-2</v>
      </c>
      <c r="V340" s="265">
        <v>3.4000000000000002E-2</v>
      </c>
      <c r="W340" s="265">
        <v>4.2999999999999997E-2</v>
      </c>
      <c r="X340" s="265">
        <v>4.4999999999999998E-2</v>
      </c>
      <c r="Y340" s="265">
        <v>3.5999999999999997E-2</v>
      </c>
      <c r="Z340" s="265">
        <v>4.4999999999999998E-2</v>
      </c>
      <c r="AA340" s="265">
        <v>0.04</v>
      </c>
      <c r="AB340" s="265">
        <v>3.2000000000000001E-2</v>
      </c>
    </row>
    <row r="341" spans="2:28" ht="9.9499999999999993" customHeight="1" x14ac:dyDescent="0.15">
      <c r="B341" s="7"/>
      <c r="C341" s="301"/>
      <c r="D341" s="7"/>
      <c r="E341" s="2" t="s">
        <v>439</v>
      </c>
      <c r="F341" s="265">
        <v>4.4999999999999998E-2</v>
      </c>
      <c r="G341" s="265">
        <v>4.5999999999999999E-2</v>
      </c>
      <c r="H341" s="312">
        <v>4.4999999999999998E-2</v>
      </c>
      <c r="I341" s="312">
        <v>3.9E-2</v>
      </c>
      <c r="J341" s="265">
        <v>4.7E-2</v>
      </c>
      <c r="K341" s="312">
        <v>0.04</v>
      </c>
      <c r="L341" s="265">
        <v>0.04</v>
      </c>
      <c r="M341" s="265">
        <v>4.5999999999999999E-2</v>
      </c>
      <c r="N341" s="265">
        <v>0.04</v>
      </c>
      <c r="O341" s="265"/>
      <c r="P341" s="265">
        <v>4.4999999999999998E-2</v>
      </c>
      <c r="Q341" s="312">
        <v>4.2999999999999997E-2</v>
      </c>
      <c r="R341" s="265">
        <v>4.2999999999999997E-2</v>
      </c>
      <c r="S341" s="265">
        <v>5.3999999999999999E-2</v>
      </c>
      <c r="T341" s="265">
        <v>3.9E-2</v>
      </c>
      <c r="U341" s="265">
        <v>0.04</v>
      </c>
      <c r="V341" s="265">
        <v>3.1E-2</v>
      </c>
      <c r="W341" s="265">
        <v>4.4999999999999998E-2</v>
      </c>
      <c r="X341" s="265">
        <v>4.3999999999999997E-2</v>
      </c>
      <c r="Y341" s="265">
        <v>5.2999999999999999E-2</v>
      </c>
      <c r="Z341" s="265">
        <v>3.3000000000000002E-2</v>
      </c>
      <c r="AA341" s="265">
        <v>4.5999999999999999E-2</v>
      </c>
      <c r="AB341" s="265">
        <v>3.9E-2</v>
      </c>
    </row>
    <row r="342" spans="2:28" ht="9.9499999999999993" customHeight="1" x14ac:dyDescent="0.15">
      <c r="B342" s="288" t="s">
        <v>655</v>
      </c>
      <c r="C342" s="260"/>
      <c r="D342" s="260"/>
      <c r="E342" s="260"/>
      <c r="F342" s="260"/>
      <c r="G342" s="260"/>
      <c r="H342" s="260"/>
      <c r="I342" s="260"/>
      <c r="J342" s="260"/>
      <c r="K342" s="260"/>
      <c r="L342" s="260"/>
      <c r="M342" s="260"/>
      <c r="N342" s="260"/>
      <c r="O342" s="260"/>
      <c r="P342" s="260"/>
      <c r="Q342" s="260"/>
      <c r="R342" s="260"/>
      <c r="S342" s="260"/>
      <c r="T342" s="260"/>
      <c r="U342" s="260"/>
      <c r="V342" s="260"/>
      <c r="W342" s="260"/>
      <c r="X342" s="260"/>
      <c r="Y342" s="260"/>
      <c r="Z342" s="260"/>
      <c r="AA342" s="260"/>
      <c r="AB342" s="289"/>
    </row>
    <row r="343" spans="2:28" ht="9.9499999999999993" customHeight="1" x14ac:dyDescent="0.15">
      <c r="B343" s="16"/>
      <c r="C343" s="3" t="s">
        <v>271</v>
      </c>
      <c r="D343" s="607" t="s">
        <v>656</v>
      </c>
      <c r="E343" s="3" t="s">
        <v>657</v>
      </c>
      <c r="F343" s="346" t="s">
        <v>650</v>
      </c>
      <c r="G343" s="346" t="s">
        <v>609</v>
      </c>
      <c r="H343" s="346" t="s">
        <v>610</v>
      </c>
      <c r="I343" s="346" t="s">
        <v>611</v>
      </c>
      <c r="J343" s="346" t="s">
        <v>612</v>
      </c>
      <c r="K343" s="346" t="s">
        <v>613</v>
      </c>
      <c r="L343" s="346" t="s">
        <v>614</v>
      </c>
      <c r="M343" s="346" t="s">
        <v>615</v>
      </c>
      <c r="N343" s="346" t="s">
        <v>616</v>
      </c>
      <c r="O343" s="346" t="s">
        <v>617</v>
      </c>
      <c r="P343" s="346" t="s">
        <v>618</v>
      </c>
      <c r="Q343" s="346" t="s">
        <v>619</v>
      </c>
      <c r="R343" s="346" t="s">
        <v>620</v>
      </c>
      <c r="S343" s="346" t="s">
        <v>621</v>
      </c>
      <c r="T343" s="346" t="s">
        <v>622</v>
      </c>
      <c r="U343" s="346" t="s">
        <v>623</v>
      </c>
      <c r="V343" s="346" t="s">
        <v>624</v>
      </c>
      <c r="W343" s="346" t="s">
        <v>625</v>
      </c>
      <c r="X343" s="346" t="s">
        <v>626</v>
      </c>
      <c r="Y343" s="346" t="s">
        <v>627</v>
      </c>
      <c r="Z343" s="346" t="s">
        <v>628</v>
      </c>
      <c r="AA343" s="346" t="s">
        <v>629</v>
      </c>
      <c r="AB343" s="346" t="s">
        <v>630</v>
      </c>
    </row>
    <row r="344" spans="2:28" ht="9.9499999999999993" customHeight="1" x14ac:dyDescent="0.15">
      <c r="B344" s="7"/>
      <c r="C344" s="7"/>
      <c r="D344" s="608"/>
      <c r="E344" s="7"/>
      <c r="F344" s="293" t="s">
        <v>280</v>
      </c>
      <c r="G344" s="293" t="s">
        <v>276</v>
      </c>
      <c r="H344" s="351" t="s">
        <v>279</v>
      </c>
      <c r="I344" s="351" t="s">
        <v>276</v>
      </c>
      <c r="J344" s="293" t="s">
        <v>279</v>
      </c>
      <c r="K344" s="351" t="s">
        <v>276</v>
      </c>
      <c r="L344" s="2" t="s">
        <v>279</v>
      </c>
      <c r="M344" s="293" t="s">
        <v>276</v>
      </c>
      <c r="N344" s="293" t="s">
        <v>279</v>
      </c>
      <c r="O344" s="351" t="s">
        <v>276</v>
      </c>
      <c r="P344" s="351" t="s">
        <v>279</v>
      </c>
      <c r="Q344" s="293" t="s">
        <v>279</v>
      </c>
      <c r="R344" s="351" t="s">
        <v>279</v>
      </c>
      <c r="S344" s="2" t="s">
        <v>279</v>
      </c>
      <c r="T344" s="293" t="s">
        <v>279</v>
      </c>
      <c r="U344" s="293" t="s">
        <v>279</v>
      </c>
      <c r="V344" s="351" t="s">
        <v>279</v>
      </c>
      <c r="W344" s="351" t="s">
        <v>279</v>
      </c>
      <c r="X344" s="293" t="s">
        <v>279</v>
      </c>
      <c r="Y344" s="351" t="s">
        <v>279</v>
      </c>
      <c r="Z344" s="2" t="s">
        <v>279</v>
      </c>
      <c r="AA344" s="293" t="s">
        <v>280</v>
      </c>
      <c r="AB344" s="293" t="s">
        <v>279</v>
      </c>
    </row>
    <row r="345" spans="2:28" ht="9.9499999999999993" customHeight="1" x14ac:dyDescent="0.15">
      <c r="B345" s="590" t="s">
        <v>404</v>
      </c>
      <c r="C345" s="290">
        <v>0.23</v>
      </c>
      <c r="D345" s="629" t="s">
        <v>658</v>
      </c>
      <c r="E345" s="2" t="s">
        <v>363</v>
      </c>
      <c r="F345" s="265">
        <v>4.2000000000000003E-2</v>
      </c>
      <c r="G345" s="265">
        <v>3.5999999999999997E-2</v>
      </c>
      <c r="H345" s="312">
        <v>4.2000000000000003E-2</v>
      </c>
      <c r="I345" s="312">
        <v>4.2000000000000003E-2</v>
      </c>
      <c r="J345" s="265">
        <v>4.8000000000000001E-2</v>
      </c>
      <c r="K345" s="312">
        <v>4.8000000000000001E-2</v>
      </c>
      <c r="L345" s="265">
        <v>4.8000000000000001E-2</v>
      </c>
      <c r="M345" s="265">
        <v>3.5999999999999997E-2</v>
      </c>
      <c r="N345" s="265">
        <v>4.8000000000000001E-2</v>
      </c>
      <c r="O345" s="265">
        <v>4.8000000000000001E-2</v>
      </c>
      <c r="P345" s="265">
        <v>5.3999999999999999E-2</v>
      </c>
      <c r="Q345" s="312">
        <v>4.8000000000000001E-2</v>
      </c>
      <c r="R345" s="265">
        <v>4.2000000000000003E-2</v>
      </c>
      <c r="S345" s="265">
        <v>7.8E-2</v>
      </c>
      <c r="T345" s="265">
        <v>3.5999999999999997E-2</v>
      </c>
      <c r="U345" s="265">
        <v>3.5999999999999997E-2</v>
      </c>
      <c r="V345" s="265">
        <v>4.2000000000000003E-2</v>
      </c>
      <c r="W345" s="265">
        <v>0.03</v>
      </c>
      <c r="X345" s="265">
        <v>3.5999999999999997E-2</v>
      </c>
      <c r="Y345" s="265">
        <v>6.6000000000000003E-2</v>
      </c>
      <c r="Z345" s="265">
        <v>4.8000000000000001E-2</v>
      </c>
      <c r="AA345" s="265">
        <v>4.2000000000000003E-2</v>
      </c>
      <c r="AB345" s="265">
        <v>5.3999999999999999E-2</v>
      </c>
    </row>
    <row r="346" spans="2:28" ht="9.9499999999999993" customHeight="1" x14ac:dyDescent="0.15">
      <c r="B346" s="591"/>
      <c r="C346" s="292"/>
      <c r="D346" s="630"/>
      <c r="E346" s="2" t="s">
        <v>659</v>
      </c>
      <c r="F346" s="265">
        <v>4.7E-2</v>
      </c>
      <c r="G346" s="265">
        <v>3.6999999999999998E-2</v>
      </c>
      <c r="H346" s="312">
        <v>4.1000000000000002E-2</v>
      </c>
      <c r="I346" s="312">
        <v>4.1000000000000002E-2</v>
      </c>
      <c r="J346" s="265">
        <v>3.7999999999999999E-2</v>
      </c>
      <c r="K346" s="312">
        <v>3.1E-2</v>
      </c>
      <c r="L346" s="265">
        <v>3.9E-2</v>
      </c>
      <c r="M346" s="265">
        <v>3.5999999999999997E-2</v>
      </c>
      <c r="N346" s="265">
        <v>3.7999999999999999E-2</v>
      </c>
      <c r="O346" s="265">
        <v>2.9000000000000001E-2</v>
      </c>
      <c r="P346" s="265">
        <v>3.5999999999999997E-2</v>
      </c>
      <c r="Q346" s="312">
        <v>2.7E-2</v>
      </c>
      <c r="R346" s="265">
        <v>2.9000000000000001E-2</v>
      </c>
      <c r="S346" s="265">
        <v>5.7000000000000002E-2</v>
      </c>
      <c r="T346" s="265">
        <v>0.03</v>
      </c>
      <c r="U346" s="265">
        <v>3.1E-2</v>
      </c>
      <c r="V346" s="265">
        <v>3.2000000000000001E-2</v>
      </c>
      <c r="W346" s="265">
        <v>3.5000000000000003E-2</v>
      </c>
      <c r="X346" s="265">
        <v>3.5999999999999997E-2</v>
      </c>
      <c r="Y346" s="265">
        <v>4.2000000000000003E-2</v>
      </c>
      <c r="Z346" s="265">
        <v>0.04</v>
      </c>
      <c r="AA346" s="265">
        <v>3.6999999999999998E-2</v>
      </c>
      <c r="AB346" s="265">
        <v>4.1000000000000002E-2</v>
      </c>
    </row>
    <row r="347" spans="2:28" ht="9.9499999999999993" customHeight="1" x14ac:dyDescent="0.15">
      <c r="B347" s="591"/>
      <c r="C347" s="292"/>
      <c r="D347" s="630"/>
      <c r="E347" s="2" t="s">
        <v>660</v>
      </c>
      <c r="F347" s="265">
        <v>5.5E-2</v>
      </c>
      <c r="G347" s="265">
        <v>4.8000000000000001E-2</v>
      </c>
      <c r="H347" s="312">
        <v>0.05</v>
      </c>
      <c r="I347" s="312">
        <v>0.05</v>
      </c>
      <c r="J347" s="265">
        <v>4.8000000000000001E-2</v>
      </c>
      <c r="K347" s="312">
        <v>4.1000000000000002E-2</v>
      </c>
      <c r="L347" s="265">
        <v>4.4999999999999998E-2</v>
      </c>
      <c r="M347" s="265">
        <v>4.5999999999999999E-2</v>
      </c>
      <c r="N347" s="265">
        <v>5.0999999999999997E-2</v>
      </c>
      <c r="O347" s="265">
        <v>4.2000000000000003E-2</v>
      </c>
      <c r="P347" s="265">
        <v>5.0999999999999997E-2</v>
      </c>
      <c r="Q347" s="312">
        <v>3.2000000000000001E-2</v>
      </c>
      <c r="R347" s="265">
        <v>3.5000000000000003E-2</v>
      </c>
      <c r="S347" s="265">
        <v>5.2999999999999999E-2</v>
      </c>
      <c r="T347" s="265">
        <v>3.1E-2</v>
      </c>
      <c r="U347" s="265">
        <v>3.5000000000000003E-2</v>
      </c>
      <c r="V347" s="265">
        <v>3.5000000000000003E-2</v>
      </c>
      <c r="W347" s="265">
        <v>4.7E-2</v>
      </c>
      <c r="X347" s="265">
        <v>4.8000000000000001E-2</v>
      </c>
      <c r="Y347" s="265">
        <v>5.8000000000000003E-2</v>
      </c>
      <c r="Z347" s="265">
        <v>5.1999999999999998E-2</v>
      </c>
      <c r="AA347" s="265">
        <v>4.7E-2</v>
      </c>
      <c r="AB347" s="265">
        <v>4.8000000000000001E-2</v>
      </c>
    </row>
    <row r="348" spans="2:28" ht="9.9499999999999993" customHeight="1" x14ac:dyDescent="0.15">
      <c r="B348" s="591"/>
      <c r="C348" s="292"/>
      <c r="D348" s="630"/>
      <c r="E348" s="2" t="s">
        <v>369</v>
      </c>
      <c r="F348" s="265">
        <v>4.5999999999999999E-2</v>
      </c>
      <c r="G348" s="265">
        <v>4.7E-2</v>
      </c>
      <c r="H348" s="312">
        <v>4.4999999999999998E-2</v>
      </c>
      <c r="I348" s="312">
        <v>4.7E-2</v>
      </c>
      <c r="J348" s="265">
        <v>4.2999999999999997E-2</v>
      </c>
      <c r="K348" s="312">
        <v>3.7999999999999999E-2</v>
      </c>
      <c r="L348" s="265">
        <v>4.4999999999999998E-2</v>
      </c>
      <c r="M348" s="265">
        <v>4.2000000000000003E-2</v>
      </c>
      <c r="N348" s="265">
        <v>4.3999999999999997E-2</v>
      </c>
      <c r="O348" s="265">
        <v>0.04</v>
      </c>
      <c r="P348" s="265">
        <v>4.1000000000000002E-2</v>
      </c>
      <c r="Q348" s="312">
        <v>3.3000000000000002E-2</v>
      </c>
      <c r="R348" s="265">
        <v>0.04</v>
      </c>
      <c r="S348" s="265">
        <v>6.9000000000000006E-2</v>
      </c>
      <c r="T348" s="265">
        <v>3.7999999999999999E-2</v>
      </c>
      <c r="U348" s="265">
        <v>4.2000000000000003E-2</v>
      </c>
      <c r="V348" s="265">
        <v>4.2999999999999997E-2</v>
      </c>
      <c r="W348" s="265">
        <v>4.2000000000000003E-2</v>
      </c>
      <c r="X348" s="265">
        <v>4.1000000000000002E-2</v>
      </c>
      <c r="Y348" s="265">
        <v>4.5999999999999999E-2</v>
      </c>
      <c r="Z348" s="265">
        <v>4.7E-2</v>
      </c>
      <c r="AA348" s="265">
        <v>4.2999999999999997E-2</v>
      </c>
      <c r="AB348" s="265">
        <v>4.2000000000000003E-2</v>
      </c>
    </row>
    <row r="349" spans="2:28" ht="9.9499999999999993" customHeight="1" x14ac:dyDescent="0.15">
      <c r="B349" s="591"/>
      <c r="C349" s="292"/>
      <c r="D349" s="5"/>
      <c r="E349" s="2" t="s">
        <v>297</v>
      </c>
      <c r="F349" s="265">
        <v>5.2999999999999999E-2</v>
      </c>
      <c r="G349" s="265">
        <v>3.9E-2</v>
      </c>
      <c r="H349" s="312">
        <v>4.2999999999999997E-2</v>
      </c>
      <c r="I349" s="312">
        <v>4.4999999999999998E-2</v>
      </c>
      <c r="J349" s="265">
        <v>4.2000000000000003E-2</v>
      </c>
      <c r="K349" s="312">
        <v>4.2000000000000003E-2</v>
      </c>
      <c r="L349" s="265">
        <v>4.2999999999999997E-2</v>
      </c>
      <c r="M349" s="265">
        <v>4.2999999999999997E-2</v>
      </c>
      <c r="N349" s="265">
        <v>4.3999999999999997E-2</v>
      </c>
      <c r="O349" s="265">
        <v>0.04</v>
      </c>
      <c r="P349" s="265">
        <v>0.04</v>
      </c>
      <c r="Q349" s="312">
        <v>2.7E-2</v>
      </c>
      <c r="R349" s="265">
        <v>3.4000000000000002E-2</v>
      </c>
      <c r="S349" s="265">
        <v>6.3E-2</v>
      </c>
      <c r="T349" s="265">
        <v>3.3000000000000002E-2</v>
      </c>
      <c r="U349" s="265">
        <v>3.7999999999999999E-2</v>
      </c>
      <c r="V349" s="265">
        <v>3.6999999999999998E-2</v>
      </c>
      <c r="W349" s="265">
        <v>4.4999999999999998E-2</v>
      </c>
      <c r="X349" s="265">
        <v>4.3999999999999997E-2</v>
      </c>
      <c r="Y349" s="265">
        <v>4.7E-2</v>
      </c>
      <c r="Z349" s="265">
        <v>4.8000000000000001E-2</v>
      </c>
      <c r="AA349" s="265">
        <v>0.04</v>
      </c>
      <c r="AB349" s="265">
        <v>4.2000000000000003E-2</v>
      </c>
    </row>
    <row r="350" spans="2:28" ht="9.9499999999999993" customHeight="1" x14ac:dyDescent="0.15">
      <c r="B350" s="5"/>
      <c r="C350" s="292"/>
      <c r="D350" s="5"/>
      <c r="E350" s="2" t="s">
        <v>596</v>
      </c>
      <c r="F350" s="265">
        <v>5.1999999999999998E-2</v>
      </c>
      <c r="G350" s="265">
        <v>4.3999999999999997E-2</v>
      </c>
      <c r="H350" s="312">
        <v>4.5999999999999999E-2</v>
      </c>
      <c r="I350" s="312">
        <v>4.3999999999999997E-2</v>
      </c>
      <c r="J350" s="265">
        <v>4.3999999999999997E-2</v>
      </c>
      <c r="K350" s="312">
        <v>3.7999999999999999E-2</v>
      </c>
      <c r="L350" s="265">
        <v>4.2999999999999997E-2</v>
      </c>
      <c r="M350" s="265">
        <v>4.1000000000000002E-2</v>
      </c>
      <c r="N350" s="265">
        <v>4.3999999999999997E-2</v>
      </c>
      <c r="O350" s="265">
        <v>4.1000000000000002E-2</v>
      </c>
      <c r="P350" s="265">
        <v>4.9000000000000002E-2</v>
      </c>
      <c r="Q350" s="312">
        <v>2.5999999999999999E-2</v>
      </c>
      <c r="R350" s="265">
        <v>3.2000000000000001E-2</v>
      </c>
      <c r="S350" s="265">
        <v>5.8000000000000003E-2</v>
      </c>
      <c r="T350" s="265">
        <v>3.1E-2</v>
      </c>
      <c r="U350" s="265">
        <v>3.3000000000000002E-2</v>
      </c>
      <c r="V350" s="265">
        <v>3.3000000000000002E-2</v>
      </c>
      <c r="W350" s="265">
        <v>3.9E-2</v>
      </c>
      <c r="X350" s="265">
        <v>0.04</v>
      </c>
      <c r="Y350" s="265">
        <v>4.8000000000000001E-2</v>
      </c>
      <c r="Z350" s="265">
        <v>4.5999999999999999E-2</v>
      </c>
      <c r="AA350" s="265">
        <v>4.9000000000000002E-2</v>
      </c>
      <c r="AB350" s="265">
        <v>4.2000000000000003E-2</v>
      </c>
    </row>
    <row r="351" spans="2:28" ht="9.9499999999999993" customHeight="1" x14ac:dyDescent="0.15">
      <c r="B351" s="7"/>
      <c r="C351" s="301"/>
      <c r="D351" s="7"/>
      <c r="E351" s="2" t="s">
        <v>371</v>
      </c>
      <c r="F351" s="265">
        <v>4.8000000000000001E-2</v>
      </c>
      <c r="G351" s="265">
        <v>4.2999999999999997E-2</v>
      </c>
      <c r="H351" s="312">
        <v>3.5999999999999997E-2</v>
      </c>
      <c r="I351" s="312">
        <v>3.6999999999999998E-2</v>
      </c>
      <c r="J351" s="265">
        <v>3.9E-2</v>
      </c>
      <c r="K351" s="312">
        <v>3.5000000000000003E-2</v>
      </c>
      <c r="L351" s="265">
        <v>3.7999999999999999E-2</v>
      </c>
      <c r="M351" s="265">
        <v>0.04</v>
      </c>
      <c r="N351" s="265">
        <v>3.6999999999999998E-2</v>
      </c>
      <c r="O351" s="265">
        <v>3.2000000000000001E-2</v>
      </c>
      <c r="P351" s="265">
        <v>3.7999999999999999E-2</v>
      </c>
      <c r="Q351" s="312">
        <v>2.7E-2</v>
      </c>
      <c r="R351" s="265">
        <v>3.2000000000000001E-2</v>
      </c>
      <c r="S351" s="265">
        <v>5.2999999999999999E-2</v>
      </c>
      <c r="T351" s="265">
        <v>2.8000000000000001E-2</v>
      </c>
      <c r="U351" s="265">
        <v>2.9000000000000001E-2</v>
      </c>
      <c r="V351" s="265">
        <v>3.2000000000000001E-2</v>
      </c>
      <c r="W351" s="265">
        <v>3.5000000000000003E-2</v>
      </c>
      <c r="X351" s="265">
        <v>3.6999999999999998E-2</v>
      </c>
      <c r="Y351" s="265">
        <v>4.4999999999999998E-2</v>
      </c>
      <c r="Z351" s="265">
        <v>0.04</v>
      </c>
      <c r="AA351" s="265">
        <v>3.7999999999999999E-2</v>
      </c>
      <c r="AB351" s="265">
        <v>3.9E-2</v>
      </c>
    </row>
    <row r="352" spans="2:28" ht="9.9499999999999993" customHeight="1" x14ac:dyDescent="0.15">
      <c r="B352" s="600" t="s">
        <v>661</v>
      </c>
      <c r="C352" s="610" t="s">
        <v>662</v>
      </c>
      <c r="D352" s="629" t="s">
        <v>663</v>
      </c>
      <c r="E352" s="326"/>
      <c r="F352" s="367"/>
      <c r="G352" s="22" t="s">
        <v>664</v>
      </c>
      <c r="H352" s="22" t="s">
        <v>665</v>
      </c>
      <c r="I352" s="22" t="s">
        <v>666</v>
      </c>
      <c r="J352" s="22" t="s">
        <v>667</v>
      </c>
      <c r="K352" s="22" t="s">
        <v>668</v>
      </c>
      <c r="L352" s="22" t="s">
        <v>669</v>
      </c>
      <c r="M352" s="280"/>
      <c r="N352" s="280"/>
      <c r="O352" s="280"/>
      <c r="P352" s="280"/>
      <c r="Q352" s="280"/>
      <c r="R352" s="280"/>
      <c r="S352" s="280"/>
      <c r="T352" s="280"/>
      <c r="U352" s="280"/>
      <c r="V352" s="280"/>
      <c r="W352" s="280"/>
      <c r="X352" s="280"/>
      <c r="Y352" s="280"/>
      <c r="Z352" s="280"/>
      <c r="AA352" s="280"/>
      <c r="AB352" s="349"/>
    </row>
    <row r="353" spans="2:28" ht="9.9499999999999993" customHeight="1" x14ac:dyDescent="0.15">
      <c r="B353" s="609"/>
      <c r="C353" s="611"/>
      <c r="D353" s="630"/>
      <c r="E353" s="329" t="s">
        <v>347</v>
      </c>
      <c r="F353" s="367"/>
      <c r="G353" s="22" t="s">
        <v>110</v>
      </c>
      <c r="H353" s="22" t="s">
        <v>110</v>
      </c>
      <c r="I353" s="22" t="s">
        <v>110</v>
      </c>
      <c r="J353" s="22" t="s">
        <v>110</v>
      </c>
      <c r="K353" s="22" t="s">
        <v>110</v>
      </c>
      <c r="L353" s="22" t="s">
        <v>110</v>
      </c>
      <c r="N353" s="15" t="s">
        <v>348</v>
      </c>
      <c r="O353" s="15"/>
      <c r="P353" s="15"/>
      <c r="Q353" s="15"/>
      <c r="R353" s="15"/>
      <c r="S353" s="15"/>
      <c r="T353" s="15"/>
      <c r="U353" s="15"/>
      <c r="V353" s="15"/>
      <c r="W353" s="15"/>
      <c r="X353" s="15"/>
      <c r="Y353" s="15"/>
      <c r="Z353" s="15"/>
      <c r="AA353" s="15"/>
      <c r="AB353" s="279"/>
    </row>
    <row r="354" spans="2:28" ht="9.9499999999999993" customHeight="1" x14ac:dyDescent="0.15">
      <c r="B354" s="609"/>
      <c r="C354" s="611"/>
      <c r="D354" s="630"/>
      <c r="E354" s="329" t="s">
        <v>376</v>
      </c>
      <c r="F354" s="367"/>
      <c r="G354" s="22" t="s">
        <v>110</v>
      </c>
      <c r="H354" s="22" t="s">
        <v>110</v>
      </c>
      <c r="I354" s="22" t="s">
        <v>110</v>
      </c>
      <c r="J354" s="22" t="s">
        <v>110</v>
      </c>
      <c r="K354" s="22" t="s">
        <v>110</v>
      </c>
      <c r="L354" s="22" t="s">
        <v>110</v>
      </c>
      <c r="N354" s="1" t="s">
        <v>377</v>
      </c>
      <c r="O354" s="15"/>
      <c r="P354" s="15"/>
      <c r="Q354" s="15"/>
      <c r="R354" s="15"/>
      <c r="S354" s="15"/>
      <c r="T354" s="15"/>
      <c r="U354" s="15"/>
      <c r="V354" s="15"/>
      <c r="W354" s="15"/>
      <c r="X354" s="15"/>
      <c r="Y354" s="15"/>
      <c r="Z354" s="15"/>
      <c r="AA354" s="15"/>
      <c r="AB354" s="279"/>
    </row>
    <row r="355" spans="2:28" ht="9.9499999999999993" customHeight="1" x14ac:dyDescent="0.15">
      <c r="B355" s="268"/>
      <c r="C355" s="611"/>
      <c r="D355" s="630"/>
      <c r="E355" s="329" t="s">
        <v>353</v>
      </c>
      <c r="F355" s="367"/>
      <c r="G355" s="22" t="s">
        <v>110</v>
      </c>
      <c r="H355" s="22" t="s">
        <v>110</v>
      </c>
      <c r="I355" s="22" t="s">
        <v>110</v>
      </c>
      <c r="J355" s="22" t="s">
        <v>110</v>
      </c>
      <c r="K355" s="350">
        <v>0.9</v>
      </c>
      <c r="L355" s="22" t="s">
        <v>670</v>
      </c>
      <c r="M355" s="8"/>
      <c r="N355" s="8"/>
      <c r="O355" s="8"/>
      <c r="P355" s="15"/>
      <c r="Q355" s="15"/>
      <c r="R355" s="15"/>
      <c r="S355" s="15"/>
      <c r="T355" s="15"/>
      <c r="U355" s="15"/>
      <c r="V355" s="15"/>
      <c r="W355" s="15"/>
      <c r="X355" s="15"/>
      <c r="Y355" s="15"/>
      <c r="Z355" s="15"/>
      <c r="AA355" s="15"/>
      <c r="AB355" s="279"/>
    </row>
    <row r="356" spans="2:28" ht="9.9499999999999993" customHeight="1" x14ac:dyDescent="0.15">
      <c r="B356" s="331"/>
      <c r="C356" s="612"/>
      <c r="D356" s="7"/>
      <c r="E356" s="329" t="s">
        <v>357</v>
      </c>
      <c r="F356" s="367"/>
      <c r="G356" s="22" t="s">
        <v>110</v>
      </c>
      <c r="H356" s="22" t="s">
        <v>110</v>
      </c>
      <c r="I356" s="22" t="s">
        <v>110</v>
      </c>
      <c r="J356" s="22" t="s">
        <v>110</v>
      </c>
      <c r="K356" s="22" t="s">
        <v>110</v>
      </c>
      <c r="L356" s="22" t="s">
        <v>110</v>
      </c>
      <c r="M356" s="8"/>
      <c r="N356" s="8"/>
      <c r="O356" s="8"/>
      <c r="P356" s="285"/>
      <c r="Q356" s="285"/>
      <c r="R356" s="285"/>
      <c r="S356" s="285"/>
      <c r="T356" s="285"/>
      <c r="U356" s="285"/>
      <c r="V356" s="285"/>
      <c r="W356" s="285"/>
      <c r="X356" s="285"/>
      <c r="Y356" s="285"/>
      <c r="Z356" s="285"/>
      <c r="AA356" s="285"/>
      <c r="AB356" s="286"/>
    </row>
  </sheetData>
  <mergeCells count="138">
    <mergeCell ref="B345:B349"/>
    <mergeCell ref="D345:D348"/>
    <mergeCell ref="B352:B354"/>
    <mergeCell ref="C352:C356"/>
    <mergeCell ref="D352:D355"/>
    <mergeCell ref="B330:B332"/>
    <mergeCell ref="C330:C332"/>
    <mergeCell ref="D330:D332"/>
    <mergeCell ref="B336:B338"/>
    <mergeCell ref="D336:D339"/>
    <mergeCell ref="D343:D344"/>
    <mergeCell ref="B309:B311"/>
    <mergeCell ref="C309:C313"/>
    <mergeCell ref="D309:D312"/>
    <mergeCell ref="B319:B324"/>
    <mergeCell ref="D319:D322"/>
    <mergeCell ref="B327:B329"/>
    <mergeCell ref="C327:C329"/>
    <mergeCell ref="D327:D329"/>
    <mergeCell ref="AL292:AN294"/>
    <mergeCell ref="B293:B295"/>
    <mergeCell ref="D293:D296"/>
    <mergeCell ref="D300:D301"/>
    <mergeCell ref="B302:B304"/>
    <mergeCell ref="D302:D305"/>
    <mergeCell ref="B276:B281"/>
    <mergeCell ref="D276:D279"/>
    <mergeCell ref="B284:B286"/>
    <mergeCell ref="C284:C286"/>
    <mergeCell ref="D284:D286"/>
    <mergeCell ref="B287:B289"/>
    <mergeCell ref="C287:C289"/>
    <mergeCell ref="D287:D289"/>
    <mergeCell ref="B257:B259"/>
    <mergeCell ref="C257:C261"/>
    <mergeCell ref="D257:D260"/>
    <mergeCell ref="D272:D274"/>
    <mergeCell ref="F273:F275"/>
    <mergeCell ref="AL273:AN274"/>
    <mergeCell ref="AL239:AN241"/>
    <mergeCell ref="B241:B243"/>
    <mergeCell ref="D241:D244"/>
    <mergeCell ref="D248:D249"/>
    <mergeCell ref="B250:B252"/>
    <mergeCell ref="D250:D253"/>
    <mergeCell ref="B224:B229"/>
    <mergeCell ref="D224:D228"/>
    <mergeCell ref="B232:B234"/>
    <mergeCell ref="C232:C234"/>
    <mergeCell ref="D232:D234"/>
    <mergeCell ref="B235:B237"/>
    <mergeCell ref="C235:C237"/>
    <mergeCell ref="D235:D237"/>
    <mergeCell ref="B205:B207"/>
    <mergeCell ref="C205:C209"/>
    <mergeCell ref="D205:D208"/>
    <mergeCell ref="D220:D222"/>
    <mergeCell ref="AL220:AN221"/>
    <mergeCell ref="F221:F223"/>
    <mergeCell ref="AL188:AN190"/>
    <mergeCell ref="B189:B191"/>
    <mergeCell ref="D189:D192"/>
    <mergeCell ref="D196:D197"/>
    <mergeCell ref="B198:B200"/>
    <mergeCell ref="D198:D202"/>
    <mergeCell ref="B172:B177"/>
    <mergeCell ref="D172:D175"/>
    <mergeCell ref="B180:B182"/>
    <mergeCell ref="C180:C182"/>
    <mergeCell ref="D180:D182"/>
    <mergeCell ref="B183:B185"/>
    <mergeCell ref="C183:C185"/>
    <mergeCell ref="D183:D185"/>
    <mergeCell ref="B153:B155"/>
    <mergeCell ref="C153:C157"/>
    <mergeCell ref="D153:D156"/>
    <mergeCell ref="D168:D170"/>
    <mergeCell ref="F169:F171"/>
    <mergeCell ref="AL169:AN170"/>
    <mergeCell ref="B137:B139"/>
    <mergeCell ref="D137:D140"/>
    <mergeCell ref="AL137:AN139"/>
    <mergeCell ref="D144:D145"/>
    <mergeCell ref="B146:B148"/>
    <mergeCell ref="D146:D149"/>
    <mergeCell ref="B120:B125"/>
    <mergeCell ref="D120:D123"/>
    <mergeCell ref="B128:B130"/>
    <mergeCell ref="C128:C130"/>
    <mergeCell ref="D128:D130"/>
    <mergeCell ref="B131:B133"/>
    <mergeCell ref="C131:C133"/>
    <mergeCell ref="D131:D133"/>
    <mergeCell ref="B101:B103"/>
    <mergeCell ref="C101:C105"/>
    <mergeCell ref="D101:D104"/>
    <mergeCell ref="D116:D118"/>
    <mergeCell ref="F117:F119"/>
    <mergeCell ref="AL117:AN118"/>
    <mergeCell ref="AK83:AM85"/>
    <mergeCell ref="B85:B87"/>
    <mergeCell ref="D85:D88"/>
    <mergeCell ref="D92:D93"/>
    <mergeCell ref="B94:B96"/>
    <mergeCell ref="D94:D97"/>
    <mergeCell ref="AO75:AP76"/>
    <mergeCell ref="B76:B78"/>
    <mergeCell ref="C76:C78"/>
    <mergeCell ref="D76:D78"/>
    <mergeCell ref="B79:B81"/>
    <mergeCell ref="C79:C81"/>
    <mergeCell ref="D79:D81"/>
    <mergeCell ref="AL63:AN64"/>
    <mergeCell ref="D64:D66"/>
    <mergeCell ref="F65:F67"/>
    <mergeCell ref="B68:B73"/>
    <mergeCell ref="D68:D71"/>
    <mergeCell ref="AO73:AP74"/>
    <mergeCell ref="D40:D41"/>
    <mergeCell ref="B42:B44"/>
    <mergeCell ref="D42:D45"/>
    <mergeCell ref="B49:B51"/>
    <mergeCell ref="C49:C53"/>
    <mergeCell ref="D49:D52"/>
    <mergeCell ref="B26:B28"/>
    <mergeCell ref="C26:C28"/>
    <mergeCell ref="D26:D28"/>
    <mergeCell ref="B33:B35"/>
    <mergeCell ref="D33:D36"/>
    <mergeCell ref="AL36:AN38"/>
    <mergeCell ref="D11:D13"/>
    <mergeCell ref="F12:F14"/>
    <mergeCell ref="B15:B20"/>
    <mergeCell ref="D15:D18"/>
    <mergeCell ref="AL16:AN17"/>
    <mergeCell ref="B23:B25"/>
    <mergeCell ref="C23:C25"/>
    <mergeCell ref="D23:D25"/>
  </mergeCells>
  <phoneticPr fontId="5"/>
  <pageMargins left="0.75" right="0.75" top="1" bottom="1" header="0" footer="0"/>
  <pageSetup paperSize="8" orientation="portrait" verticalDpi="0"/>
  <headerFooter alignWithMargins="0"/>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AB162"/>
  <sheetViews>
    <sheetView zoomScale="75" zoomScaleNormal="75" workbookViewId="0">
      <selection activeCell="AS44" sqref="AS44"/>
    </sheetView>
  </sheetViews>
  <sheetFormatPr defaultColWidth="4.875" defaultRowHeight="9.9499999999999993" customHeight="1" x14ac:dyDescent="0.15"/>
  <cols>
    <col min="1" max="1" width="2.375" style="15" customWidth="1"/>
    <col min="2" max="5" width="4.375" style="43" customWidth="1"/>
    <col min="6" max="6" width="4.375" style="8" customWidth="1"/>
    <col min="7" max="8" width="4.375" style="15" customWidth="1"/>
    <col min="9" max="9" width="1.75" style="15" customWidth="1"/>
    <col min="10" max="16" width="4.375" style="15" customWidth="1"/>
    <col min="17" max="17" width="1.625" style="15" customWidth="1"/>
    <col min="18" max="25" width="4.375" style="15" customWidth="1"/>
    <col min="26" max="26" width="4.375" style="8" customWidth="1"/>
    <col min="27" max="28" width="4.375" style="15" customWidth="1"/>
    <col min="29" max="16384" width="4.875" style="15"/>
  </cols>
  <sheetData>
    <row r="2" spans="2:28" ht="16.5" customHeight="1" x14ac:dyDescent="0.15">
      <c r="B2" s="60" t="s">
        <v>63</v>
      </c>
    </row>
    <row r="3" spans="2:28" ht="9.9499999999999993" customHeight="1" x14ac:dyDescent="0.15">
      <c r="B3" s="15"/>
      <c r="C3" s="46" t="s">
        <v>47</v>
      </c>
      <c r="D3" s="53"/>
      <c r="E3" s="53"/>
      <c r="F3" s="8" t="s">
        <v>39</v>
      </c>
      <c r="J3" s="15" t="s">
        <v>116</v>
      </c>
      <c r="M3" s="15" t="s">
        <v>41</v>
      </c>
      <c r="R3" s="8" t="s">
        <v>42</v>
      </c>
      <c r="S3" s="8"/>
      <c r="T3" s="8"/>
      <c r="U3" s="8"/>
      <c r="V3" s="8" t="s">
        <v>43</v>
      </c>
      <c r="W3" s="8"/>
      <c r="AB3" s="15" t="s">
        <v>115</v>
      </c>
    </row>
    <row r="4" spans="2:28" ht="33" customHeight="1" x14ac:dyDescent="0.15">
      <c r="C4" s="101" t="s">
        <v>38</v>
      </c>
      <c r="D4" s="99" t="s">
        <v>64</v>
      </c>
      <c r="E4" s="99" t="s">
        <v>49</v>
      </c>
      <c r="F4" s="102" t="s">
        <v>40</v>
      </c>
      <c r="G4" s="99" t="s">
        <v>64</v>
      </c>
      <c r="H4" s="99" t="s">
        <v>49</v>
      </c>
      <c r="I4" s="100"/>
      <c r="J4" s="101" t="s">
        <v>114</v>
      </c>
      <c r="K4" s="99"/>
      <c r="L4" s="99"/>
      <c r="M4" s="103" t="s">
        <v>44</v>
      </c>
      <c r="N4" s="99" t="s">
        <v>64</v>
      </c>
      <c r="O4" s="99" t="s">
        <v>49</v>
      </c>
      <c r="P4" s="99" t="s">
        <v>49</v>
      </c>
      <c r="Q4" s="100"/>
      <c r="R4" s="103" t="s">
        <v>45</v>
      </c>
      <c r="S4" s="99" t="s">
        <v>64</v>
      </c>
      <c r="T4" s="99" t="s">
        <v>49</v>
      </c>
      <c r="U4" s="99" t="s">
        <v>49</v>
      </c>
      <c r="V4" s="103" t="s">
        <v>46</v>
      </c>
      <c r="W4" s="99" t="s">
        <v>64</v>
      </c>
      <c r="X4" s="99" t="s">
        <v>49</v>
      </c>
      <c r="Y4" s="99" t="s">
        <v>49</v>
      </c>
      <c r="Z4" s="49"/>
      <c r="AB4" s="43"/>
    </row>
    <row r="5" spans="2:28" ht="9.9499999999999993" customHeight="1" x14ac:dyDescent="0.15">
      <c r="B5" s="57" t="s">
        <v>50</v>
      </c>
      <c r="C5" s="42"/>
      <c r="D5" s="42"/>
      <c r="E5" s="55">
        <f t="shared" ref="E5:E16" si="0">AVERAGE(E92,E80,E68,E56,E44,E32,E20)</f>
        <v>7.9992816066502742E-2</v>
      </c>
      <c r="F5" s="29"/>
      <c r="G5" s="29"/>
      <c r="H5" s="55">
        <f t="shared" ref="H5:H16" si="1">AVERAGE(H92,H80,H68,H56,H44,H32,H20)</f>
        <v>7.6501400928994254E-2</v>
      </c>
      <c r="I5" s="29"/>
      <c r="J5" s="55">
        <f>AVERAGE(O5,T5,X5)</f>
        <v>8.1909646666620983E-2</v>
      </c>
      <c r="K5" s="55"/>
      <c r="L5" s="55"/>
      <c r="M5" s="29"/>
      <c r="N5" s="29"/>
      <c r="O5" s="55">
        <f t="shared" ref="O5:P9" si="2">AVERAGE(O68,O56,O44,O32)</f>
        <v>8.1239374070688875E-2</v>
      </c>
      <c r="P5" s="55">
        <f t="shared" si="2"/>
        <v>8.1971266995696179E-2</v>
      </c>
      <c r="Q5" s="29"/>
      <c r="R5" s="29"/>
      <c r="S5" s="29"/>
      <c r="T5" s="55">
        <f t="shared" ref="T5:U9" si="3">AVERAGE(T68,T56,T44,T32)</f>
        <v>7.9764127092520801E-2</v>
      </c>
      <c r="U5" s="55">
        <f t="shared" si="3"/>
        <v>8.1971266995696179E-2</v>
      </c>
      <c r="V5" s="29"/>
      <c r="W5" s="29"/>
      <c r="X5" s="55">
        <f t="shared" ref="X5:Y9" si="4">AVERAGE(X68,X56,X44,X32)</f>
        <v>8.4725438836653288E-2</v>
      </c>
      <c r="Y5" s="55">
        <f t="shared" si="4"/>
        <v>8.1675098411791908E-2</v>
      </c>
      <c r="Z5" s="29"/>
      <c r="AB5" s="55">
        <f t="shared" ref="AB5:AB16" si="5">AVERAGE(AB92,AB80,AB68,AB56,AB44,AB32,AB20)</f>
        <v>7.9322176308980252E-2</v>
      </c>
    </row>
    <row r="6" spans="2:28" ht="9.9499999999999993" customHeight="1" x14ac:dyDescent="0.15">
      <c r="B6" s="57" t="s">
        <v>51</v>
      </c>
      <c r="C6" s="42"/>
      <c r="D6" s="42"/>
      <c r="E6" s="55">
        <f t="shared" si="0"/>
        <v>9.0772615392838429E-2</v>
      </c>
      <c r="F6" s="29"/>
      <c r="G6" s="42"/>
      <c r="H6" s="55">
        <f t="shared" si="1"/>
        <v>8.6293553760327171E-2</v>
      </c>
      <c r="I6" s="29"/>
      <c r="J6" s="55">
        <f t="shared" ref="J6:J16" si="6">AVERAGE(O6,T6,X6)</f>
        <v>8.6068480465540276E-2</v>
      </c>
      <c r="K6" s="55"/>
      <c r="L6" s="55"/>
      <c r="M6" s="29"/>
      <c r="N6" s="29"/>
      <c r="O6" s="55">
        <f t="shared" si="2"/>
        <v>8.5327029837802548E-2</v>
      </c>
      <c r="P6" s="55">
        <f t="shared" si="2"/>
        <v>8.61486694425114E-2</v>
      </c>
      <c r="Q6" s="29"/>
      <c r="R6" s="29"/>
      <c r="S6" s="29"/>
      <c r="T6" s="55">
        <f t="shared" si="3"/>
        <v>8.3799309417239079E-2</v>
      </c>
      <c r="U6" s="55">
        <f t="shared" si="3"/>
        <v>8.61486694425114E-2</v>
      </c>
      <c r="V6" s="29"/>
      <c r="W6" s="29"/>
      <c r="X6" s="55">
        <f t="shared" si="4"/>
        <v>8.9079102141579242E-2</v>
      </c>
      <c r="Y6" s="55">
        <f t="shared" si="4"/>
        <v>8.5843363132333275E-2</v>
      </c>
      <c r="Z6" s="29"/>
      <c r="AB6" s="55">
        <f t="shared" si="5"/>
        <v>8.9128643618102618E-2</v>
      </c>
    </row>
    <row r="7" spans="2:28" ht="9.9499999999999993" customHeight="1" x14ac:dyDescent="0.15">
      <c r="B7" s="57" t="s">
        <v>52</v>
      </c>
      <c r="C7" s="42"/>
      <c r="D7" s="42"/>
      <c r="E7" s="55">
        <f t="shared" si="0"/>
        <v>8.6804076534505711E-2</v>
      </c>
      <c r="F7" s="29"/>
      <c r="G7" s="42"/>
      <c r="H7" s="55">
        <f t="shared" si="1"/>
        <v>8.8658664053806027E-2</v>
      </c>
      <c r="I7" s="29"/>
      <c r="J7" s="55">
        <f t="shared" si="6"/>
        <v>8.5374176276098876E-2</v>
      </c>
      <c r="K7" s="55"/>
      <c r="L7" s="55"/>
      <c r="M7" s="29"/>
      <c r="N7" s="29"/>
      <c r="O7" s="55">
        <f t="shared" si="2"/>
        <v>8.4678586523712462E-2</v>
      </c>
      <c r="P7" s="55">
        <f t="shared" si="2"/>
        <v>8.5459112238232091E-2</v>
      </c>
      <c r="Q7" s="29"/>
      <c r="R7" s="29"/>
      <c r="S7" s="29"/>
      <c r="T7" s="55">
        <f t="shared" si="3"/>
        <v>8.3103797373363625E-2</v>
      </c>
      <c r="U7" s="55">
        <f t="shared" si="3"/>
        <v>8.5459112238232091E-2</v>
      </c>
      <c r="V7" s="29"/>
      <c r="W7" s="29"/>
      <c r="X7" s="55">
        <f t="shared" si="4"/>
        <v>8.8340144931220527E-2</v>
      </c>
      <c r="Y7" s="55">
        <f t="shared" si="4"/>
        <v>8.5159968580657261E-2</v>
      </c>
      <c r="Z7" s="29"/>
      <c r="AB7" s="55">
        <f t="shared" si="5"/>
        <v>8.7466418700092655E-2</v>
      </c>
    </row>
    <row r="8" spans="2:28" ht="9.9499999999999993" customHeight="1" x14ac:dyDescent="0.15">
      <c r="B8" s="57" t="s">
        <v>53</v>
      </c>
      <c r="C8" s="42"/>
      <c r="D8" s="42"/>
      <c r="E8" s="55">
        <f t="shared" si="0"/>
        <v>9.0079743785774907E-2</v>
      </c>
      <c r="F8" s="29"/>
      <c r="G8" s="42"/>
      <c r="H8" s="55">
        <f t="shared" si="1"/>
        <v>9.4654152965531743E-2</v>
      </c>
      <c r="I8" s="29"/>
      <c r="J8" s="55">
        <f t="shared" si="6"/>
        <v>9.2787099121771743E-2</v>
      </c>
      <c r="K8" s="55"/>
      <c r="L8" s="55"/>
      <c r="M8" s="29"/>
      <c r="N8" s="29"/>
      <c r="O8" s="55">
        <f t="shared" si="2"/>
        <v>9.1952753314051006E-2</v>
      </c>
      <c r="P8" s="55">
        <f t="shared" si="2"/>
        <v>9.284376445839071E-2</v>
      </c>
      <c r="Q8" s="29"/>
      <c r="R8" s="29"/>
      <c r="S8" s="29"/>
      <c r="T8" s="55">
        <f t="shared" si="3"/>
        <v>9.0364302113771361E-2</v>
      </c>
      <c r="U8" s="55">
        <f t="shared" si="3"/>
        <v>9.284376445839071E-2</v>
      </c>
      <c r="V8" s="29"/>
      <c r="W8" s="29"/>
      <c r="X8" s="55">
        <f t="shared" si="4"/>
        <v>9.6044241937492891E-2</v>
      </c>
      <c r="Y8" s="55">
        <f t="shared" si="4"/>
        <v>9.2512458129384509E-2</v>
      </c>
      <c r="Z8" s="29"/>
      <c r="AB8" s="55">
        <f t="shared" si="5"/>
        <v>9.3057188641443564E-2</v>
      </c>
    </row>
    <row r="9" spans="2:28" ht="9.9499999999999993" customHeight="1" x14ac:dyDescent="0.15">
      <c r="B9" s="57" t="s">
        <v>54</v>
      </c>
      <c r="C9" s="42"/>
      <c r="D9" s="42"/>
      <c r="E9" s="55">
        <f t="shared" si="0"/>
        <v>9.5056963183888205E-2</v>
      </c>
      <c r="F9" s="29"/>
      <c r="G9" s="42"/>
      <c r="H9" s="55">
        <f t="shared" si="1"/>
        <v>9.8234579568867289E-2</v>
      </c>
      <c r="I9" s="29"/>
      <c r="J9" s="55">
        <f t="shared" si="6"/>
        <v>9.083122103373531E-2</v>
      </c>
      <c r="K9" s="55"/>
      <c r="L9" s="55"/>
      <c r="M9" s="29"/>
      <c r="N9" s="29"/>
      <c r="O9" s="55">
        <f t="shared" si="2"/>
        <v>9.0022862004074347E-2</v>
      </c>
      <c r="P9" s="55">
        <f t="shared" si="2"/>
        <v>9.0918583138403744E-2</v>
      </c>
      <c r="Q9" s="29"/>
      <c r="R9" s="29"/>
      <c r="S9" s="29"/>
      <c r="T9" s="55">
        <f t="shared" si="3"/>
        <v>8.8422789661505491E-2</v>
      </c>
      <c r="U9" s="55">
        <f t="shared" si="3"/>
        <v>9.0918583138403758E-2</v>
      </c>
      <c r="V9" s="29"/>
      <c r="W9" s="29"/>
      <c r="X9" s="55">
        <f t="shared" si="4"/>
        <v>9.404801143562605E-2</v>
      </c>
      <c r="Y9" s="55">
        <f t="shared" si="4"/>
        <v>9.0602864070378653E-2</v>
      </c>
      <c r="Z9" s="29"/>
      <c r="AB9" s="55">
        <f t="shared" si="5"/>
        <v>9.4364251114423536E-2</v>
      </c>
    </row>
    <row r="10" spans="2:28" ht="9.9499999999999993" customHeight="1" x14ac:dyDescent="0.15">
      <c r="B10" s="57" t="s">
        <v>55</v>
      </c>
      <c r="C10" s="42"/>
      <c r="D10" s="42"/>
      <c r="E10" s="55">
        <f t="shared" si="0"/>
        <v>8.5050031214917471E-2</v>
      </c>
      <c r="F10" s="29"/>
      <c r="G10" s="42"/>
      <c r="H10" s="55">
        <f t="shared" si="1"/>
        <v>9.1272178635522935E-2</v>
      </c>
      <c r="I10" s="29"/>
      <c r="J10" s="55">
        <f t="shared" si="6"/>
        <v>8.6963735240668624E-2</v>
      </c>
      <c r="K10" s="55"/>
      <c r="L10" s="55"/>
      <c r="M10" s="29"/>
      <c r="N10" s="29"/>
      <c r="O10" s="55">
        <f t="shared" ref="O10:O16" si="7">AVERAGE(O61,O49,O37,O25)</f>
        <v>8.7477464038360042E-2</v>
      </c>
      <c r="P10" s="55">
        <f t="shared" ref="P10:P16" si="8">AVERAGE(P73,P61,P49,P37)</f>
        <v>8.8268380080710113E-2</v>
      </c>
      <c r="Q10" s="29"/>
      <c r="R10" s="29"/>
      <c r="S10" s="29"/>
      <c r="T10" s="55">
        <f t="shared" ref="T10:T16" si="9">AVERAGE(T61,T49,T37,T25)</f>
        <v>8.8762891285185219E-2</v>
      </c>
      <c r="U10" s="55">
        <f t="shared" ref="U10:U16" si="10">AVERAGE(U73,U61,U49,U37)</f>
        <v>8.8268380080710113E-2</v>
      </c>
      <c r="V10" s="29"/>
      <c r="W10" s="29"/>
      <c r="X10" s="55">
        <f t="shared" ref="X10:X16" si="11">AVERAGE(X61,X49,X37,X25)</f>
        <v>8.4650850398460598E-2</v>
      </c>
      <c r="Y10" s="55">
        <f t="shared" ref="Y10:Y16" si="12">AVERAGE(Y73,Y61,Y49,Y37)</f>
        <v>8.7951035347429332E-2</v>
      </c>
      <c r="Z10" s="29"/>
      <c r="AB10" s="55">
        <f t="shared" si="5"/>
        <v>8.7498753172037952E-2</v>
      </c>
    </row>
    <row r="11" spans="2:28" ht="9.9499999999999993" customHeight="1" x14ac:dyDescent="0.15">
      <c r="B11" s="57" t="s">
        <v>56</v>
      </c>
      <c r="C11" s="42"/>
      <c r="D11" s="42"/>
      <c r="E11" s="55">
        <f t="shared" si="0"/>
        <v>8.6599482936585273E-2</v>
      </c>
      <c r="F11" s="29"/>
      <c r="G11" s="42"/>
      <c r="H11" s="55">
        <f t="shared" si="1"/>
        <v>9.4203355868508101E-2</v>
      </c>
      <c r="I11" s="29"/>
      <c r="J11" s="55">
        <f t="shared" si="6"/>
        <v>8.9279536996980921E-2</v>
      </c>
      <c r="K11" s="55"/>
      <c r="L11" s="55"/>
      <c r="M11" s="29"/>
      <c r="N11" s="29"/>
      <c r="O11" s="55">
        <f t="shared" si="7"/>
        <v>8.995767192741197E-2</v>
      </c>
      <c r="P11" s="55">
        <f t="shared" si="8"/>
        <v>8.7125754441793143E-2</v>
      </c>
      <c r="Q11" s="29"/>
      <c r="R11" s="29"/>
      <c r="S11" s="29"/>
      <c r="T11" s="55">
        <f t="shared" si="9"/>
        <v>9.1078895049848063E-2</v>
      </c>
      <c r="U11" s="55">
        <f t="shared" si="10"/>
        <v>8.7125754441793143E-2</v>
      </c>
      <c r="V11" s="29"/>
      <c r="W11" s="29"/>
      <c r="X11" s="55">
        <f t="shared" si="11"/>
        <v>8.6802044013682689E-2</v>
      </c>
      <c r="Y11" s="55">
        <f t="shared" si="12"/>
        <v>8.6815039872692457E-2</v>
      </c>
      <c r="Z11" s="29"/>
      <c r="AB11" s="55">
        <f t="shared" si="5"/>
        <v>9.00306780289966E-2</v>
      </c>
    </row>
    <row r="12" spans="2:28" ht="9.9499999999999993" customHeight="1" x14ac:dyDescent="0.15">
      <c r="B12" s="57" t="s">
        <v>57</v>
      </c>
      <c r="C12" s="42"/>
      <c r="D12" s="42"/>
      <c r="E12" s="55">
        <f t="shared" si="0"/>
        <v>8.0846255404083966E-2</v>
      </c>
      <c r="F12" s="29"/>
      <c r="G12" s="42"/>
      <c r="H12" s="55">
        <f t="shared" si="1"/>
        <v>8.3132019547620395E-2</v>
      </c>
      <c r="I12" s="29"/>
      <c r="J12" s="55">
        <f t="shared" si="6"/>
        <v>8.0812193271112762E-2</v>
      </c>
      <c r="K12" s="55"/>
      <c r="L12" s="55"/>
      <c r="M12" s="29"/>
      <c r="N12" s="29"/>
      <c r="O12" s="55">
        <f t="shared" si="7"/>
        <v>8.1386659452448384E-2</v>
      </c>
      <c r="P12" s="55">
        <f t="shared" si="8"/>
        <v>8.0589023142928984E-2</v>
      </c>
      <c r="Q12" s="29"/>
      <c r="R12" s="29"/>
      <c r="S12" s="29"/>
      <c r="T12" s="55">
        <f t="shared" si="9"/>
        <v>8.2451787157490741E-2</v>
      </c>
      <c r="U12" s="55">
        <f t="shared" si="10"/>
        <v>8.0589023142928984E-2</v>
      </c>
      <c r="V12" s="29"/>
      <c r="W12" s="29"/>
      <c r="X12" s="55">
        <f t="shared" si="11"/>
        <v>7.8598133203399173E-2</v>
      </c>
      <c r="Y12" s="55">
        <f t="shared" si="12"/>
        <v>8.0310364992628586E-2</v>
      </c>
      <c r="Z12" s="29"/>
      <c r="AB12" s="55">
        <f t="shared" si="5"/>
        <v>8.1438010045640843E-2</v>
      </c>
    </row>
    <row r="13" spans="2:28" ht="9.9499999999999993" customHeight="1" x14ac:dyDescent="0.15">
      <c r="B13" s="57" t="s">
        <v>58</v>
      </c>
      <c r="C13" s="42"/>
      <c r="D13" s="42"/>
      <c r="E13" s="55">
        <f t="shared" si="0"/>
        <v>8.1908249764947372E-2</v>
      </c>
      <c r="F13" s="29"/>
      <c r="G13" s="42"/>
      <c r="H13" s="55">
        <f t="shared" si="1"/>
        <v>8.0257245665374927E-2</v>
      </c>
      <c r="I13" s="29"/>
      <c r="J13" s="55">
        <f t="shared" si="6"/>
        <v>8.4692564918786017E-2</v>
      </c>
      <c r="K13" s="55"/>
      <c r="L13" s="55"/>
      <c r="M13" s="29"/>
      <c r="N13" s="29"/>
      <c r="O13" s="55">
        <f t="shared" si="7"/>
        <v>8.5204321406291902E-2</v>
      </c>
      <c r="P13" s="55">
        <f t="shared" si="8"/>
        <v>8.5368950939801916E-2</v>
      </c>
      <c r="Q13" s="29"/>
      <c r="R13" s="29"/>
      <c r="S13" s="29"/>
      <c r="T13" s="55">
        <f t="shared" si="9"/>
        <v>8.6443756868529398E-2</v>
      </c>
      <c r="U13" s="55">
        <f t="shared" si="10"/>
        <v>8.5368950939801916E-2</v>
      </c>
      <c r="V13" s="29"/>
      <c r="W13" s="29"/>
      <c r="X13" s="55">
        <f t="shared" si="11"/>
        <v>8.2429616481536724E-2</v>
      </c>
      <c r="Y13" s="55">
        <f t="shared" si="12"/>
        <v>8.5064324646462783E-2</v>
      </c>
      <c r="Z13" s="29"/>
      <c r="AB13" s="55">
        <f t="shared" si="5"/>
        <v>8.1735217189744303E-2</v>
      </c>
    </row>
    <row r="14" spans="2:28" ht="9.9499999999999993" customHeight="1" x14ac:dyDescent="0.15">
      <c r="B14" s="57" t="s">
        <v>59</v>
      </c>
      <c r="C14" s="42"/>
      <c r="D14" s="42"/>
      <c r="E14" s="55">
        <f t="shared" si="0"/>
        <v>7.7395832614512952E-2</v>
      </c>
      <c r="F14" s="29"/>
      <c r="G14" s="42"/>
      <c r="H14" s="55">
        <f t="shared" si="1"/>
        <v>7.2160448244430783E-2</v>
      </c>
      <c r="I14" s="29"/>
      <c r="J14" s="55">
        <f t="shared" si="6"/>
        <v>7.4823289491418629E-2</v>
      </c>
      <c r="K14" s="55"/>
      <c r="L14" s="55"/>
      <c r="M14" s="29"/>
      <c r="N14" s="29"/>
      <c r="O14" s="55">
        <f t="shared" si="7"/>
        <v>7.5322620124537651E-2</v>
      </c>
      <c r="P14" s="55">
        <f t="shared" si="8"/>
        <v>7.4432954139816931E-2</v>
      </c>
      <c r="Q14" s="29"/>
      <c r="R14" s="29"/>
      <c r="S14" s="29"/>
      <c r="T14" s="55">
        <f t="shared" si="9"/>
        <v>7.6331814131499115E-2</v>
      </c>
      <c r="U14" s="55">
        <f t="shared" si="10"/>
        <v>7.4432954139816931E-2</v>
      </c>
      <c r="V14" s="29"/>
      <c r="W14" s="29"/>
      <c r="X14" s="55">
        <f t="shared" si="11"/>
        <v>7.2815434218219122E-2</v>
      </c>
      <c r="Y14" s="55">
        <f t="shared" si="12"/>
        <v>7.4168161957873957E-2</v>
      </c>
      <c r="Z14" s="29"/>
      <c r="AB14" s="55">
        <f t="shared" si="5"/>
        <v>7.4890020694885998E-2</v>
      </c>
    </row>
    <row r="15" spans="2:28" ht="9.9499999999999993" customHeight="1" x14ac:dyDescent="0.15">
      <c r="B15" s="57" t="s">
        <v>60</v>
      </c>
      <c r="C15" s="42"/>
      <c r="D15" s="42"/>
      <c r="E15" s="55">
        <f t="shared" si="0"/>
        <v>6.6426641054386296E-2</v>
      </c>
      <c r="F15" s="29"/>
      <c r="G15" s="42"/>
      <c r="H15" s="55">
        <f t="shared" si="1"/>
        <v>6.084459991821816E-2</v>
      </c>
      <c r="I15" s="29"/>
      <c r="J15" s="55">
        <f t="shared" si="6"/>
        <v>6.5478390452945831E-2</v>
      </c>
      <c r="K15" s="55"/>
      <c r="L15" s="55"/>
      <c r="M15" s="29"/>
      <c r="N15" s="29"/>
      <c r="O15" s="55">
        <f t="shared" si="7"/>
        <v>6.5919258032213893E-2</v>
      </c>
      <c r="P15" s="55">
        <f t="shared" si="8"/>
        <v>6.5857499191818117E-2</v>
      </c>
      <c r="Q15" s="29"/>
      <c r="R15" s="29"/>
      <c r="S15" s="29"/>
      <c r="T15" s="55">
        <f t="shared" si="9"/>
        <v>6.6833216206414664E-2</v>
      </c>
      <c r="U15" s="55">
        <f t="shared" si="10"/>
        <v>6.5857499191818117E-2</v>
      </c>
      <c r="V15" s="29"/>
      <c r="W15" s="29"/>
      <c r="X15" s="55">
        <f t="shared" si="11"/>
        <v>6.3682697120208909E-2</v>
      </c>
      <c r="Y15" s="55">
        <f t="shared" si="12"/>
        <v>6.5627866005503313E-2</v>
      </c>
      <c r="Z15" s="29"/>
      <c r="AB15" s="55">
        <f t="shared" si="5"/>
        <v>6.4081858761377689E-2</v>
      </c>
    </row>
    <row r="16" spans="2:28" ht="9.9499999999999993" customHeight="1" x14ac:dyDescent="0.15">
      <c r="B16" s="57" t="s">
        <v>61</v>
      </c>
      <c r="C16" s="42"/>
      <c r="D16" s="42"/>
      <c r="E16" s="55">
        <f t="shared" si="0"/>
        <v>7.9067334425156469E-2</v>
      </c>
      <c r="F16" s="29"/>
      <c r="G16" s="42"/>
      <c r="H16" s="55">
        <f t="shared" si="1"/>
        <v>7.3789273141264447E-2</v>
      </c>
      <c r="I16" s="29"/>
      <c r="J16" s="55">
        <f t="shared" si="6"/>
        <v>8.0980022912335956E-2</v>
      </c>
      <c r="K16" s="55"/>
      <c r="L16" s="55"/>
      <c r="M16" s="29"/>
      <c r="N16" s="29"/>
      <c r="O16" s="55">
        <f t="shared" si="7"/>
        <v>8.151061085948054E-2</v>
      </c>
      <c r="P16" s="55">
        <f t="shared" si="8"/>
        <v>8.1016041789896673E-2</v>
      </c>
      <c r="Q16" s="29"/>
      <c r="R16" s="29"/>
      <c r="S16" s="29"/>
      <c r="T16" s="55">
        <f t="shared" si="9"/>
        <v>8.2645140506078171E-2</v>
      </c>
      <c r="U16" s="55">
        <f t="shared" si="10"/>
        <v>8.1167817239138546E-2</v>
      </c>
      <c r="V16" s="29"/>
      <c r="W16" s="29"/>
      <c r="X16" s="55">
        <f t="shared" si="11"/>
        <v>7.878431737144917E-2</v>
      </c>
      <c r="Y16" s="55">
        <f t="shared" si="12"/>
        <v>8.0726737125960915E-2</v>
      </c>
      <c r="Z16" s="29"/>
      <c r="AB16" s="55">
        <f t="shared" si="5"/>
        <v>7.7688555125821387E-2</v>
      </c>
    </row>
    <row r="17" spans="2:28" ht="9.9499999999999993" customHeight="1" thickBot="1" x14ac:dyDescent="0.2">
      <c r="B17" s="62" t="s">
        <v>62</v>
      </c>
      <c r="C17" s="63"/>
      <c r="D17" s="63"/>
      <c r="E17" s="64">
        <f>SUM(E5:E16)</f>
        <v>1.0000000423780999</v>
      </c>
      <c r="F17" s="65"/>
      <c r="G17" s="63"/>
      <c r="H17" s="64">
        <f>SUM(H5:H16)</f>
        <v>1.0000014722984663</v>
      </c>
      <c r="I17" s="65"/>
      <c r="J17" s="64">
        <f>SUM(J5:J16)</f>
        <v>1.0000003568480158</v>
      </c>
      <c r="K17" s="64"/>
      <c r="L17" s="64"/>
      <c r="M17" s="65"/>
      <c r="N17" s="65"/>
      <c r="O17" s="64">
        <f>SUM(O5:O16)</f>
        <v>0.99999921159107352</v>
      </c>
      <c r="P17" s="64">
        <f>SUM(P5:P16)</f>
        <v>1</v>
      </c>
      <c r="Q17" s="65"/>
      <c r="R17" s="65"/>
      <c r="S17" s="65"/>
      <c r="T17" s="64">
        <f>SUM(T5:T16)</f>
        <v>1.0000018268634459</v>
      </c>
      <c r="U17" s="64">
        <f>SUM(U5:U16)</f>
        <v>1.0001517754492419</v>
      </c>
      <c r="V17" s="65"/>
      <c r="W17" s="65"/>
      <c r="X17" s="64">
        <f>SUM(X5:X16)</f>
        <v>1.0000000320895284</v>
      </c>
      <c r="Y17" s="64">
        <f>SUM(Y5:Y16)</f>
        <v>0.99645728227309682</v>
      </c>
      <c r="Z17" s="65"/>
      <c r="AB17" s="64">
        <f>SUM(AB5:AB16)</f>
        <v>1.0007017714015474</v>
      </c>
    </row>
    <row r="18" spans="2:28" ht="9.9499999999999993" customHeight="1" thickTop="1" x14ac:dyDescent="0.15">
      <c r="B18" s="61"/>
      <c r="C18" s="47"/>
      <c r="D18" s="47"/>
      <c r="E18" s="47"/>
      <c r="F18" s="47"/>
      <c r="G18" s="47"/>
      <c r="H18" s="47"/>
      <c r="I18" s="47"/>
      <c r="J18" s="47"/>
      <c r="K18" s="47"/>
      <c r="L18" s="47"/>
      <c r="M18" s="47"/>
      <c r="N18" s="47"/>
      <c r="O18" s="47"/>
      <c r="P18" s="47"/>
      <c r="Q18" s="47"/>
      <c r="R18" s="47"/>
      <c r="S18" s="47"/>
      <c r="T18" s="47"/>
      <c r="U18" s="47"/>
      <c r="V18" s="47"/>
      <c r="W18" s="47"/>
      <c r="X18" s="47"/>
      <c r="Y18" s="47"/>
      <c r="Z18" s="47"/>
      <c r="AB18" s="47"/>
    </row>
    <row r="19" spans="2:28" ht="9.9499999999999993" customHeight="1" x14ac:dyDescent="0.15">
      <c r="B19" s="61"/>
      <c r="C19" s="47"/>
      <c r="D19" s="47"/>
      <c r="E19" s="47"/>
      <c r="F19" s="47"/>
      <c r="G19" s="47"/>
      <c r="H19" s="47"/>
      <c r="I19" s="47"/>
      <c r="J19" s="15" t="s">
        <v>112</v>
      </c>
      <c r="K19" s="47"/>
      <c r="L19" s="47"/>
      <c r="M19" s="47"/>
      <c r="N19" s="47"/>
      <c r="O19" s="47"/>
      <c r="P19" s="47"/>
      <c r="Q19" s="47"/>
      <c r="R19" s="47"/>
      <c r="S19" s="47"/>
      <c r="T19" s="47"/>
      <c r="U19" s="47"/>
      <c r="V19" s="47"/>
      <c r="W19" s="47"/>
      <c r="X19" s="47"/>
      <c r="Y19" s="47"/>
      <c r="Z19" s="47"/>
      <c r="AB19" s="47"/>
    </row>
    <row r="20" spans="2:28" ht="9.9499999999999993" customHeight="1" x14ac:dyDescent="0.15">
      <c r="B20" s="48">
        <v>41012</v>
      </c>
      <c r="C20" s="51">
        <v>5693.7099343496038</v>
      </c>
      <c r="D20" s="51"/>
      <c r="E20" s="55">
        <f>C20/71329</f>
        <v>7.9823212639313662E-2</v>
      </c>
      <c r="F20" s="44">
        <v>3453.58</v>
      </c>
      <c r="G20" s="51"/>
      <c r="H20" s="55">
        <f>F20/45887</f>
        <v>7.5262710571621594E-2</v>
      </c>
      <c r="I20" s="50"/>
      <c r="J20" s="50"/>
      <c r="K20" s="50"/>
      <c r="L20" s="50"/>
      <c r="M20" s="50"/>
      <c r="N20" s="50"/>
      <c r="O20" s="50"/>
      <c r="P20" s="50"/>
      <c r="Q20" s="50"/>
      <c r="R20" s="50"/>
      <c r="S20" s="50"/>
      <c r="T20" s="50"/>
      <c r="U20" s="50"/>
      <c r="V20" s="50"/>
      <c r="W20" s="50"/>
      <c r="X20" s="50"/>
      <c r="Y20" s="50"/>
      <c r="Z20" s="48">
        <v>41000</v>
      </c>
      <c r="AB20" s="55"/>
    </row>
    <row r="21" spans="2:28" ht="9.9499999999999993" customHeight="1" x14ac:dyDescent="0.15">
      <c r="B21" s="48">
        <v>41045</v>
      </c>
      <c r="C21" s="51">
        <v>6461.0235251811728</v>
      </c>
      <c r="D21" s="51"/>
      <c r="E21" s="55">
        <f t="shared" ref="E21:E31" si="13">C21/71329</f>
        <v>9.0580598707134169E-2</v>
      </c>
      <c r="F21" s="45">
        <v>3056.66</v>
      </c>
      <c r="G21" s="51"/>
      <c r="H21" s="55">
        <f t="shared" ref="H21:H31" si="14">F21/45887</f>
        <v>6.6612766142916294E-2</v>
      </c>
      <c r="I21" s="50"/>
      <c r="J21" s="50"/>
      <c r="K21" s="50"/>
      <c r="L21" s="50"/>
      <c r="M21" s="50"/>
      <c r="N21" s="50"/>
      <c r="O21" s="50"/>
      <c r="P21" s="50"/>
      <c r="Q21" s="50"/>
      <c r="R21" s="50"/>
      <c r="S21" s="50"/>
      <c r="T21" s="50"/>
      <c r="U21" s="50"/>
      <c r="V21" s="50"/>
      <c r="W21" s="50"/>
      <c r="X21" s="50"/>
      <c r="Y21" s="50"/>
      <c r="Z21" s="48">
        <v>41030</v>
      </c>
      <c r="AB21" s="55"/>
    </row>
    <row r="22" spans="2:28" ht="9.9499999999999993" customHeight="1" x14ac:dyDescent="0.15">
      <c r="B22" s="48">
        <v>41073</v>
      </c>
      <c r="C22" s="51">
        <v>6179.5927881937196</v>
      </c>
      <c r="D22" s="51"/>
      <c r="E22" s="55">
        <f t="shared" si="13"/>
        <v>8.663506831995009E-2</v>
      </c>
      <c r="F22" s="45">
        <v>3703.76</v>
      </c>
      <c r="G22" s="51"/>
      <c r="H22" s="55">
        <f t="shared" si="14"/>
        <v>8.0714799398522469E-2</v>
      </c>
      <c r="I22" s="50"/>
      <c r="J22" s="50"/>
      <c r="K22" s="50"/>
      <c r="L22" s="50"/>
      <c r="M22" s="50"/>
      <c r="N22" s="50"/>
      <c r="O22" s="50"/>
      <c r="P22" s="50"/>
      <c r="Q22" s="50"/>
      <c r="R22" s="50"/>
      <c r="S22" s="50"/>
      <c r="T22" s="50"/>
      <c r="U22" s="50"/>
      <c r="V22" s="50"/>
      <c r="W22" s="50"/>
      <c r="X22" s="50"/>
      <c r="Y22" s="50"/>
      <c r="Z22" s="48">
        <v>41061</v>
      </c>
      <c r="AB22" s="55"/>
    </row>
    <row r="23" spans="2:28" ht="9.9499999999999993" customHeight="1" x14ac:dyDescent="0.15">
      <c r="B23" s="48">
        <v>41101</v>
      </c>
      <c r="C23" s="51">
        <v>6411.8394300434275</v>
      </c>
      <c r="D23" s="51"/>
      <c r="E23" s="55">
        <f t="shared" si="13"/>
        <v>8.9891060158468886E-2</v>
      </c>
      <c r="F23" s="45">
        <v>3890.44</v>
      </c>
      <c r="G23" s="51"/>
      <c r="H23" s="55">
        <f t="shared" si="14"/>
        <v>8.4783054024015522E-2</v>
      </c>
      <c r="I23" s="50"/>
      <c r="J23" s="50"/>
      <c r="K23" s="50"/>
      <c r="L23" s="50"/>
      <c r="M23" s="50"/>
      <c r="N23" s="50"/>
      <c r="O23" s="50"/>
      <c r="P23" s="50"/>
      <c r="Q23" s="50"/>
      <c r="R23" s="50"/>
      <c r="S23" s="50"/>
      <c r="T23" s="50"/>
      <c r="U23" s="50"/>
      <c r="V23" s="50"/>
      <c r="W23" s="50"/>
      <c r="X23" s="50"/>
      <c r="Y23" s="50"/>
      <c r="Z23" s="48">
        <v>41091</v>
      </c>
      <c r="AB23" s="55"/>
    </row>
    <row r="24" spans="2:28" ht="9.9499999999999993" customHeight="1" x14ac:dyDescent="0.15">
      <c r="B24" s="48">
        <v>41129</v>
      </c>
      <c r="C24" s="51">
        <v>6767.281654590066</v>
      </c>
      <c r="D24" s="51"/>
      <c r="E24" s="55">
        <f t="shared" si="13"/>
        <v>9.4874197795988532E-2</v>
      </c>
      <c r="F24" s="45">
        <v>4693.46</v>
      </c>
      <c r="G24" s="51"/>
      <c r="H24" s="55">
        <f t="shared" si="14"/>
        <v>0.10228299954235405</v>
      </c>
      <c r="I24" s="50"/>
      <c r="J24" s="50"/>
      <c r="K24" s="50"/>
      <c r="L24" s="50"/>
      <c r="M24" s="50"/>
      <c r="N24" s="50"/>
      <c r="O24" s="50"/>
      <c r="P24" s="50"/>
      <c r="Q24" s="50"/>
      <c r="R24" s="50"/>
      <c r="S24" s="50"/>
      <c r="T24" s="50"/>
      <c r="U24" s="50"/>
      <c r="V24" s="50"/>
      <c r="W24" s="50"/>
      <c r="X24" s="50"/>
      <c r="Y24" s="50"/>
      <c r="Z24" s="48">
        <v>41122</v>
      </c>
      <c r="AB24" s="55"/>
    </row>
    <row r="25" spans="2:28" ht="9.9499999999999993" customHeight="1" x14ac:dyDescent="0.15">
      <c r="B25" s="48">
        <v>41164</v>
      </c>
      <c r="C25" s="51">
        <v>6054.9434296986519</v>
      </c>
      <c r="D25" s="51"/>
      <c r="E25" s="55">
        <f t="shared" si="13"/>
        <v>8.4887541248281226E-2</v>
      </c>
      <c r="F25" s="45">
        <v>4639.37</v>
      </c>
      <c r="G25" s="51"/>
      <c r="H25" s="55">
        <f t="shared" si="14"/>
        <v>0.10110423431472966</v>
      </c>
      <c r="I25" s="50"/>
      <c r="J25" s="54">
        <f t="shared" ref="J25:J56" si="15">V25+R25+M25</f>
        <v>28079</v>
      </c>
      <c r="K25" s="55"/>
      <c r="L25" s="55"/>
      <c r="M25" s="45">
        <v>8409.4314775882813</v>
      </c>
      <c r="N25" s="45"/>
      <c r="O25" s="55">
        <f>M25/97243</f>
        <v>8.6478527786969558E-2</v>
      </c>
      <c r="P25" s="55"/>
      <c r="Q25" s="45"/>
      <c r="R25" s="45">
        <v>9981.4154262554948</v>
      </c>
      <c r="S25" s="45"/>
      <c r="T25" s="55">
        <f>R25/120438</f>
        <v>8.2875964614619102E-2</v>
      </c>
      <c r="U25" s="55"/>
      <c r="V25" s="45">
        <v>9688.1530961562239</v>
      </c>
      <c r="W25" s="45"/>
      <c r="X25" s="55">
        <f>V25/128327</f>
        <v>7.5495827816096567E-2</v>
      </c>
      <c r="Y25" s="55"/>
      <c r="Z25" s="48">
        <v>41153</v>
      </c>
      <c r="AB25" s="55">
        <f t="shared" ref="AB25:AB56" si="16">AVERAGE(E25,O25,T25,X25,H25)</f>
        <v>8.6168419156139209E-2</v>
      </c>
    </row>
    <row r="26" spans="2:28" ht="9.9499999999999993" customHeight="1" x14ac:dyDescent="0.15">
      <c r="B26" s="48">
        <v>41199</v>
      </c>
      <c r="C26" s="51">
        <v>6164.2626032404287</v>
      </c>
      <c r="D26" s="51"/>
      <c r="E26" s="55">
        <f t="shared" si="13"/>
        <v>8.6420146129069925E-2</v>
      </c>
      <c r="F26" s="45">
        <v>4819.8100000000004</v>
      </c>
      <c r="G26" s="51"/>
      <c r="H26" s="55">
        <f t="shared" si="14"/>
        <v>0.10503650271318675</v>
      </c>
      <c r="I26" s="50"/>
      <c r="J26" s="54">
        <f t="shared" si="15"/>
        <v>32007</v>
      </c>
      <c r="K26" s="55"/>
      <c r="L26" s="55"/>
      <c r="M26" s="45">
        <v>9585.8354394091002</v>
      </c>
      <c r="N26" s="45"/>
      <c r="O26" s="55">
        <f t="shared" ref="O26:O36" si="17">M26/97243</f>
        <v>9.8576097399392243E-2</v>
      </c>
      <c r="P26" s="55"/>
      <c r="Q26" s="45"/>
      <c r="R26" s="45">
        <v>11377.725828845743</v>
      </c>
      <c r="S26" s="45"/>
      <c r="T26" s="55">
        <f t="shared" ref="T26:T36" si="18">R26/120438</f>
        <v>9.4469567983906599E-2</v>
      </c>
      <c r="U26" s="55"/>
      <c r="V26" s="45">
        <v>11043.438731745156</v>
      </c>
      <c r="W26" s="45"/>
      <c r="X26" s="55">
        <f t="shared" ref="X26:X36" si="19">V26/128327</f>
        <v>8.605701630790992E-2</v>
      </c>
      <c r="Y26" s="55"/>
      <c r="Z26" s="48">
        <v>41183</v>
      </c>
      <c r="AB26" s="55">
        <f t="shared" si="16"/>
        <v>9.4111866106693087E-2</v>
      </c>
    </row>
    <row r="27" spans="2:28" ht="9.9499999999999993" customHeight="1" x14ac:dyDescent="0.15">
      <c r="B27" s="48">
        <v>41234</v>
      </c>
      <c r="C27" s="51">
        <v>5754.4110320193013</v>
      </c>
      <c r="D27" s="51"/>
      <c r="E27" s="55">
        <f t="shared" si="13"/>
        <v>8.0674214303008612E-2</v>
      </c>
      <c r="F27" s="45">
        <v>4550.29</v>
      </c>
      <c r="G27" s="51"/>
      <c r="H27" s="55">
        <f t="shared" si="14"/>
        <v>9.9162943753132698E-2</v>
      </c>
      <c r="I27" s="50"/>
      <c r="J27" s="54">
        <f t="shared" si="15"/>
        <v>27906</v>
      </c>
      <c r="K27" s="55"/>
      <c r="L27" s="55"/>
      <c r="M27" s="45">
        <v>8357.6193886384335</v>
      </c>
      <c r="N27" s="45"/>
      <c r="O27" s="55">
        <f t="shared" si="17"/>
        <v>8.5945717312695347E-2</v>
      </c>
      <c r="P27" s="55"/>
      <c r="Q27" s="45"/>
      <c r="R27" s="45">
        <v>9919.9180485446723</v>
      </c>
      <c r="S27" s="45"/>
      <c r="T27" s="55">
        <f t="shared" si="18"/>
        <v>8.2365350209607197E-2</v>
      </c>
      <c r="U27" s="55"/>
      <c r="V27" s="45">
        <v>9628.4625628168942</v>
      </c>
      <c r="W27" s="45"/>
      <c r="X27" s="55">
        <f t="shared" si="19"/>
        <v>7.5030683821930649E-2</v>
      </c>
      <c r="Y27" s="55"/>
      <c r="Z27" s="48">
        <v>41214</v>
      </c>
      <c r="AB27" s="55">
        <f t="shared" si="16"/>
        <v>8.4635781880074895E-2</v>
      </c>
    </row>
    <row r="28" spans="2:28" ht="9.9499999999999993" customHeight="1" x14ac:dyDescent="0.15">
      <c r="B28" s="48">
        <v>41262</v>
      </c>
      <c r="C28" s="51">
        <v>5830.9070462498912</v>
      </c>
      <c r="D28" s="51"/>
      <c r="E28" s="55">
        <f t="shared" si="13"/>
        <v>8.1746653482453011E-2</v>
      </c>
      <c r="F28" s="45">
        <v>4161.66</v>
      </c>
      <c r="G28" s="51"/>
      <c r="H28" s="55">
        <f t="shared" si="14"/>
        <v>9.0693660513871024E-2</v>
      </c>
      <c r="I28" s="50"/>
      <c r="J28" s="54">
        <f t="shared" si="15"/>
        <v>27426</v>
      </c>
      <c r="K28" s="55"/>
      <c r="L28" s="55"/>
      <c r="M28" s="45">
        <v>8213.8633036908795</v>
      </c>
      <c r="N28" s="45"/>
      <c r="O28" s="55">
        <f t="shared" si="17"/>
        <v>8.4467399233784227E-2</v>
      </c>
      <c r="P28" s="55"/>
      <c r="Q28" s="45"/>
      <c r="R28" s="45">
        <v>9749.2894861100176</v>
      </c>
      <c r="S28" s="45"/>
      <c r="T28" s="55">
        <f t="shared" si="18"/>
        <v>8.0948616600325624E-2</v>
      </c>
      <c r="U28" s="55"/>
      <c r="V28" s="45">
        <v>9462.8472101991028</v>
      </c>
      <c r="W28" s="45"/>
      <c r="X28" s="55">
        <f t="shared" si="19"/>
        <v>7.3740110890140834E-2</v>
      </c>
      <c r="Y28" s="55"/>
      <c r="Z28" s="48">
        <v>41244</v>
      </c>
      <c r="AB28" s="55">
        <f t="shared" si="16"/>
        <v>8.2319288144114947E-2</v>
      </c>
    </row>
    <row r="29" spans="2:28" ht="9.9499999999999993" customHeight="1" x14ac:dyDescent="0.15">
      <c r="B29" s="48">
        <v>41290</v>
      </c>
      <c r="C29" s="51">
        <v>5508.7884612072394</v>
      </c>
      <c r="D29" s="51"/>
      <c r="E29" s="55">
        <f t="shared" si="13"/>
        <v>7.7230698049983032E-2</v>
      </c>
      <c r="F29" s="45">
        <v>3121.59</v>
      </c>
      <c r="G29" s="51"/>
      <c r="H29" s="55">
        <f t="shared" si="14"/>
        <v>6.8027763854686521E-2</v>
      </c>
      <c r="I29" s="50"/>
      <c r="J29" s="54">
        <f t="shared" si="15"/>
        <v>25536</v>
      </c>
      <c r="K29" s="55"/>
      <c r="L29" s="55"/>
      <c r="M29" s="45">
        <v>7647.8237192098841</v>
      </c>
      <c r="N29" s="45"/>
      <c r="O29" s="55">
        <f t="shared" si="17"/>
        <v>7.8646521798071675E-2</v>
      </c>
      <c r="P29" s="55"/>
      <c r="Q29" s="45"/>
      <c r="R29" s="45">
        <v>9077.4395215235691</v>
      </c>
      <c r="S29" s="45"/>
      <c r="T29" s="55">
        <f t="shared" si="18"/>
        <v>7.5370228013779447E-2</v>
      </c>
      <c r="U29" s="55"/>
      <c r="V29" s="45">
        <v>8810.7367592665469</v>
      </c>
      <c r="W29" s="45"/>
      <c r="X29" s="55">
        <f t="shared" si="19"/>
        <v>6.865847997121842E-2</v>
      </c>
      <c r="Y29" s="55"/>
      <c r="Z29" s="48">
        <v>41275</v>
      </c>
      <c r="AB29" s="55">
        <f t="shared" si="16"/>
        <v>7.3586738337547822E-2</v>
      </c>
    </row>
    <row r="30" spans="2:28" ht="9.9499999999999993" customHeight="1" x14ac:dyDescent="0.15">
      <c r="B30" s="48">
        <v>41318</v>
      </c>
      <c r="C30" s="51">
        <v>4728.3759929486159</v>
      </c>
      <c r="D30" s="51"/>
      <c r="E30" s="55">
        <f t="shared" si="13"/>
        <v>6.6289671703635492E-2</v>
      </c>
      <c r="F30" s="45">
        <v>2658.44</v>
      </c>
      <c r="G30" s="51"/>
      <c r="H30" s="55">
        <f t="shared" si="14"/>
        <v>5.7934491250245169E-2</v>
      </c>
      <c r="I30" s="50"/>
      <c r="J30" s="54">
        <f t="shared" si="15"/>
        <v>21915</v>
      </c>
      <c r="K30" s="55"/>
      <c r="L30" s="55"/>
      <c r="M30" s="45">
        <v>6563.3637533867723</v>
      </c>
      <c r="N30" s="45"/>
      <c r="O30" s="55">
        <f t="shared" si="17"/>
        <v>6.7494459790285899E-2</v>
      </c>
      <c r="P30" s="55"/>
      <c r="Q30" s="45"/>
      <c r="R30" s="45">
        <v>7790.2603036571518</v>
      </c>
      <c r="S30" s="45"/>
      <c r="T30" s="55">
        <f t="shared" si="18"/>
        <v>6.4682743848761617E-2</v>
      </c>
      <c r="U30" s="55"/>
      <c r="V30" s="45">
        <v>7561.375942956076</v>
      </c>
      <c r="W30" s="45"/>
      <c r="X30" s="55">
        <f t="shared" si="19"/>
        <v>5.8922720417028965E-2</v>
      </c>
      <c r="Y30" s="55"/>
      <c r="Z30" s="48">
        <v>41306</v>
      </c>
      <c r="AB30" s="55">
        <f t="shared" si="16"/>
        <v>6.3064817401991421E-2</v>
      </c>
    </row>
    <row r="31" spans="2:28" ht="9.9499999999999993" customHeight="1" x14ac:dyDescent="0.15">
      <c r="B31" s="48">
        <v>41346</v>
      </c>
      <c r="C31" s="51">
        <v>5774.2107831388548</v>
      </c>
      <c r="D31" s="54">
        <f>SUM(C20:C31)</f>
        <v>71329.346680860966</v>
      </c>
      <c r="E31" s="55">
        <f t="shared" si="13"/>
        <v>8.0951797770035402E-2</v>
      </c>
      <c r="F31" s="45">
        <v>3137.77</v>
      </c>
      <c r="G31" s="54">
        <f>SUM(F20:F31)</f>
        <v>45886.829999999994</v>
      </c>
      <c r="H31" s="55">
        <f t="shared" si="14"/>
        <v>6.8380369167738139E-2</v>
      </c>
      <c r="I31" s="50"/>
      <c r="J31" s="54">
        <f t="shared" si="15"/>
        <v>27132</v>
      </c>
      <c r="K31" s="55"/>
      <c r="L31" s="55"/>
      <c r="M31" s="45">
        <v>8125.8127016605022</v>
      </c>
      <c r="N31" s="45"/>
      <c r="O31" s="55">
        <f t="shared" si="17"/>
        <v>8.3561929410451166E-2</v>
      </c>
      <c r="P31" s="55"/>
      <c r="Q31" s="45"/>
      <c r="R31" s="45">
        <v>9644.7794916187922</v>
      </c>
      <c r="S31" s="45"/>
      <c r="T31" s="55">
        <f t="shared" si="18"/>
        <v>8.0080867264640657E-2</v>
      </c>
      <c r="U31" s="55"/>
      <c r="V31" s="45">
        <v>9361.4078067207047</v>
      </c>
      <c r="W31" s="45"/>
      <c r="X31" s="55">
        <f t="shared" si="19"/>
        <v>7.2949634969419572E-2</v>
      </c>
      <c r="Y31" s="55"/>
      <c r="Z31" s="48">
        <v>41334</v>
      </c>
      <c r="AB31" s="55">
        <f t="shared" si="16"/>
        <v>7.7184919716456996E-2</v>
      </c>
    </row>
    <row r="32" spans="2:28" ht="9.9499999999999993" customHeight="1" x14ac:dyDescent="0.15">
      <c r="B32" s="48">
        <v>41376</v>
      </c>
      <c r="C32" s="45">
        <v>5482.3589469097042</v>
      </c>
      <c r="D32" s="45"/>
      <c r="E32" s="55">
        <f>C32/68682</f>
        <v>7.9822354429249356E-2</v>
      </c>
      <c r="F32" s="45">
        <v>3274.12</v>
      </c>
      <c r="G32" s="45"/>
      <c r="H32" s="55">
        <f>F32/41759</f>
        <v>7.8405134222562803E-2</v>
      </c>
      <c r="I32" s="50"/>
      <c r="J32" s="54">
        <f t="shared" si="15"/>
        <v>29005.073669400437</v>
      </c>
      <c r="K32" s="55"/>
      <c r="L32" s="55"/>
      <c r="M32" s="45">
        <v>7499.9095391172968</v>
      </c>
      <c r="N32" s="45"/>
      <c r="O32" s="55">
        <f t="shared" si="17"/>
        <v>7.7125443878914651E-2</v>
      </c>
      <c r="P32" s="55">
        <f>M32/91177</f>
        <v>8.2256594745575062E-2</v>
      </c>
      <c r="Q32" s="45"/>
      <c r="R32" s="45">
        <v>9834.7629809704449</v>
      </c>
      <c r="S32" s="45"/>
      <c r="T32" s="55">
        <f t="shared" si="18"/>
        <v>8.1658305360189018E-2</v>
      </c>
      <c r="U32" s="55">
        <f>R32/119562</f>
        <v>8.2256594745575062E-2</v>
      </c>
      <c r="V32" s="45">
        <v>11670.401149312698</v>
      </c>
      <c r="W32" s="45"/>
      <c r="X32" s="55">
        <f t="shared" si="19"/>
        <v>9.0942678854120315E-2</v>
      </c>
      <c r="Y32" s="55">
        <f>V32/141878</f>
        <v>8.2256594745575062E-2</v>
      </c>
      <c r="Z32" s="48">
        <v>41365</v>
      </c>
      <c r="AB32" s="55">
        <f t="shared" si="16"/>
        <v>8.159078334900724E-2</v>
      </c>
    </row>
    <row r="33" spans="2:28" ht="9.9499999999999993" customHeight="1" x14ac:dyDescent="0.15">
      <c r="B33" s="48">
        <v>41410</v>
      </c>
      <c r="C33" s="45">
        <v>6221.1897932797165</v>
      </c>
      <c r="D33" s="45"/>
      <c r="E33" s="55">
        <f t="shared" ref="E33:E43" si="20">C33/68682</f>
        <v>9.057962484027425E-2</v>
      </c>
      <c r="F33" s="45">
        <v>3669.2</v>
      </c>
      <c r="G33" s="45"/>
      <c r="H33" s="55">
        <f t="shared" ref="H33:H43" si="21">F33/41759</f>
        <v>8.7866088747335896E-2</v>
      </c>
      <c r="I33" s="50"/>
      <c r="J33" s="54">
        <f t="shared" si="15"/>
        <v>30572.972065646176</v>
      </c>
      <c r="K33" s="55"/>
      <c r="L33" s="55"/>
      <c r="M33" s="45">
        <v>7905.3246838054365</v>
      </c>
      <c r="N33" s="45"/>
      <c r="O33" s="55">
        <f t="shared" si="17"/>
        <v>8.1294537229470873E-2</v>
      </c>
      <c r="P33" s="55">
        <f t="shared" ref="P33:P43" si="22">M33/91177</f>
        <v>8.6703057611079951E-2</v>
      </c>
      <c r="Q33" s="45"/>
      <c r="R33" s="45">
        <v>10366.390974095941</v>
      </c>
      <c r="S33" s="45"/>
      <c r="T33" s="55">
        <f t="shared" si="18"/>
        <v>8.6072427091914025E-2</v>
      </c>
      <c r="U33" s="55">
        <f t="shared" ref="U33:U42" si="23">R33/119562</f>
        <v>8.6703057611079951E-2</v>
      </c>
      <c r="V33" s="45">
        <v>12301.256407744801</v>
      </c>
      <c r="W33" s="45"/>
      <c r="X33" s="55">
        <f t="shared" si="19"/>
        <v>9.585867672231721E-2</v>
      </c>
      <c r="Y33" s="55">
        <f t="shared" ref="Y33:Y43" si="24">V33/141878</f>
        <v>8.6703057611079951E-2</v>
      </c>
      <c r="Z33" s="48">
        <v>41395</v>
      </c>
      <c r="AB33" s="55">
        <f t="shared" si="16"/>
        <v>8.8334270926262448E-2</v>
      </c>
    </row>
    <row r="34" spans="2:28" ht="9.9499999999999993" customHeight="1" x14ac:dyDescent="0.15">
      <c r="B34" s="48">
        <v>41437</v>
      </c>
      <c r="C34" s="45">
        <v>5950.2057887117353</v>
      </c>
      <c r="D34" s="45"/>
      <c r="E34" s="55">
        <f t="shared" si="20"/>
        <v>8.6634136873005085E-2</v>
      </c>
      <c r="F34" s="45">
        <v>3632.79</v>
      </c>
      <c r="G34" s="45"/>
      <c r="H34" s="55">
        <f t="shared" si="21"/>
        <v>8.6994180895136372E-2</v>
      </c>
      <c r="I34" s="50"/>
      <c r="J34" s="54">
        <f t="shared" si="15"/>
        <v>29842.402585953572</v>
      </c>
      <c r="K34" s="55"/>
      <c r="L34" s="55"/>
      <c r="M34" s="45">
        <v>7716.419629738466</v>
      </c>
      <c r="N34" s="45"/>
      <c r="O34" s="55">
        <f t="shared" si="17"/>
        <v>7.9351928979345204E-2</v>
      </c>
      <c r="P34" s="55">
        <f t="shared" si="22"/>
        <v>8.4631207757860705E-2</v>
      </c>
      <c r="Q34" s="45"/>
      <c r="R34" s="45">
        <v>10118.676461945342</v>
      </c>
      <c r="S34" s="45"/>
      <c r="T34" s="55">
        <f t="shared" si="18"/>
        <v>8.4015646738947361E-2</v>
      </c>
      <c r="U34" s="55">
        <f t="shared" si="23"/>
        <v>8.4631207757860719E-2</v>
      </c>
      <c r="V34" s="45">
        <v>12007.306494269762</v>
      </c>
      <c r="W34" s="45"/>
      <c r="X34" s="55">
        <f t="shared" si="19"/>
        <v>9.3568044871848957E-2</v>
      </c>
      <c r="Y34" s="55">
        <f t="shared" si="24"/>
        <v>8.4631207757860705E-2</v>
      </c>
      <c r="Z34" s="48">
        <v>41426</v>
      </c>
      <c r="AB34" s="55">
        <f t="shared" si="16"/>
        <v>8.6112787671656602E-2</v>
      </c>
    </row>
    <row r="35" spans="2:28" ht="9.9499999999999993" customHeight="1" x14ac:dyDescent="0.15">
      <c r="B35" s="48">
        <v>41465</v>
      </c>
      <c r="C35" s="45">
        <v>6173.8314158538951</v>
      </c>
      <c r="D35" s="45"/>
      <c r="E35" s="55">
        <f t="shared" si="20"/>
        <v>8.9890093705103161E-2</v>
      </c>
      <c r="F35" s="45">
        <v>4241.7700000000004</v>
      </c>
      <c r="G35" s="45"/>
      <c r="H35" s="55">
        <f t="shared" si="21"/>
        <v>0.10157738451591275</v>
      </c>
      <c r="I35" s="50"/>
      <c r="J35" s="54">
        <f t="shared" si="15"/>
        <v>34019.627218408001</v>
      </c>
      <c r="K35" s="55"/>
      <c r="L35" s="55"/>
      <c r="M35" s="45">
        <v>8796.5343443248239</v>
      </c>
      <c r="N35" s="45"/>
      <c r="O35" s="55">
        <f t="shared" si="17"/>
        <v>9.0459306524118183E-2</v>
      </c>
      <c r="P35" s="55">
        <f t="shared" si="22"/>
        <v>9.6477558422900775E-2</v>
      </c>
      <c r="Q35" s="45"/>
      <c r="R35" s="45">
        <v>11535.049840158861</v>
      </c>
      <c r="S35" s="45"/>
      <c r="T35" s="55">
        <f t="shared" si="18"/>
        <v>9.5775833542228045E-2</v>
      </c>
      <c r="U35" s="55">
        <f t="shared" si="23"/>
        <v>9.6477558422900761E-2</v>
      </c>
      <c r="V35" s="45">
        <v>13688.043033924316</v>
      </c>
      <c r="W35" s="45"/>
      <c r="X35" s="55">
        <f t="shared" si="19"/>
        <v>0.10666533959279276</v>
      </c>
      <c r="Y35" s="55">
        <f t="shared" si="24"/>
        <v>9.6477558422900775E-2</v>
      </c>
      <c r="Z35" s="48">
        <v>41456</v>
      </c>
      <c r="AB35" s="55">
        <f t="shared" si="16"/>
        <v>9.6873591576030982E-2</v>
      </c>
    </row>
    <row r="36" spans="2:28" ht="9.9499999999999993" customHeight="1" x14ac:dyDescent="0.15">
      <c r="B36" s="48">
        <v>41493</v>
      </c>
      <c r="C36" s="45">
        <v>6516.079595392629</v>
      </c>
      <c r="D36" s="45"/>
      <c r="E36" s="55">
        <f t="shared" si="20"/>
        <v>9.4873177766993236E-2</v>
      </c>
      <c r="F36" s="45">
        <v>4204.96</v>
      </c>
      <c r="G36" s="45"/>
      <c r="H36" s="55">
        <f t="shared" si="21"/>
        <v>0.10069589789027515</v>
      </c>
      <c r="I36" s="50"/>
      <c r="J36" s="54">
        <f t="shared" si="15"/>
        <v>32566.861548188321</v>
      </c>
      <c r="K36" s="55"/>
      <c r="L36" s="55"/>
      <c r="M36" s="45">
        <v>8420.8893370970945</v>
      </c>
      <c r="N36" s="54">
        <f>SUM(M25:M36)</f>
        <v>97242.827317666961</v>
      </c>
      <c r="O36" s="55">
        <f t="shared" si="17"/>
        <v>8.6596354874871148E-2</v>
      </c>
      <c r="P36" s="55">
        <f t="shared" si="22"/>
        <v>9.2357604846585159E-2</v>
      </c>
      <c r="Q36" s="45"/>
      <c r="R36" s="45">
        <v>11042.459950667415</v>
      </c>
      <c r="S36" s="54">
        <f>SUM(R25:R36)</f>
        <v>120438.16831439344</v>
      </c>
      <c r="T36" s="55">
        <f t="shared" si="18"/>
        <v>9.1685846250082317E-2</v>
      </c>
      <c r="U36" s="55">
        <f t="shared" si="23"/>
        <v>9.2357604846585159E-2</v>
      </c>
      <c r="V36" s="45">
        <v>13103.512260423809</v>
      </c>
      <c r="W36" s="54">
        <f>SUM(V25:V36)</f>
        <v>128326.94145553611</v>
      </c>
      <c r="X36" s="55">
        <f t="shared" si="19"/>
        <v>0.10211032955203356</v>
      </c>
      <c r="Y36" s="55">
        <f t="shared" si="24"/>
        <v>9.2357604846585159E-2</v>
      </c>
      <c r="Z36" s="48">
        <v>41487</v>
      </c>
      <c r="AB36" s="55">
        <f t="shared" si="16"/>
        <v>9.5192321266851079E-2</v>
      </c>
    </row>
    <row r="37" spans="2:28" ht="9.9499999999999993" customHeight="1" x14ac:dyDescent="0.15">
      <c r="B37" s="48">
        <v>41521</v>
      </c>
      <c r="C37" s="45">
        <v>5830.1834247958523</v>
      </c>
      <c r="D37" s="45"/>
      <c r="E37" s="55">
        <f t="shared" si="20"/>
        <v>8.4886628589671997E-2</v>
      </c>
      <c r="F37" s="45">
        <v>3639.07</v>
      </c>
      <c r="G37" s="45"/>
      <c r="H37" s="55">
        <f t="shared" si="21"/>
        <v>8.7144567638113943E-2</v>
      </c>
      <c r="I37" s="50"/>
      <c r="J37" s="54">
        <f t="shared" si="15"/>
        <v>30173.147507992056</v>
      </c>
      <c r="K37" s="55"/>
      <c r="L37" s="55"/>
      <c r="M37" s="45">
        <v>7801.9411155338275</v>
      </c>
      <c r="N37" s="45"/>
      <c r="O37" s="55">
        <f>M37/91774</f>
        <v>8.5012542937366001E-2</v>
      </c>
      <c r="P37" s="55">
        <f t="shared" si="22"/>
        <v>8.5569179897713538E-2</v>
      </c>
      <c r="Q37" s="45"/>
      <c r="R37" s="45">
        <v>10230.822286930426</v>
      </c>
      <c r="S37" s="45"/>
      <c r="T37" s="55">
        <f>R37/118499</f>
        <v>8.6336781634700932E-2</v>
      </c>
      <c r="U37" s="55">
        <f t="shared" si="23"/>
        <v>8.5569179897713538E-2</v>
      </c>
      <c r="V37" s="45">
        <v>12140.384105527803</v>
      </c>
      <c r="W37" s="45"/>
      <c r="X37" s="55">
        <f>V37/138947</f>
        <v>8.7374208191093025E-2</v>
      </c>
      <c r="Y37" s="55">
        <f t="shared" si="24"/>
        <v>8.5569179897713551E-2</v>
      </c>
      <c r="Z37" s="48">
        <v>41518</v>
      </c>
      <c r="AB37" s="55">
        <f t="shared" si="16"/>
        <v>8.6150945798189188E-2</v>
      </c>
    </row>
    <row r="38" spans="2:28" ht="9.9499999999999993" customHeight="1" x14ac:dyDescent="0.15">
      <c r="B38" s="48">
        <v>41557</v>
      </c>
      <c r="C38" s="45">
        <v>5935.444661501966</v>
      </c>
      <c r="D38" s="45"/>
      <c r="E38" s="55">
        <f t="shared" si="20"/>
        <v>8.6419216992836057E-2</v>
      </c>
      <c r="F38" s="45">
        <v>3922.53</v>
      </c>
      <c r="G38" s="45"/>
      <c r="H38" s="55">
        <f t="shared" si="21"/>
        <v>9.3932565434996049E-2</v>
      </c>
      <c r="I38" s="50"/>
      <c r="J38" s="54">
        <f t="shared" si="15"/>
        <v>31359.014586060432</v>
      </c>
      <c r="K38" s="55"/>
      <c r="L38" s="55"/>
      <c r="M38" s="45">
        <v>8108.5735313760588</v>
      </c>
      <c r="N38" s="45"/>
      <c r="O38" s="55">
        <f t="shared" ref="O38:O48" si="25">M38/91774</f>
        <v>8.8353711632663492E-2</v>
      </c>
      <c r="P38" s="55">
        <f t="shared" si="22"/>
        <v>8.89322255763631E-2</v>
      </c>
      <c r="Q38" s="45"/>
      <c r="R38" s="45">
        <v>10632.914754361125</v>
      </c>
      <c r="S38" s="45"/>
      <c r="T38" s="55">
        <f t="shared" ref="T38:T48" si="26">R38/118499</f>
        <v>8.9729995648580363E-2</v>
      </c>
      <c r="U38" s="55">
        <f t="shared" si="23"/>
        <v>8.89322255763631E-2</v>
      </c>
      <c r="V38" s="45">
        <v>12617.526300323245</v>
      </c>
      <c r="W38" s="45"/>
      <c r="X38" s="55">
        <f t="shared" ref="X38:X48" si="27">V38/138947</f>
        <v>9.0808195213450058E-2</v>
      </c>
      <c r="Y38" s="55">
        <f t="shared" si="24"/>
        <v>8.8932225576363114E-2</v>
      </c>
      <c r="Z38" s="48">
        <v>41548</v>
      </c>
      <c r="AB38" s="55">
        <f t="shared" si="16"/>
        <v>8.9848736984505212E-2</v>
      </c>
    </row>
    <row r="39" spans="2:28" ht="9.9499999999999993" customHeight="1" x14ac:dyDescent="0.15">
      <c r="B39" s="48">
        <v>41591</v>
      </c>
      <c r="C39" s="45">
        <v>5540.8068147733347</v>
      </c>
      <c r="D39" s="45"/>
      <c r="E39" s="55">
        <f t="shared" si="20"/>
        <v>8.0673346943498078E-2</v>
      </c>
      <c r="F39" s="45">
        <v>3376.88</v>
      </c>
      <c r="G39" s="45"/>
      <c r="H39" s="55">
        <f t="shared" si="21"/>
        <v>8.086592111880074E-2</v>
      </c>
      <c r="I39" s="50"/>
      <c r="J39" s="54">
        <f t="shared" si="15"/>
        <v>28464.99651822367</v>
      </c>
      <c r="K39" s="55"/>
      <c r="L39" s="55"/>
      <c r="M39" s="45">
        <v>7360.2605306666428</v>
      </c>
      <c r="N39" s="45"/>
      <c r="O39" s="55">
        <f t="shared" si="25"/>
        <v>8.0199844516602115E-2</v>
      </c>
      <c r="P39" s="55">
        <f t="shared" si="22"/>
        <v>8.0724969352650805E-2</v>
      </c>
      <c r="Q39" s="45"/>
      <c r="R39" s="45">
        <v>9651.6387857416357</v>
      </c>
      <c r="S39" s="45"/>
      <c r="T39" s="55">
        <f t="shared" si="26"/>
        <v>8.1449115905970815E-2</v>
      </c>
      <c r="U39" s="55">
        <f t="shared" si="23"/>
        <v>8.0724969352650805E-2</v>
      </c>
      <c r="V39" s="45">
        <v>11453.097201815392</v>
      </c>
      <c r="W39" s="45"/>
      <c r="X39" s="55">
        <f t="shared" si="27"/>
        <v>8.2427812056506372E-2</v>
      </c>
      <c r="Y39" s="55">
        <f t="shared" si="24"/>
        <v>8.0724969352650805E-2</v>
      </c>
      <c r="Z39" s="48">
        <v>41579</v>
      </c>
      <c r="AB39" s="55">
        <f t="shared" si="16"/>
        <v>8.1123208108275627E-2</v>
      </c>
    </row>
    <row r="40" spans="2:28" ht="9.9499999999999993" customHeight="1" x14ac:dyDescent="0.15">
      <c r="B40" s="48">
        <v>41619</v>
      </c>
      <c r="C40" s="45">
        <v>5614.4632905783164</v>
      </c>
      <c r="D40" s="45"/>
      <c r="E40" s="55">
        <f t="shared" si="20"/>
        <v>8.1745774592736326E-2</v>
      </c>
      <c r="F40" s="45">
        <v>3260.82</v>
      </c>
      <c r="G40" s="45"/>
      <c r="H40" s="55">
        <f t="shared" si="21"/>
        <v>7.8086640005747263E-2</v>
      </c>
      <c r="I40" s="50"/>
      <c r="J40" s="54">
        <f t="shared" si="15"/>
        <v>29372.451731538127</v>
      </c>
      <c r="K40" s="55"/>
      <c r="L40" s="55"/>
      <c r="M40" s="45">
        <v>7594.903341377335</v>
      </c>
      <c r="N40" s="45"/>
      <c r="O40" s="55">
        <f t="shared" si="25"/>
        <v>8.275659055263293E-2</v>
      </c>
      <c r="P40" s="55">
        <f t="shared" si="22"/>
        <v>8.329845620471539E-2</v>
      </c>
      <c r="Q40" s="45"/>
      <c r="R40" s="45">
        <v>9959.3300207481807</v>
      </c>
      <c r="S40" s="45"/>
      <c r="T40" s="55">
        <f t="shared" si="26"/>
        <v>8.4045688324358686E-2</v>
      </c>
      <c r="U40" s="55">
        <f t="shared" si="23"/>
        <v>8.329845620471539E-2</v>
      </c>
      <c r="V40" s="45">
        <v>11818.218369412611</v>
      </c>
      <c r="W40" s="45"/>
      <c r="X40" s="55">
        <f t="shared" si="27"/>
        <v>8.5055585003005543E-2</v>
      </c>
      <c r="Y40" s="55">
        <f t="shared" si="24"/>
        <v>8.329845620471539E-2</v>
      </c>
      <c r="Z40" s="48">
        <v>41609</v>
      </c>
      <c r="AB40" s="55">
        <f t="shared" si="16"/>
        <v>8.2338055695696161E-2</v>
      </c>
    </row>
    <row r="41" spans="2:28" ht="9.9499999999999993" customHeight="1" x14ac:dyDescent="0.15">
      <c r="B41" s="48">
        <v>41647</v>
      </c>
      <c r="C41" s="45">
        <v>5304.3017742670354</v>
      </c>
      <c r="D41" s="45"/>
      <c r="E41" s="55">
        <f t="shared" si="20"/>
        <v>7.7229867713040329E-2</v>
      </c>
      <c r="F41" s="45">
        <v>3094.86</v>
      </c>
      <c r="G41" s="45"/>
      <c r="H41" s="55">
        <f t="shared" si="21"/>
        <v>7.4112406906295655E-2</v>
      </c>
      <c r="I41" s="50"/>
      <c r="J41" s="54">
        <f t="shared" si="15"/>
        <v>26973.504385613407</v>
      </c>
      <c r="K41" s="55"/>
      <c r="L41" s="55"/>
      <c r="M41" s="45">
        <v>6974.6019317476857</v>
      </c>
      <c r="N41" s="45"/>
      <c r="O41" s="55">
        <f t="shared" si="25"/>
        <v>7.5997580270530718E-2</v>
      </c>
      <c r="P41" s="55">
        <f t="shared" si="22"/>
        <v>7.6495189924516996E-2</v>
      </c>
      <c r="Q41" s="45"/>
      <c r="R41" s="45">
        <v>9145.9178977551001</v>
      </c>
      <c r="S41" s="45"/>
      <c r="T41" s="55">
        <f t="shared" si="26"/>
        <v>7.7181393072980359E-2</v>
      </c>
      <c r="U41" s="55">
        <f t="shared" si="23"/>
        <v>7.6495189924516982E-2</v>
      </c>
      <c r="V41" s="45">
        <v>10852.984556110621</v>
      </c>
      <c r="W41" s="45"/>
      <c r="X41" s="55">
        <f t="shared" si="27"/>
        <v>7.8108808078696343E-2</v>
      </c>
      <c r="Y41" s="55">
        <f t="shared" si="24"/>
        <v>7.6495189924516982E-2</v>
      </c>
      <c r="Z41" s="48">
        <v>41640</v>
      </c>
      <c r="AB41" s="55">
        <f t="shared" si="16"/>
        <v>7.6526011208308681E-2</v>
      </c>
    </row>
    <row r="42" spans="2:28" ht="9.9499999999999993" customHeight="1" x14ac:dyDescent="0.15">
      <c r="B42" s="48">
        <v>41675</v>
      </c>
      <c r="C42" s="45">
        <v>4552.8582818920968</v>
      </c>
      <c r="D42" s="45"/>
      <c r="E42" s="55">
        <f t="shared" si="20"/>
        <v>6.6288958997875666E-2</v>
      </c>
      <c r="F42" s="45">
        <v>2416.7399999999998</v>
      </c>
      <c r="G42" s="45"/>
      <c r="H42" s="55">
        <f t="shared" si="21"/>
        <v>5.7873512296750397E-2</v>
      </c>
      <c r="I42" s="50"/>
      <c r="J42" s="54">
        <f t="shared" si="15"/>
        <v>22261.435907710664</v>
      </c>
      <c r="K42" s="55"/>
      <c r="L42" s="55"/>
      <c r="M42" s="45">
        <v>5756.1913967770561</v>
      </c>
      <c r="N42" s="45"/>
      <c r="O42" s="55">
        <f t="shared" si="25"/>
        <v>6.2721374210310724E-2</v>
      </c>
      <c r="P42" s="55">
        <f t="shared" si="22"/>
        <v>6.3132055197879469E-2</v>
      </c>
      <c r="Q42" s="45"/>
      <c r="R42" s="45">
        <v>7548.1947835688652</v>
      </c>
      <c r="S42" s="45"/>
      <c r="T42" s="55">
        <f t="shared" si="26"/>
        <v>6.3698383813946657E-2</v>
      </c>
      <c r="U42" s="55">
        <f t="shared" si="23"/>
        <v>6.3132055197879469E-2</v>
      </c>
      <c r="V42" s="45">
        <v>8957.0497273647434</v>
      </c>
      <c r="W42" s="45"/>
      <c r="X42" s="55">
        <f t="shared" si="27"/>
        <v>6.4463786388801084E-2</v>
      </c>
      <c r="Y42" s="55">
        <f t="shared" si="24"/>
        <v>6.3132055197879469E-2</v>
      </c>
      <c r="Z42" s="48">
        <v>41671</v>
      </c>
      <c r="AB42" s="55">
        <f t="shared" si="16"/>
        <v>6.3009203141536907E-2</v>
      </c>
    </row>
    <row r="43" spans="2:28" ht="9.9499999999999993" customHeight="1" x14ac:dyDescent="0.15">
      <c r="B43" s="48">
        <v>41703</v>
      </c>
      <c r="C43" s="45">
        <v>5559.8715974806528</v>
      </c>
      <c r="D43" s="54">
        <f>SUM(C32:C43)</f>
        <v>68681.595385436929</v>
      </c>
      <c r="E43" s="55">
        <f t="shared" si="20"/>
        <v>8.0950927426118244E-2</v>
      </c>
      <c r="F43" s="44">
        <v>3025.7</v>
      </c>
      <c r="G43" s="54">
        <f>SUM(F32:F43)</f>
        <v>41759.439999999995</v>
      </c>
      <c r="H43" s="55">
        <f t="shared" si="21"/>
        <v>7.2456236978854852E-2</v>
      </c>
      <c r="I43" s="50"/>
      <c r="J43" s="54">
        <f t="shared" si="15"/>
        <v>28005.512275265144</v>
      </c>
      <c r="K43" s="55"/>
      <c r="L43" s="55"/>
      <c r="M43" s="45">
        <v>7241.4506184382763</v>
      </c>
      <c r="N43" s="54">
        <f>SUM(M32:M43)</f>
        <v>91177</v>
      </c>
      <c r="O43" s="55">
        <f t="shared" si="25"/>
        <v>7.8905252233075554E-2</v>
      </c>
      <c r="P43" s="55">
        <f t="shared" si="22"/>
        <v>7.9421900462159051E-2</v>
      </c>
      <c r="Q43" s="45"/>
      <c r="R43" s="45">
        <v>9495.8412630566618</v>
      </c>
      <c r="S43" s="54">
        <f>SUM(R32:R43)</f>
        <v>119562.00000000001</v>
      </c>
      <c r="T43" s="55">
        <f t="shared" si="26"/>
        <v>8.0134357784088145E-2</v>
      </c>
      <c r="U43" s="55">
        <f>R43/118655</f>
        <v>8.0029002259126555E-2</v>
      </c>
      <c r="V43" s="45">
        <v>11268.220393770203</v>
      </c>
      <c r="W43" s="54">
        <f>SUM(V32:V43)</f>
        <v>141878</v>
      </c>
      <c r="X43" s="55">
        <f t="shared" si="27"/>
        <v>8.109725574334245E-2</v>
      </c>
      <c r="Y43" s="55">
        <f t="shared" si="24"/>
        <v>7.9421900462159065E-2</v>
      </c>
      <c r="Z43" s="48">
        <v>41699</v>
      </c>
      <c r="AB43" s="55">
        <f t="shared" si="16"/>
        <v>7.8708806033095852E-2</v>
      </c>
    </row>
    <row r="44" spans="2:28" ht="9.9499999999999993" customHeight="1" x14ac:dyDescent="0.15">
      <c r="B44" s="48">
        <v>41739</v>
      </c>
      <c r="C44" s="45">
        <v>5397.9493997803338</v>
      </c>
      <c r="D44" s="45"/>
      <c r="E44" s="55">
        <f>C44/67624</f>
        <v>7.9822982961379602E-2</v>
      </c>
      <c r="F44" s="45">
        <v>3232.15</v>
      </c>
      <c r="G44" s="45"/>
      <c r="H44" s="55">
        <f>F44/41352</f>
        <v>7.8161878506480945E-2</v>
      </c>
      <c r="I44" s="50"/>
      <c r="J44" s="54">
        <f t="shared" si="15"/>
        <v>29204.565838092043</v>
      </c>
      <c r="K44" s="55"/>
      <c r="L44" s="55"/>
      <c r="M44" s="45">
        <v>7833.835950621431</v>
      </c>
      <c r="N44" s="45"/>
      <c r="O44" s="55">
        <f t="shared" si="25"/>
        <v>8.5360079658960392E-2</v>
      </c>
      <c r="P44" s="55">
        <f>M44/93707</f>
        <v>8.359926100100773E-2</v>
      </c>
      <c r="Q44" s="45"/>
      <c r="R44" s="45">
        <v>9919.4703140745714</v>
      </c>
      <c r="S44" s="45"/>
      <c r="T44" s="55">
        <f t="shared" si="26"/>
        <v>8.3709316653090504E-2</v>
      </c>
      <c r="U44" s="55">
        <f t="shared" ref="U44:U55" si="28">R44/118655</f>
        <v>8.359926100100773E-2</v>
      </c>
      <c r="V44" s="45">
        <v>11451.259573396037</v>
      </c>
      <c r="W44" s="45"/>
      <c r="X44" s="55">
        <f t="shared" si="27"/>
        <v>8.2414586665390671E-2</v>
      </c>
      <c r="Y44" s="55">
        <f>V44/138947</f>
        <v>8.2414586665390671E-2</v>
      </c>
      <c r="Z44" s="48">
        <v>41730</v>
      </c>
      <c r="AB44" s="55">
        <f t="shared" si="16"/>
        <v>8.1893768889060414E-2</v>
      </c>
    </row>
    <row r="45" spans="2:28" ht="9.9499999999999993" customHeight="1" x14ac:dyDescent="0.15">
      <c r="B45" s="48">
        <v>41773</v>
      </c>
      <c r="C45" s="45">
        <v>6125.4047820935002</v>
      </c>
      <c r="D45" s="45"/>
      <c r="E45" s="55">
        <f t="shared" ref="E45:E55" si="29">C45/67624</f>
        <v>9.0580338076622205E-2</v>
      </c>
      <c r="F45" s="44">
        <v>3633.7</v>
      </c>
      <c r="G45" s="45"/>
      <c r="H45" s="55">
        <f t="shared" ref="H45:H55" si="30">F45/41352</f>
        <v>8.7872412458889534E-2</v>
      </c>
      <c r="I45" s="50"/>
      <c r="J45" s="54">
        <f t="shared" si="15"/>
        <v>30105.61795191708</v>
      </c>
      <c r="K45" s="55"/>
      <c r="L45" s="55"/>
      <c r="M45" s="45">
        <v>8075.534268678919</v>
      </c>
      <c r="N45" s="45"/>
      <c r="O45" s="55">
        <f t="shared" si="25"/>
        <v>8.7993704847548537E-2</v>
      </c>
      <c r="P45" s="55">
        <f t="shared" ref="P45:P55" si="31">M45/93707</f>
        <v>8.6178559431834542E-2</v>
      </c>
      <c r="Q45" s="45"/>
      <c r="R45" s="45">
        <v>10225.516969384327</v>
      </c>
      <c r="S45" s="45"/>
      <c r="T45" s="55">
        <f t="shared" si="26"/>
        <v>8.6292010644683309E-2</v>
      </c>
      <c r="U45" s="55">
        <f t="shared" si="28"/>
        <v>8.6178559431834542E-2</v>
      </c>
      <c r="V45" s="45">
        <v>11804.566713853832</v>
      </c>
      <c r="W45" s="45"/>
      <c r="X45" s="55">
        <f t="shared" si="27"/>
        <v>8.495733419112203E-2</v>
      </c>
      <c r="Y45" s="55">
        <f t="shared" ref="Y45:Y55" si="32">V45/138947</f>
        <v>8.495733419112203E-2</v>
      </c>
      <c r="Z45" s="48">
        <v>41760</v>
      </c>
      <c r="AB45" s="55">
        <f t="shared" si="16"/>
        <v>8.7539160043773129E-2</v>
      </c>
    </row>
    <row r="46" spans="2:28" ht="9.9499999999999993" customHeight="1" x14ac:dyDescent="0.15">
      <c r="B46" s="48">
        <v>41801</v>
      </c>
      <c r="C46" s="45">
        <v>5858.5930028990097</v>
      </c>
      <c r="D46" s="45"/>
      <c r="E46" s="55">
        <f t="shared" si="29"/>
        <v>8.6634819042041428E-2</v>
      </c>
      <c r="F46" s="44">
        <v>3717.2</v>
      </c>
      <c r="G46" s="45"/>
      <c r="H46" s="55">
        <f t="shared" si="30"/>
        <v>8.9891661830141217E-2</v>
      </c>
      <c r="I46" s="50"/>
      <c r="J46" s="54">
        <f t="shared" si="15"/>
        <v>29497.931642593216</v>
      </c>
      <c r="K46" s="55"/>
      <c r="L46" s="55"/>
      <c r="M46" s="45">
        <v>7912.5284262680552</v>
      </c>
      <c r="N46" s="45"/>
      <c r="O46" s="55">
        <f t="shared" si="25"/>
        <v>8.6217539022686765E-2</v>
      </c>
      <c r="P46" s="55">
        <f t="shared" si="31"/>
        <v>8.4439032583137383E-2</v>
      </c>
      <c r="Q46" s="45"/>
      <c r="R46" s="45">
        <v>10019.113411152166</v>
      </c>
      <c r="S46" s="45"/>
      <c r="T46" s="55">
        <f t="shared" si="26"/>
        <v>8.4550193766632337E-2</v>
      </c>
      <c r="U46" s="55">
        <f t="shared" si="28"/>
        <v>8.4439032583137383E-2</v>
      </c>
      <c r="V46" s="45">
        <v>11566.289805172994</v>
      </c>
      <c r="W46" s="45"/>
      <c r="X46" s="55">
        <f t="shared" si="27"/>
        <v>8.3242457952838092E-2</v>
      </c>
      <c r="Y46" s="55">
        <f t="shared" si="32"/>
        <v>8.3242457952838092E-2</v>
      </c>
      <c r="Z46" s="48">
        <v>41791</v>
      </c>
      <c r="AB46" s="55">
        <f t="shared" si="16"/>
        <v>8.6107334322867962E-2</v>
      </c>
    </row>
    <row r="47" spans="2:28" ht="9.9499999999999993" customHeight="1" x14ac:dyDescent="0.15">
      <c r="B47" s="48">
        <v>41829</v>
      </c>
      <c r="C47" s="45">
        <v>6078.7755614467223</v>
      </c>
      <c r="D47" s="45"/>
      <c r="E47" s="55">
        <f t="shared" si="29"/>
        <v>8.989080151198868E-2</v>
      </c>
      <c r="F47" s="44">
        <v>3963.2</v>
      </c>
      <c r="G47" s="45"/>
      <c r="H47" s="55">
        <f t="shared" si="30"/>
        <v>9.5840588121493514E-2</v>
      </c>
      <c r="I47" s="50"/>
      <c r="J47" s="54">
        <f t="shared" si="15"/>
        <v>32669.425536254137</v>
      </c>
      <c r="K47" s="55"/>
      <c r="L47" s="55"/>
      <c r="M47" s="45">
        <v>8763.2502969192374</v>
      </c>
      <c r="N47" s="45"/>
      <c r="O47" s="55">
        <f t="shared" si="25"/>
        <v>9.5487287215542935E-2</v>
      </c>
      <c r="P47" s="55">
        <f t="shared" si="31"/>
        <v>9.3517563222803385E-2</v>
      </c>
      <c r="Q47" s="45"/>
      <c r="R47" s="45">
        <v>11096.326464201737</v>
      </c>
      <c r="S47" s="45"/>
      <c r="T47" s="55">
        <f t="shared" si="26"/>
        <v>9.3640675990529346E-2</v>
      </c>
      <c r="U47" s="55">
        <f t="shared" si="28"/>
        <v>9.3517563222803399E-2</v>
      </c>
      <c r="V47" s="45">
        <v>12809.848775133163</v>
      </c>
      <c r="W47" s="45"/>
      <c r="X47" s="55">
        <f t="shared" si="27"/>
        <v>9.2192337906778582E-2</v>
      </c>
      <c r="Y47" s="55">
        <f t="shared" si="32"/>
        <v>9.2192337906778582E-2</v>
      </c>
      <c r="Z47" s="48">
        <v>41821</v>
      </c>
      <c r="AB47" s="55">
        <f t="shared" si="16"/>
        <v>9.3410338149266622E-2</v>
      </c>
    </row>
    <row r="48" spans="2:28" ht="9.9499999999999993" customHeight="1" x14ac:dyDescent="0.15">
      <c r="B48" s="48">
        <v>41857</v>
      </c>
      <c r="C48" s="45">
        <v>6415.7542914436672</v>
      </c>
      <c r="D48" s="45"/>
      <c r="E48" s="55">
        <f t="shared" si="29"/>
        <v>9.4873924811363822E-2</v>
      </c>
      <c r="F48" s="45">
        <v>3892.13</v>
      </c>
      <c r="G48" s="45"/>
      <c r="H48" s="55">
        <f t="shared" si="30"/>
        <v>9.4121928806345526E-2</v>
      </c>
      <c r="I48" s="50"/>
      <c r="J48" s="54">
        <f t="shared" si="15"/>
        <v>31132.398267671193</v>
      </c>
      <c r="K48" s="55"/>
      <c r="L48" s="55"/>
      <c r="M48" s="45">
        <v>8350.9579334421032</v>
      </c>
      <c r="N48" s="54">
        <f>SUM(M37:M48)</f>
        <v>91774.029341846632</v>
      </c>
      <c r="O48" s="55">
        <f t="shared" si="25"/>
        <v>9.0994812620590837E-2</v>
      </c>
      <c r="P48" s="55">
        <f t="shared" si="31"/>
        <v>8.9117759969288349E-2</v>
      </c>
      <c r="Q48" s="45"/>
      <c r="R48" s="45">
        <v>10574.26780915591</v>
      </c>
      <c r="S48" s="54">
        <f>SUM(R37:R48)</f>
        <v>118499.35476013069</v>
      </c>
      <c r="T48" s="55">
        <f t="shared" si="26"/>
        <v>8.9235080542079764E-2</v>
      </c>
      <c r="U48" s="55">
        <f t="shared" si="28"/>
        <v>8.9117759969288363E-2</v>
      </c>
      <c r="V48" s="45">
        <v>12207.17252507318</v>
      </c>
      <c r="W48" s="54">
        <f>SUM(V37:V48)</f>
        <v>138946.61804695381</v>
      </c>
      <c r="X48" s="55">
        <f t="shared" si="27"/>
        <v>8.7854883697187997E-2</v>
      </c>
      <c r="Y48" s="55">
        <f t="shared" si="32"/>
        <v>8.7854883697187997E-2</v>
      </c>
      <c r="Z48" s="48">
        <v>41852</v>
      </c>
      <c r="AB48" s="55">
        <f t="shared" si="16"/>
        <v>9.141612609551357E-2</v>
      </c>
    </row>
    <row r="49" spans="2:28" ht="9.9499999999999993" customHeight="1" x14ac:dyDescent="0.15">
      <c r="B49" s="48">
        <v>41892</v>
      </c>
      <c r="C49" s="45">
        <v>5740.4185722325992</v>
      </c>
      <c r="D49" s="45"/>
      <c r="E49" s="55">
        <f t="shared" si="29"/>
        <v>8.488729699858924E-2</v>
      </c>
      <c r="F49" s="45">
        <v>3780.22</v>
      </c>
      <c r="G49" s="45"/>
      <c r="H49" s="55">
        <f t="shared" si="30"/>
        <v>9.1415650996324233E-2</v>
      </c>
      <c r="I49" s="50"/>
      <c r="J49" s="54">
        <f t="shared" si="15"/>
        <v>31292.701725130766</v>
      </c>
      <c r="K49" s="55"/>
      <c r="L49" s="55"/>
      <c r="M49" s="45">
        <v>8393.957750491867</v>
      </c>
      <c r="N49" s="45"/>
      <c r="O49" s="55">
        <f>M49/94827</f>
        <v>8.8518647120460064E-2</v>
      </c>
      <c r="P49" s="55">
        <f t="shared" si="31"/>
        <v>8.9576635155237783E-2</v>
      </c>
      <c r="Q49" s="45"/>
      <c r="R49" s="45">
        <v>10628.715644344738</v>
      </c>
      <c r="S49" s="45"/>
      <c r="T49" s="55">
        <f>R49/113756</f>
        <v>9.3434330007601693E-2</v>
      </c>
      <c r="U49" s="55">
        <f t="shared" si="28"/>
        <v>8.9576635155237783E-2</v>
      </c>
      <c r="V49" s="45">
        <v>12270.028330294161</v>
      </c>
      <c r="W49" s="45"/>
      <c r="X49" s="55">
        <f>V49/137220</f>
        <v>8.9418658579610552E-2</v>
      </c>
      <c r="Y49" s="55">
        <f t="shared" si="32"/>
        <v>8.8307256222114619E-2</v>
      </c>
      <c r="Z49" s="48">
        <v>41883</v>
      </c>
      <c r="AB49" s="55">
        <f t="shared" si="16"/>
        <v>8.9534916740517168E-2</v>
      </c>
    </row>
    <row r="50" spans="2:28" ht="9.9499999999999993" customHeight="1" x14ac:dyDescent="0.15">
      <c r="B50" s="48">
        <v>41920</v>
      </c>
      <c r="C50" s="45">
        <v>5844.0591464817899</v>
      </c>
      <c r="D50" s="45"/>
      <c r="E50" s="55">
        <f t="shared" si="29"/>
        <v>8.6419897469563911E-2</v>
      </c>
      <c r="F50" s="45">
        <v>3844.77</v>
      </c>
      <c r="G50" s="45"/>
      <c r="H50" s="55">
        <f t="shared" si="30"/>
        <v>9.2976639582124196E-2</v>
      </c>
      <c r="I50" s="50"/>
      <c r="J50" s="54">
        <f t="shared" si="15"/>
        <v>30638.915075099576</v>
      </c>
      <c r="K50" s="55"/>
      <c r="L50" s="55"/>
      <c r="M50" s="45">
        <v>8218.5859476222467</v>
      </c>
      <c r="N50" s="45"/>
      <c r="O50" s="55">
        <f t="shared" ref="O50:O60" si="33">M50/94827</f>
        <v>8.6669260312171079E-2</v>
      </c>
      <c r="P50" s="55">
        <f t="shared" si="31"/>
        <v>8.7705144200777393E-2</v>
      </c>
      <c r="Q50" s="45"/>
      <c r="R50" s="45">
        <v>10406.653885143241</v>
      </c>
      <c r="S50" s="45"/>
      <c r="T50" s="55">
        <f t="shared" ref="T50:T60" si="34">R50/113756</f>
        <v>9.1482241685214336E-2</v>
      </c>
      <c r="U50" s="55">
        <f t="shared" si="28"/>
        <v>8.7705144200777393E-2</v>
      </c>
      <c r="V50" s="45">
        <v>12013.675242334086</v>
      </c>
      <c r="W50" s="45"/>
      <c r="X50" s="55">
        <f t="shared" ref="X50:X60" si="35">V50/137220</f>
        <v>8.755046817034022E-2</v>
      </c>
      <c r="Y50" s="55">
        <f t="shared" si="32"/>
        <v>8.646228592437466E-2</v>
      </c>
      <c r="Z50" s="48">
        <v>41913</v>
      </c>
      <c r="AB50" s="55">
        <f t="shared" si="16"/>
        <v>8.9019701443882757E-2</v>
      </c>
    </row>
    <row r="51" spans="2:28" ht="9.9499999999999993" customHeight="1" x14ac:dyDescent="0.15">
      <c r="B51" s="48">
        <v>41948</v>
      </c>
      <c r="C51" s="45">
        <v>5455.4973707009112</v>
      </c>
      <c r="D51" s="45"/>
      <c r="E51" s="55">
        <f t="shared" si="29"/>
        <v>8.0673982176459713E-2</v>
      </c>
      <c r="F51" s="44">
        <v>3193.13</v>
      </c>
      <c r="G51" s="45"/>
      <c r="H51" s="55">
        <f t="shared" si="30"/>
        <v>7.7218272393112797E-2</v>
      </c>
      <c r="I51" s="50"/>
      <c r="J51" s="54">
        <f t="shared" si="15"/>
        <v>27477.898531599407</v>
      </c>
      <c r="K51" s="55"/>
      <c r="L51" s="55"/>
      <c r="M51" s="45">
        <v>7370.6745225298719</v>
      </c>
      <c r="N51" s="45"/>
      <c r="O51" s="55">
        <f t="shared" si="33"/>
        <v>7.7727593644530274E-2</v>
      </c>
      <c r="P51" s="55">
        <f t="shared" si="31"/>
        <v>7.865660540333029E-2</v>
      </c>
      <c r="Q51" s="45"/>
      <c r="R51" s="45">
        <v>9332.999514132156</v>
      </c>
      <c r="S51" s="45"/>
      <c r="T51" s="55">
        <f t="shared" si="34"/>
        <v>8.2044019780338234E-2</v>
      </c>
      <c r="U51" s="55">
        <f t="shared" si="28"/>
        <v>7.865660540333029E-2</v>
      </c>
      <c r="V51" s="45">
        <v>10774.224494937376</v>
      </c>
      <c r="W51" s="45"/>
      <c r="X51" s="55">
        <f t="shared" si="35"/>
        <v>7.8517887297313627E-2</v>
      </c>
      <c r="Y51" s="55">
        <f t="shared" si="32"/>
        <v>7.7541972802128697E-2</v>
      </c>
      <c r="Z51" s="48">
        <v>41944</v>
      </c>
      <c r="AB51" s="55">
        <f t="shared" si="16"/>
        <v>7.9236351058350932E-2</v>
      </c>
    </row>
    <row r="52" spans="2:28" ht="9.9499999999999993" customHeight="1" x14ac:dyDescent="0.15">
      <c r="B52" s="48">
        <v>41984</v>
      </c>
      <c r="C52" s="45">
        <v>5528.019789099938</v>
      </c>
      <c r="D52" s="45"/>
      <c r="E52" s="55">
        <f t="shared" si="29"/>
        <v>8.1746418270139856E-2</v>
      </c>
      <c r="F52" s="45">
        <v>3325.02</v>
      </c>
      <c r="G52" s="45"/>
      <c r="H52" s="55">
        <f t="shared" si="30"/>
        <v>8.0407719094602439E-2</v>
      </c>
      <c r="I52" s="50"/>
      <c r="J52" s="54">
        <f t="shared" si="15"/>
        <v>30038.562910888239</v>
      </c>
      <c r="K52" s="55"/>
      <c r="L52" s="55"/>
      <c r="M52" s="45">
        <v>8057.547417102548</v>
      </c>
      <c r="N52" s="45"/>
      <c r="O52" s="55">
        <f t="shared" si="33"/>
        <v>8.4971025310328782E-2</v>
      </c>
      <c r="P52" s="55">
        <f t="shared" si="31"/>
        <v>8.5986611641633473E-2</v>
      </c>
      <c r="Q52" s="45"/>
      <c r="R52" s="45">
        <v>10202.741404338019</v>
      </c>
      <c r="S52" s="45"/>
      <c r="T52" s="55">
        <f t="shared" si="34"/>
        <v>8.9689699043022084E-2</v>
      </c>
      <c r="U52" s="55">
        <f t="shared" si="28"/>
        <v>8.5986611641633473E-2</v>
      </c>
      <c r="V52" s="45">
        <v>11778.27408944767</v>
      </c>
      <c r="W52" s="45"/>
      <c r="X52" s="55">
        <f t="shared" si="35"/>
        <v>8.5834966400289092E-2</v>
      </c>
      <c r="Y52" s="55">
        <f t="shared" si="32"/>
        <v>8.4768106468276899E-2</v>
      </c>
      <c r="Z52" s="48">
        <v>41974</v>
      </c>
      <c r="AB52" s="55">
        <f t="shared" si="16"/>
        <v>8.4529965623676456E-2</v>
      </c>
    </row>
    <row r="53" spans="2:28" ht="9.9499999999999993" customHeight="1" x14ac:dyDescent="0.15">
      <c r="B53" s="48">
        <v>42012</v>
      </c>
      <c r="C53" s="45">
        <v>5222.633697634481</v>
      </c>
      <c r="D53" s="45"/>
      <c r="E53" s="55">
        <f t="shared" si="29"/>
        <v>7.7230475831575787E-2</v>
      </c>
      <c r="F53" s="44">
        <v>3093.86</v>
      </c>
      <c r="G53" s="45"/>
      <c r="H53" s="55">
        <f t="shared" si="30"/>
        <v>7.4817662990907335E-2</v>
      </c>
      <c r="I53" s="50"/>
      <c r="J53" s="54">
        <f t="shared" si="15"/>
        <v>26110.604335620708</v>
      </c>
      <c r="K53" s="55"/>
      <c r="L53" s="55"/>
      <c r="M53" s="45">
        <v>7003.9113771054272</v>
      </c>
      <c r="N53" s="45"/>
      <c r="O53" s="55">
        <f t="shared" si="33"/>
        <v>7.3859885656041291E-2</v>
      </c>
      <c r="P53" s="55">
        <f t="shared" si="31"/>
        <v>7.4742669993761696E-2</v>
      </c>
      <c r="Q53" s="45"/>
      <c r="R53" s="45">
        <v>8868.5915081097937</v>
      </c>
      <c r="S53" s="45"/>
      <c r="T53" s="55">
        <f t="shared" si="34"/>
        <v>7.7961527375345424E-2</v>
      </c>
      <c r="U53" s="55">
        <f t="shared" si="28"/>
        <v>7.4742669993761696E-2</v>
      </c>
      <c r="V53" s="45">
        <v>10238.101450405489</v>
      </c>
      <c r="W53" s="45"/>
      <c r="X53" s="55">
        <f t="shared" si="35"/>
        <v>7.4610854470233856E-2</v>
      </c>
      <c r="Y53" s="55">
        <f t="shared" si="32"/>
        <v>7.3683501265989826E-2</v>
      </c>
      <c r="Z53" s="48">
        <v>42005</v>
      </c>
      <c r="AB53" s="55">
        <f t="shared" si="16"/>
        <v>7.5696081264820719E-2</v>
      </c>
    </row>
    <row r="54" spans="2:28" ht="9.9499999999999993" customHeight="1" x14ac:dyDescent="0.15">
      <c r="B54" s="48">
        <v>42039</v>
      </c>
      <c r="C54" s="45">
        <v>4482.7598608583294</v>
      </c>
      <c r="D54" s="45"/>
      <c r="E54" s="55">
        <f t="shared" si="29"/>
        <v>6.6289480966200298E-2</v>
      </c>
      <c r="F54" s="44">
        <v>2539.4899999999998</v>
      </c>
      <c r="G54" s="45"/>
      <c r="H54" s="55">
        <f t="shared" si="30"/>
        <v>6.1411539949700132E-2</v>
      </c>
      <c r="I54" s="50"/>
      <c r="J54" s="54">
        <f t="shared" si="15"/>
        <v>22643.649167426462</v>
      </c>
      <c r="K54" s="55"/>
      <c r="L54" s="55"/>
      <c r="M54" s="45">
        <v>6073.9349416958585</v>
      </c>
      <c r="N54" s="45"/>
      <c r="O54" s="55">
        <f t="shared" si="33"/>
        <v>6.4052800802470375E-2</v>
      </c>
      <c r="P54" s="55">
        <f t="shared" si="31"/>
        <v>6.4818369403522244E-2</v>
      </c>
      <c r="Q54" s="45"/>
      <c r="R54" s="45">
        <v>7691.0236215749319</v>
      </c>
      <c r="S54" s="45"/>
      <c r="T54" s="55">
        <f t="shared" si="34"/>
        <v>6.7609828242685507E-2</v>
      </c>
      <c r="U54" s="55">
        <f t="shared" si="28"/>
        <v>6.4818369403522244E-2</v>
      </c>
      <c r="V54" s="45">
        <v>8878.6906041556704</v>
      </c>
      <c r="W54" s="45"/>
      <c r="X54" s="55">
        <f t="shared" si="35"/>
        <v>6.4704056290305137E-2</v>
      </c>
      <c r="Y54" s="55">
        <f t="shared" si="32"/>
        <v>6.3899836658263015E-2</v>
      </c>
      <c r="Z54" s="48">
        <v>42036</v>
      </c>
      <c r="AB54" s="55">
        <f t="shared" si="16"/>
        <v>6.4813541250272291E-2</v>
      </c>
    </row>
    <row r="55" spans="2:28" ht="9.9499999999999993" customHeight="1" x14ac:dyDescent="0.15">
      <c r="B55" s="48">
        <v>42067</v>
      </c>
      <c r="C55" s="45">
        <v>5474.268621063844</v>
      </c>
      <c r="D55" s="54">
        <f>SUM(C44:C55)</f>
        <v>67624.134095735135</v>
      </c>
      <c r="E55" s="55">
        <f t="shared" si="29"/>
        <v>8.0951564844786522E-2</v>
      </c>
      <c r="F55" s="44">
        <v>3137.62</v>
      </c>
      <c r="G55" s="54">
        <f>SUM(F44:F55)</f>
        <v>41352.490000000005</v>
      </c>
      <c r="H55" s="55">
        <f t="shared" si="30"/>
        <v>7.5875894757206422E-2</v>
      </c>
      <c r="I55" s="50"/>
      <c r="J55" s="54">
        <f t="shared" si="15"/>
        <v>28527.729017707181</v>
      </c>
      <c r="K55" s="55"/>
      <c r="L55" s="55"/>
      <c r="M55" s="45">
        <v>7652.2811675224339</v>
      </c>
      <c r="N55" s="54">
        <f>SUM(M44:M55)</f>
        <v>93707</v>
      </c>
      <c r="O55" s="55">
        <f t="shared" si="33"/>
        <v>8.0697282077071233E-2</v>
      </c>
      <c r="P55" s="55">
        <f t="shared" si="31"/>
        <v>8.1661787993665719E-2</v>
      </c>
      <c r="Q55" s="45"/>
      <c r="R55" s="45">
        <v>9689.5794543884058</v>
      </c>
      <c r="S55" s="54">
        <f>SUM(R44:R55)</f>
        <v>118654.99999999999</v>
      </c>
      <c r="T55" s="55">
        <f t="shared" si="34"/>
        <v>8.5178623144171781E-2</v>
      </c>
      <c r="U55" s="55">
        <f t="shared" si="28"/>
        <v>8.1661787993665719E-2</v>
      </c>
      <c r="V55" s="45">
        <v>11185.868395796344</v>
      </c>
      <c r="W55" s="54">
        <f>SUM(V44:V55)</f>
        <v>136977.99999999997</v>
      </c>
      <c r="X55" s="55">
        <f t="shared" si="35"/>
        <v>8.1517769973738108E-2</v>
      </c>
      <c r="Y55" s="55">
        <f t="shared" si="32"/>
        <v>8.0504569337922688E-2</v>
      </c>
      <c r="Z55" s="48">
        <v>42064</v>
      </c>
      <c r="AB55" s="55">
        <f t="shared" si="16"/>
        <v>8.0844226959394819E-2</v>
      </c>
    </row>
    <row r="56" spans="2:28" ht="9.9499999999999993" customHeight="1" x14ac:dyDescent="0.15">
      <c r="B56" s="48">
        <v>42095</v>
      </c>
      <c r="C56" s="45">
        <v>4911.22</v>
      </c>
      <c r="D56" s="45"/>
      <c r="E56" s="55">
        <f>C56/59766</f>
        <v>8.2174145835424831E-2</v>
      </c>
      <c r="F56" s="45">
        <v>3213.16</v>
      </c>
      <c r="G56" s="45"/>
      <c r="H56" s="55">
        <f>F56/40618</f>
        <v>7.9106799940912895E-2</v>
      </c>
      <c r="I56" s="50"/>
      <c r="J56" s="54">
        <f t="shared" si="15"/>
        <v>28392.12467885841</v>
      </c>
      <c r="K56" s="55"/>
      <c r="L56" s="55"/>
      <c r="M56" s="45">
        <v>8009.8359520671502</v>
      </c>
      <c r="N56" s="45"/>
      <c r="O56" s="55">
        <f t="shared" si="33"/>
        <v>8.4467883114167377E-2</v>
      </c>
      <c r="P56" s="55">
        <f>M56/97285</f>
        <v>8.2333720019192577E-2</v>
      </c>
      <c r="Q56" s="45"/>
      <c r="R56" s="45">
        <v>8939.3013173638155</v>
      </c>
      <c r="S56" s="45"/>
      <c r="T56" s="55">
        <f t="shared" si="34"/>
        <v>7.8583119284818523E-2</v>
      </c>
      <c r="U56" s="55">
        <f>R56/108574</f>
        <v>8.2333720019192577E-2</v>
      </c>
      <c r="V56" s="45">
        <v>11442.987409427442</v>
      </c>
      <c r="W56" s="45"/>
      <c r="X56" s="55">
        <f t="shared" si="35"/>
        <v>8.339154211796708E-2</v>
      </c>
      <c r="Y56" s="55">
        <f>V56/138983</f>
        <v>8.2333720019192577E-2</v>
      </c>
      <c r="Z56" s="48">
        <v>42095</v>
      </c>
      <c r="AB56" s="55">
        <f t="shared" si="16"/>
        <v>8.1544698058658133E-2</v>
      </c>
    </row>
    <row r="57" spans="2:28" ht="9.9499999999999993" customHeight="1" x14ac:dyDescent="0.15">
      <c r="B57" s="48">
        <v>42131</v>
      </c>
      <c r="C57" s="45">
        <v>5017.6899999999996</v>
      </c>
      <c r="D57" s="45"/>
      <c r="E57" s="55">
        <f t="shared" ref="E57:E67" si="36">C57/59766</f>
        <v>8.3955593481243512E-2</v>
      </c>
      <c r="F57" s="44">
        <v>3508.9</v>
      </c>
      <c r="G57" s="45"/>
      <c r="H57" s="55">
        <f t="shared" ref="H57:H67" si="37">F57/40618</f>
        <v>8.6387808360825255E-2</v>
      </c>
      <c r="I57" s="50"/>
      <c r="J57" s="54">
        <f t="shared" ref="J57:J88" si="38">V57+R57+M57</f>
        <v>28901.071735288224</v>
      </c>
      <c r="K57" s="55"/>
      <c r="L57" s="55"/>
      <c r="M57" s="45">
        <v>8153.4174020783857</v>
      </c>
      <c r="N57" s="45"/>
      <c r="O57" s="55">
        <f t="shared" si="33"/>
        <v>8.5982024128975779E-2</v>
      </c>
      <c r="P57" s="55">
        <f t="shared" ref="P57:P67" si="39">M57/97285</f>
        <v>8.3809604790855585E-2</v>
      </c>
      <c r="Q57" s="45"/>
      <c r="R57" s="45">
        <v>9099.5440305623542</v>
      </c>
      <c r="S57" s="45"/>
      <c r="T57" s="55">
        <f t="shared" si="34"/>
        <v>7.9991772131248945E-2</v>
      </c>
      <c r="U57" s="55">
        <f t="shared" ref="U57:U67" si="40">R57/108574</f>
        <v>8.3809604790855585E-2</v>
      </c>
      <c r="V57" s="45">
        <v>11648.110302647483</v>
      </c>
      <c r="W57" s="45"/>
      <c r="X57" s="55">
        <f t="shared" si="35"/>
        <v>8.4886389029642059E-2</v>
      </c>
      <c r="Y57" s="55">
        <f t="shared" ref="Y57:Y67" si="41">V57/138983</f>
        <v>8.3809604790855599E-2</v>
      </c>
      <c r="Z57" s="48">
        <v>42125</v>
      </c>
      <c r="AB57" s="55">
        <f t="shared" ref="AB57:AB88" si="42">AVERAGE(E57,O57,T57,X57,H57)</f>
        <v>8.4240717426387113E-2</v>
      </c>
    </row>
    <row r="58" spans="2:28" ht="9.9499999999999993" customHeight="1" x14ac:dyDescent="0.15">
      <c r="B58" s="48">
        <v>42158</v>
      </c>
      <c r="C58" s="45">
        <v>5245.7</v>
      </c>
      <c r="D58" s="45"/>
      <c r="E58" s="55">
        <f t="shared" si="36"/>
        <v>8.777063882474985E-2</v>
      </c>
      <c r="F58" s="44">
        <v>3648.39</v>
      </c>
      <c r="G58" s="45"/>
      <c r="H58" s="55">
        <f t="shared" si="37"/>
        <v>8.9822000098478502E-2</v>
      </c>
      <c r="I58" s="50"/>
      <c r="J58" s="54">
        <f t="shared" si="38"/>
        <v>29590.139972182911</v>
      </c>
      <c r="K58" s="55"/>
      <c r="L58" s="55"/>
      <c r="M58" s="45">
        <v>8347.8136862499778</v>
      </c>
      <c r="N58" s="45"/>
      <c r="O58" s="55">
        <f t="shared" si="33"/>
        <v>8.8032033980300739E-2</v>
      </c>
      <c r="P58" s="55">
        <f t="shared" si="39"/>
        <v>8.5807819152489875E-2</v>
      </c>
      <c r="Q58" s="45"/>
      <c r="R58" s="45">
        <v>9316.4981566624356</v>
      </c>
      <c r="S58" s="45"/>
      <c r="T58" s="55">
        <f t="shared" si="34"/>
        <v>8.1898960552959282E-2</v>
      </c>
      <c r="U58" s="55">
        <f t="shared" si="40"/>
        <v>8.5807819152489875E-2</v>
      </c>
      <c r="V58" s="45">
        <v>11925.8281292705</v>
      </c>
      <c r="W58" s="45"/>
      <c r="X58" s="55">
        <f t="shared" si="35"/>
        <v>8.6910276412115572E-2</v>
      </c>
      <c r="Y58" s="55">
        <f t="shared" si="41"/>
        <v>8.5807819152489875E-2</v>
      </c>
      <c r="Z58" s="48">
        <v>42156</v>
      </c>
      <c r="AB58" s="55">
        <f t="shared" si="42"/>
        <v>8.6886781973720795E-2</v>
      </c>
    </row>
    <row r="59" spans="2:28" ht="9.9499999999999993" customHeight="1" x14ac:dyDescent="0.15">
      <c r="B59" s="48">
        <v>42193</v>
      </c>
      <c r="C59" s="45">
        <v>5444.63</v>
      </c>
      <c r="D59" s="45"/>
      <c r="E59" s="55">
        <f t="shared" si="36"/>
        <v>9.1099119900947031E-2</v>
      </c>
      <c r="F59" s="44">
        <v>3828.38</v>
      </c>
      <c r="G59" s="45"/>
      <c r="H59" s="55">
        <f t="shared" si="37"/>
        <v>9.4253286720173329E-2</v>
      </c>
      <c r="I59" s="50"/>
      <c r="J59" s="54">
        <f t="shared" si="38"/>
        <v>31701.327761817705</v>
      </c>
      <c r="K59" s="55"/>
      <c r="L59" s="55"/>
      <c r="M59" s="45">
        <v>8943.4108122225116</v>
      </c>
      <c r="N59" s="45"/>
      <c r="O59" s="55">
        <f t="shared" si="33"/>
        <v>9.4312915226913346E-2</v>
      </c>
      <c r="P59" s="55">
        <f t="shared" si="39"/>
        <v>9.1930007834943844E-2</v>
      </c>
      <c r="Q59" s="45"/>
      <c r="R59" s="45">
        <v>9981.2086706711943</v>
      </c>
      <c r="S59" s="45"/>
      <c r="T59" s="55">
        <f t="shared" si="34"/>
        <v>8.7742261249263293E-2</v>
      </c>
      <c r="U59" s="55">
        <f t="shared" si="40"/>
        <v>9.1930007834943858E-2</v>
      </c>
      <c r="V59" s="45">
        <v>12776.708278924001</v>
      </c>
      <c r="W59" s="45"/>
      <c r="X59" s="55">
        <f t="shared" si="35"/>
        <v>9.3111122860545126E-2</v>
      </c>
      <c r="Y59" s="55">
        <f t="shared" si="41"/>
        <v>9.1930007834943844E-2</v>
      </c>
      <c r="Z59" s="48">
        <v>42186</v>
      </c>
      <c r="AB59" s="55">
        <f t="shared" si="42"/>
        <v>9.2103741191568417E-2</v>
      </c>
    </row>
    <row r="60" spans="2:28" ht="9.9499999999999993" customHeight="1" x14ac:dyDescent="0.15">
      <c r="B60" s="48">
        <v>42221</v>
      </c>
      <c r="C60" s="45">
        <v>5507.05</v>
      </c>
      <c r="D60" s="45"/>
      <c r="E60" s="55">
        <f t="shared" si="36"/>
        <v>9.2143526419703511E-2</v>
      </c>
      <c r="F60" s="45">
        <v>3788.74</v>
      </c>
      <c r="G60" s="45"/>
      <c r="H60" s="55">
        <f t="shared" si="37"/>
        <v>9.3277364715150912E-2</v>
      </c>
      <c r="I60" s="50"/>
      <c r="J60" s="54">
        <f t="shared" si="38"/>
        <v>30488.651442176291</v>
      </c>
      <c r="K60" s="55"/>
      <c r="L60" s="55"/>
      <c r="M60" s="45">
        <v>8601.2969868870987</v>
      </c>
      <c r="N60" s="54">
        <f>SUM(M49:M60)</f>
        <v>94826.667963575397</v>
      </c>
      <c r="O60" s="55">
        <f t="shared" si="33"/>
        <v>9.0705147129900757E-2</v>
      </c>
      <c r="P60" s="55">
        <f t="shared" si="39"/>
        <v>8.8413393502462856E-2</v>
      </c>
      <c r="Q60" s="45"/>
      <c r="R60" s="45">
        <v>9599.3957861364015</v>
      </c>
      <c r="S60" s="54">
        <f>SUM(R49:R60)</f>
        <v>113756.25299342749</v>
      </c>
      <c r="T60" s="55">
        <f t="shared" si="34"/>
        <v>8.4385841504064849E-2</v>
      </c>
      <c r="U60" s="55">
        <f t="shared" si="40"/>
        <v>8.8413393502462856E-2</v>
      </c>
      <c r="V60" s="45">
        <v>12287.958669152793</v>
      </c>
      <c r="W60" s="54">
        <f>SUM(V49:V60)</f>
        <v>137220.455396793</v>
      </c>
      <c r="X60" s="55">
        <f t="shared" si="35"/>
        <v>8.9549327132726952E-2</v>
      </c>
      <c r="Y60" s="55">
        <f t="shared" si="41"/>
        <v>8.8413393502462842E-2</v>
      </c>
      <c r="Z60" s="48">
        <v>42217</v>
      </c>
      <c r="AB60" s="55">
        <f t="shared" si="42"/>
        <v>9.0012241380309402E-2</v>
      </c>
    </row>
    <row r="61" spans="2:28" ht="9.9499999999999993" customHeight="1" x14ac:dyDescent="0.15">
      <c r="B61" s="48">
        <v>42249</v>
      </c>
      <c r="C61" s="45">
        <v>5124.37</v>
      </c>
      <c r="D61" s="45"/>
      <c r="E61" s="55">
        <f t="shared" si="36"/>
        <v>8.5740554830505633E-2</v>
      </c>
      <c r="F61" s="45">
        <v>3700.23</v>
      </c>
      <c r="G61" s="45"/>
      <c r="H61" s="55">
        <f t="shared" si="37"/>
        <v>9.1098281550051702E-2</v>
      </c>
      <c r="I61" s="50"/>
      <c r="J61" s="54">
        <f t="shared" si="38"/>
        <v>30795.485778665876</v>
      </c>
      <c r="K61" s="55"/>
      <c r="L61" s="55"/>
      <c r="M61" s="45">
        <v>8687.8594660090985</v>
      </c>
      <c r="N61" s="45"/>
      <c r="O61" s="55">
        <f>M61/96639</f>
        <v>8.9900138308644531E-2</v>
      </c>
      <c r="P61" s="55">
        <f t="shared" si="39"/>
        <v>8.9303175885379019E-2</v>
      </c>
      <c r="Q61" s="45"/>
      <c r="R61" s="45">
        <v>9696.003018579142</v>
      </c>
      <c r="S61" s="45"/>
      <c r="T61" s="55">
        <f>R61/104930</f>
        <v>9.2404488883819136E-2</v>
      </c>
      <c r="U61" s="55">
        <f t="shared" si="40"/>
        <v>8.9303175885379019E-2</v>
      </c>
      <c r="V61" s="45">
        <v>12411.623294077634</v>
      </c>
      <c r="W61" s="45"/>
      <c r="X61" s="55">
        <f>V61/143795</f>
        <v>8.6314707007042205E-2</v>
      </c>
      <c r="Y61" s="55">
        <f t="shared" si="41"/>
        <v>8.9303175885379033E-2</v>
      </c>
      <c r="Z61" s="48">
        <v>42248</v>
      </c>
      <c r="AB61" s="55">
        <f t="shared" si="42"/>
        <v>8.9091634116012647E-2</v>
      </c>
    </row>
    <row r="62" spans="2:28" ht="9.9499999999999993" customHeight="1" x14ac:dyDescent="0.15">
      <c r="B62" s="48">
        <v>42284</v>
      </c>
      <c r="C62" s="45">
        <v>5005.3</v>
      </c>
      <c r="D62" s="45"/>
      <c r="E62" s="55">
        <f t="shared" si="36"/>
        <v>8.3748284978081192E-2</v>
      </c>
      <c r="F62" s="44">
        <v>3571.69</v>
      </c>
      <c r="G62" s="45"/>
      <c r="H62" s="55">
        <f t="shared" si="37"/>
        <v>8.7933674725491157E-2</v>
      </c>
      <c r="I62" s="50"/>
      <c r="J62" s="54">
        <f t="shared" si="38"/>
        <v>29538.826380073733</v>
      </c>
      <c r="K62" s="55"/>
      <c r="L62" s="55"/>
      <c r="M62" s="45">
        <v>8333.3373672159232</v>
      </c>
      <c r="N62" s="45"/>
      <c r="O62" s="55">
        <f t="shared" ref="O62:O72" si="43">M62/96639</f>
        <v>8.6231618365421037E-2</v>
      </c>
      <c r="P62" s="55">
        <f t="shared" si="39"/>
        <v>8.5659015955346904E-2</v>
      </c>
      <c r="Q62" s="45"/>
      <c r="R62" s="45">
        <v>9300.3419983358344</v>
      </c>
      <c r="S62" s="45"/>
      <c r="T62" s="55">
        <f t="shared" ref="T62:T72" si="44">R62/104930</f>
        <v>8.8633774881690983E-2</v>
      </c>
      <c r="U62" s="55">
        <f t="shared" si="40"/>
        <v>8.5659015955346904E-2</v>
      </c>
      <c r="V62" s="45">
        <v>11905.147014521977</v>
      </c>
      <c r="W62" s="45"/>
      <c r="X62" s="55">
        <f t="shared" ref="X62:X72" si="45">V62/143795</f>
        <v>8.2792496363030543E-2</v>
      </c>
      <c r="Y62" s="55">
        <f t="shared" si="41"/>
        <v>8.565901595534689E-2</v>
      </c>
      <c r="Z62" s="48">
        <v>42278</v>
      </c>
      <c r="AB62" s="55">
        <f t="shared" si="42"/>
        <v>8.586796986274299E-2</v>
      </c>
    </row>
    <row r="63" spans="2:28" ht="9.9499999999999993" customHeight="1" x14ac:dyDescent="0.15">
      <c r="B63" s="48">
        <v>42312</v>
      </c>
      <c r="C63" s="45">
        <v>4810.2299999999996</v>
      </c>
      <c r="D63" s="45"/>
      <c r="E63" s="55">
        <f t="shared" si="36"/>
        <v>8.0484389117558466E-2</v>
      </c>
      <c r="F63" s="45">
        <v>3233.36</v>
      </c>
      <c r="G63" s="45"/>
      <c r="H63" s="55">
        <f t="shared" si="37"/>
        <v>7.9604116401595357E-2</v>
      </c>
      <c r="I63" s="50"/>
      <c r="J63" s="54">
        <f t="shared" si="38"/>
        <v>27977.427077322998</v>
      </c>
      <c r="K63" s="55"/>
      <c r="L63" s="55"/>
      <c r="M63" s="45">
        <v>7892.8436594654013</v>
      </c>
      <c r="N63" s="45"/>
      <c r="O63" s="55">
        <f t="shared" si="43"/>
        <v>8.167348233596583E-2</v>
      </c>
      <c r="P63" s="55">
        <f t="shared" si="39"/>
        <v>8.1131147242281973E-2</v>
      </c>
      <c r="Q63" s="45"/>
      <c r="R63" s="45">
        <v>8808.7331806835227</v>
      </c>
      <c r="S63" s="45"/>
      <c r="T63" s="55">
        <f t="shared" si="44"/>
        <v>8.394866273404672E-2</v>
      </c>
      <c r="U63" s="55">
        <f t="shared" si="40"/>
        <v>8.1131147242281973E-2</v>
      </c>
      <c r="V63" s="45">
        <v>11275.850237174076</v>
      </c>
      <c r="W63" s="45"/>
      <c r="X63" s="55">
        <f t="shared" si="45"/>
        <v>7.8416149637846072E-2</v>
      </c>
      <c r="Y63" s="55">
        <f t="shared" si="41"/>
        <v>8.1131147242281973E-2</v>
      </c>
      <c r="Z63" s="48">
        <v>42309</v>
      </c>
      <c r="AB63" s="55">
        <f t="shared" si="42"/>
        <v>8.0825360045402486E-2</v>
      </c>
    </row>
    <row r="64" spans="2:28" ht="9.9499999999999993" customHeight="1" x14ac:dyDescent="0.15">
      <c r="B64" s="48">
        <v>42340</v>
      </c>
      <c r="C64" s="45">
        <v>5090.9399999999996</v>
      </c>
      <c r="D64" s="45"/>
      <c r="E64" s="55">
        <f t="shared" si="36"/>
        <v>8.5181206706153992E-2</v>
      </c>
      <c r="F64" s="45">
        <v>3359.44</v>
      </c>
      <c r="G64" s="45"/>
      <c r="H64" s="55">
        <f t="shared" si="37"/>
        <v>8.2708158944310411E-2</v>
      </c>
      <c r="I64" s="50"/>
      <c r="J64" s="54">
        <f t="shared" si="38"/>
        <v>30357.749421489611</v>
      </c>
      <c r="K64" s="55"/>
      <c r="L64" s="55"/>
      <c r="M64" s="45">
        <v>8564.3676015961428</v>
      </c>
      <c r="N64" s="45"/>
      <c r="O64" s="55">
        <f t="shared" si="43"/>
        <v>8.8622270528421684E-2</v>
      </c>
      <c r="P64" s="55">
        <f t="shared" si="39"/>
        <v>8.8033793509751171E-2</v>
      </c>
      <c r="Q64" s="45"/>
      <c r="R64" s="45">
        <v>9558.1810965277236</v>
      </c>
      <c r="S64" s="45"/>
      <c r="T64" s="55">
        <f t="shared" si="44"/>
        <v>9.109102350641117E-2</v>
      </c>
      <c r="U64" s="55">
        <f t="shared" si="40"/>
        <v>8.8033793509751171E-2</v>
      </c>
      <c r="V64" s="45">
        <v>12235.200723365746</v>
      </c>
      <c r="W64" s="45"/>
      <c r="X64" s="55">
        <f t="shared" si="45"/>
        <v>8.508780363271147E-2</v>
      </c>
      <c r="Y64" s="55">
        <f t="shared" si="41"/>
        <v>8.8033793509751157E-2</v>
      </c>
      <c r="Z64" s="48">
        <v>42339</v>
      </c>
      <c r="AB64" s="55">
        <f t="shared" si="42"/>
        <v>8.6538092663601754E-2</v>
      </c>
    </row>
    <row r="65" spans="2:28" ht="9.9499999999999993" customHeight="1" x14ac:dyDescent="0.15">
      <c r="B65" s="48">
        <v>42375</v>
      </c>
      <c r="C65" s="45">
        <v>4515.71</v>
      </c>
      <c r="D65" s="45"/>
      <c r="E65" s="55">
        <f t="shared" si="36"/>
        <v>7.5556503697754573E-2</v>
      </c>
      <c r="F65" s="45">
        <v>2915.17</v>
      </c>
      <c r="G65" s="45"/>
      <c r="H65" s="55">
        <f t="shared" si="37"/>
        <v>7.1770397360776006E-2</v>
      </c>
      <c r="I65" s="50"/>
      <c r="J65" s="54">
        <f t="shared" si="38"/>
        <v>24933.169684233537</v>
      </c>
      <c r="K65" s="55"/>
      <c r="L65" s="55"/>
      <c r="M65" s="45">
        <v>7034.0138751389331</v>
      </c>
      <c r="N65" s="45"/>
      <c r="O65" s="55">
        <f t="shared" si="43"/>
        <v>7.2786492773506892E-2</v>
      </c>
      <c r="P65" s="55">
        <f t="shared" si="39"/>
        <v>7.230316981177913E-2</v>
      </c>
      <c r="Q65" s="45"/>
      <c r="R65" s="45">
        <v>7850.2443591441079</v>
      </c>
      <c r="S65" s="45"/>
      <c r="T65" s="55">
        <f t="shared" si="44"/>
        <v>7.4814108063891244E-2</v>
      </c>
      <c r="U65" s="55">
        <f t="shared" si="40"/>
        <v>7.230316981177913E-2</v>
      </c>
      <c r="V65" s="45">
        <v>10048.911449950499</v>
      </c>
      <c r="W65" s="45"/>
      <c r="X65" s="55">
        <f t="shared" si="45"/>
        <v>6.988359435272784E-2</v>
      </c>
      <c r="Y65" s="55">
        <f t="shared" si="41"/>
        <v>7.230316981177913E-2</v>
      </c>
      <c r="Z65" s="48">
        <v>42370</v>
      </c>
      <c r="AB65" s="55">
        <f t="shared" si="42"/>
        <v>7.2962219249731314E-2</v>
      </c>
    </row>
    <row r="66" spans="2:28" ht="9.9499999999999993" customHeight="1" x14ac:dyDescent="0.15">
      <c r="B66" s="48">
        <v>42403</v>
      </c>
      <c r="C66" s="45">
        <v>4193.24</v>
      </c>
      <c r="D66" s="45"/>
      <c r="E66" s="55">
        <f t="shared" si="36"/>
        <v>7.0160961081551385E-2</v>
      </c>
      <c r="F66" s="45">
        <v>2728.16</v>
      </c>
      <c r="G66" s="45"/>
      <c r="H66" s="55">
        <f t="shared" si="37"/>
        <v>6.716628095918066E-2</v>
      </c>
      <c r="I66" s="50"/>
      <c r="J66" s="54">
        <f t="shared" si="38"/>
        <v>23775.995821363278</v>
      </c>
      <c r="K66" s="55"/>
      <c r="L66" s="55"/>
      <c r="M66" s="45">
        <v>6707.5581091668846</v>
      </c>
      <c r="N66" s="45"/>
      <c r="O66" s="55">
        <f t="shared" si="43"/>
        <v>6.9408397325788601E-2</v>
      </c>
      <c r="P66" s="55">
        <f t="shared" si="39"/>
        <v>6.894750587620789E-2</v>
      </c>
      <c r="Q66" s="45"/>
      <c r="R66" s="45">
        <v>7485.9065030033953</v>
      </c>
      <c r="S66" s="45"/>
      <c r="T66" s="55">
        <f t="shared" si="44"/>
        <v>7.1341908920264888E-2</v>
      </c>
      <c r="U66" s="55">
        <f t="shared" si="40"/>
        <v>6.894750587620789E-2</v>
      </c>
      <c r="V66" s="45">
        <v>9582.5312091930009</v>
      </c>
      <c r="W66" s="45"/>
      <c r="X66" s="55">
        <f t="shared" si="45"/>
        <v>6.6640225384700449E-2</v>
      </c>
      <c r="Y66" s="55">
        <f t="shared" si="41"/>
        <v>6.894750587620789E-2</v>
      </c>
      <c r="Z66" s="48">
        <v>42401</v>
      </c>
      <c r="AB66" s="55">
        <f t="shared" si="42"/>
        <v>6.8943554734297183E-2</v>
      </c>
    </row>
    <row r="67" spans="2:28" ht="9.9499999999999993" customHeight="1" x14ac:dyDescent="0.15">
      <c r="B67" s="48">
        <v>42431</v>
      </c>
      <c r="C67" s="45">
        <v>4900.29</v>
      </c>
      <c r="D67" s="54">
        <f>SUM(C56:C67)</f>
        <v>59766.37</v>
      </c>
      <c r="E67" s="55">
        <f t="shared" si="36"/>
        <v>8.1991265937154903E-2</v>
      </c>
      <c r="F67" s="45">
        <v>3122.56</v>
      </c>
      <c r="G67" s="54">
        <f>SUM(F56:F67)</f>
        <v>40618.179999999993</v>
      </c>
      <c r="H67" s="55">
        <f t="shared" si="37"/>
        <v>7.6876261755871783E-2</v>
      </c>
      <c r="I67" s="50"/>
      <c r="J67" s="54">
        <f t="shared" si="38"/>
        <v>28390.030246527422</v>
      </c>
      <c r="K67" s="55"/>
      <c r="L67" s="55"/>
      <c r="M67" s="45">
        <v>8009.2450819024943</v>
      </c>
      <c r="N67" s="54">
        <f>SUM(M56:M67)</f>
        <v>97285</v>
      </c>
      <c r="O67" s="55">
        <f t="shared" si="43"/>
        <v>8.2877979717324204E-2</v>
      </c>
      <c r="P67" s="55">
        <f t="shared" si="39"/>
        <v>8.2327646419309189E-2</v>
      </c>
      <c r="Q67" s="45"/>
      <c r="R67" s="45">
        <v>8938.6418823300755</v>
      </c>
      <c r="S67" s="54">
        <f>SUM(R56:R67)</f>
        <v>108574.00000000001</v>
      </c>
      <c r="T67" s="55">
        <f t="shared" si="44"/>
        <v>8.5186713831412131E-2</v>
      </c>
      <c r="U67" s="55">
        <f t="shared" si="40"/>
        <v>8.2327646419309189E-2</v>
      </c>
      <c r="V67" s="45">
        <v>11442.143282294848</v>
      </c>
      <c r="W67" s="54">
        <f>SUM(V56:V67)</f>
        <v>138983</v>
      </c>
      <c r="X67" s="55">
        <f t="shared" si="45"/>
        <v>7.9572608799296549E-2</v>
      </c>
      <c r="Y67" s="55">
        <f t="shared" si="41"/>
        <v>8.2327646419309189E-2</v>
      </c>
      <c r="Z67" s="48">
        <v>42430</v>
      </c>
      <c r="AB67" s="55">
        <f t="shared" si="42"/>
        <v>8.1300966008211906E-2</v>
      </c>
    </row>
    <row r="68" spans="2:28" ht="9.9499999999999993" customHeight="1" x14ac:dyDescent="0.15">
      <c r="B68" s="48">
        <v>42461</v>
      </c>
      <c r="C68" s="45">
        <v>4802.12</v>
      </c>
      <c r="D68" s="45"/>
      <c r="E68" s="55">
        <f>C68/59719</f>
        <v>8.0411929201761587E-2</v>
      </c>
      <c r="F68" s="45">
        <v>3162.5</v>
      </c>
      <c r="G68" s="45"/>
      <c r="H68" s="55">
        <f>F68/40432</f>
        <v>7.8217748318163832E-2</v>
      </c>
      <c r="I68" s="50"/>
      <c r="J68" s="54">
        <f t="shared" si="38"/>
        <v>27232.268472520966</v>
      </c>
      <c r="K68" s="55"/>
      <c r="L68" s="55"/>
      <c r="M68" s="45">
        <v>7538.2372178224805</v>
      </c>
      <c r="N68" s="45"/>
      <c r="O68" s="55">
        <f t="shared" si="43"/>
        <v>7.8004089630713078E-2</v>
      </c>
      <c r="P68" s="55">
        <f>M68/94588</f>
        <v>7.9695492217009348E-2</v>
      </c>
      <c r="Q68" s="45"/>
      <c r="R68" s="45">
        <v>7880.8481388634045</v>
      </c>
      <c r="S68" s="45"/>
      <c r="T68" s="55">
        <f t="shared" si="44"/>
        <v>7.5105767071985172E-2</v>
      </c>
      <c r="U68" s="55">
        <f>R68/98887</f>
        <v>7.9695492217009362E-2</v>
      </c>
      <c r="V68" s="45">
        <v>11813.18311583508</v>
      </c>
      <c r="W68" s="45"/>
      <c r="X68" s="55">
        <f t="shared" si="45"/>
        <v>8.2152947709135088E-2</v>
      </c>
      <c r="Y68" s="55">
        <f>V68/148229</f>
        <v>7.9695492217009362E-2</v>
      </c>
      <c r="Z68" s="48">
        <v>42461</v>
      </c>
      <c r="AB68" s="55">
        <f t="shared" si="42"/>
        <v>7.8778496386351746E-2</v>
      </c>
    </row>
    <row r="69" spans="2:28" ht="9.9499999999999993" customHeight="1" x14ac:dyDescent="0.15">
      <c r="B69" s="48">
        <v>42492</v>
      </c>
      <c r="C69" s="45">
        <v>5502.55</v>
      </c>
      <c r="D69" s="45"/>
      <c r="E69" s="55">
        <f t="shared" ref="E69:E79" si="46">C69/59719</f>
        <v>9.2140692242000041E-2</v>
      </c>
      <c r="F69" s="45">
        <v>3654.06</v>
      </c>
      <c r="G69" s="45"/>
      <c r="H69" s="55">
        <f t="shared" ref="H69:H79" si="47">F69/40432</f>
        <v>9.0375445191927181E-2</v>
      </c>
      <c r="I69" s="50"/>
      <c r="J69" s="54">
        <f t="shared" si="38"/>
        <v>30036.962507249089</v>
      </c>
      <c r="K69" s="55"/>
      <c r="L69" s="55"/>
      <c r="M69" s="45">
        <v>8314.6120901004288</v>
      </c>
      <c r="N69" s="45"/>
      <c r="O69" s="55">
        <f t="shared" si="43"/>
        <v>8.6037853145214963E-2</v>
      </c>
      <c r="P69" s="55">
        <f t="shared" ref="P69:P79" si="48">M69/94588</f>
        <v>8.7903455936275521E-2</v>
      </c>
      <c r="Q69" s="45"/>
      <c r="R69" s="45">
        <v>8692.5090471704771</v>
      </c>
      <c r="S69" s="45"/>
      <c r="T69" s="55">
        <f t="shared" si="44"/>
        <v>8.2841027801110051E-2</v>
      </c>
      <c r="U69" s="55">
        <f t="shared" ref="U69:U79" si="49">R69/98887</f>
        <v>8.7903455936275521E-2</v>
      </c>
      <c r="V69" s="45">
        <v>13029.841369978183</v>
      </c>
      <c r="W69" s="45"/>
      <c r="X69" s="55">
        <f t="shared" si="45"/>
        <v>9.0614008623235737E-2</v>
      </c>
      <c r="Y69" s="55">
        <f t="shared" ref="Y69:Y79" si="50">V69/148229</f>
        <v>8.7903455936275507E-2</v>
      </c>
      <c r="Z69" s="48">
        <v>42491</v>
      </c>
      <c r="AB69" s="55">
        <f t="shared" si="42"/>
        <v>8.84018054006976E-2</v>
      </c>
    </row>
    <row r="70" spans="2:28" ht="9.9499999999999993" customHeight="1" x14ac:dyDescent="0.15">
      <c r="B70" s="48">
        <v>42522</v>
      </c>
      <c r="C70" s="45">
        <v>4991.43</v>
      </c>
      <c r="D70" s="45"/>
      <c r="E70" s="55">
        <f t="shared" si="46"/>
        <v>8.3581942095480505E-2</v>
      </c>
      <c r="F70" s="45">
        <v>3658.47</v>
      </c>
      <c r="G70" s="45"/>
      <c r="H70" s="55">
        <f t="shared" si="47"/>
        <v>9.0484517214087845E-2</v>
      </c>
      <c r="I70" s="50"/>
      <c r="J70" s="54">
        <f t="shared" si="38"/>
        <v>29714.029511848621</v>
      </c>
      <c r="K70" s="55"/>
      <c r="L70" s="55"/>
      <c r="M70" s="45">
        <v>8225.2201421895479</v>
      </c>
      <c r="N70" s="45"/>
      <c r="O70" s="55">
        <f t="shared" si="43"/>
        <v>8.5112844112517183E-2</v>
      </c>
      <c r="P70" s="55">
        <f t="shared" si="48"/>
        <v>8.6958389459440399E-2</v>
      </c>
      <c r="Q70" s="45"/>
      <c r="R70" s="45">
        <v>8599.0542584756822</v>
      </c>
      <c r="S70" s="45"/>
      <c r="T70" s="55">
        <f t="shared" si="44"/>
        <v>8.1950388434915492E-2</v>
      </c>
      <c r="U70" s="55">
        <f t="shared" si="49"/>
        <v>8.6958389459440399E-2</v>
      </c>
      <c r="V70" s="45">
        <v>12889.755111183389</v>
      </c>
      <c r="W70" s="45"/>
      <c r="X70" s="55">
        <f t="shared" si="45"/>
        <v>8.9639800488079485E-2</v>
      </c>
      <c r="Y70" s="55">
        <f t="shared" si="50"/>
        <v>8.6958389459440386E-2</v>
      </c>
      <c r="Z70" s="48">
        <v>42522</v>
      </c>
      <c r="AB70" s="55">
        <f t="shared" si="42"/>
        <v>8.6153898469016096E-2</v>
      </c>
    </row>
    <row r="71" spans="2:28" ht="9.9499999999999993" customHeight="1" x14ac:dyDescent="0.15">
      <c r="B71" s="48">
        <v>42552</v>
      </c>
      <c r="C71" s="45">
        <v>5226.55</v>
      </c>
      <c r="D71" s="45"/>
      <c r="E71" s="55">
        <f t="shared" si="46"/>
        <v>8.75190475393091E-2</v>
      </c>
      <c r="F71" s="45">
        <v>3848.64</v>
      </c>
      <c r="G71" s="45"/>
      <c r="H71" s="55">
        <f t="shared" si="47"/>
        <v>9.518796992481203E-2</v>
      </c>
      <c r="I71" s="50"/>
      <c r="J71" s="54">
        <f t="shared" si="38"/>
        <v>30565.398317904408</v>
      </c>
      <c r="K71" s="55"/>
      <c r="L71" s="55"/>
      <c r="M71" s="45">
        <v>8460.889823045507</v>
      </c>
      <c r="N71" s="45"/>
      <c r="O71" s="55">
        <f t="shared" si="43"/>
        <v>8.7551504289629517E-2</v>
      </c>
      <c r="P71" s="55">
        <f t="shared" si="48"/>
        <v>8.944992835291482E-2</v>
      </c>
      <c r="Q71" s="45"/>
      <c r="R71" s="45">
        <v>8845.4350650346878</v>
      </c>
      <c r="S71" s="45"/>
      <c r="T71" s="55">
        <f t="shared" si="44"/>
        <v>8.4298437673064788E-2</v>
      </c>
      <c r="U71" s="55">
        <f t="shared" si="49"/>
        <v>8.944992835291482E-2</v>
      </c>
      <c r="V71" s="45">
        <v>13259.073429824211</v>
      </c>
      <c r="W71" s="45"/>
      <c r="X71" s="55">
        <f t="shared" si="45"/>
        <v>9.2208167389855086E-2</v>
      </c>
      <c r="Y71" s="55">
        <f t="shared" si="50"/>
        <v>8.944992835291482E-2</v>
      </c>
      <c r="Z71" s="48">
        <v>42552</v>
      </c>
      <c r="AB71" s="55">
        <f t="shared" si="42"/>
        <v>8.9353025363334102E-2</v>
      </c>
    </row>
    <row r="72" spans="2:28" ht="9.9499999999999993" customHeight="1" x14ac:dyDescent="0.15">
      <c r="B72" s="48">
        <v>42585</v>
      </c>
      <c r="C72" s="45">
        <v>5805.25</v>
      </c>
      <c r="D72" s="45"/>
      <c r="E72" s="55">
        <f t="shared" si="46"/>
        <v>9.7209430834407806E-2</v>
      </c>
      <c r="F72" s="45">
        <v>3988.3</v>
      </c>
      <c r="G72" s="45"/>
      <c r="H72" s="55">
        <f t="shared" si="47"/>
        <v>9.864216462208153E-2</v>
      </c>
      <c r="I72" s="50"/>
      <c r="J72" s="54">
        <f t="shared" si="38"/>
        <v>32046.905858491638</v>
      </c>
      <c r="K72" s="55"/>
      <c r="L72" s="55"/>
      <c r="M72" s="45">
        <v>8870.9898957665318</v>
      </c>
      <c r="N72" s="54">
        <f>SUM(M61:M72)</f>
        <v>96639.174329419373</v>
      </c>
      <c r="O72" s="55">
        <f t="shared" si="43"/>
        <v>9.1795133390934633E-2</v>
      </c>
      <c r="P72" s="55">
        <f t="shared" si="48"/>
        <v>9.3785574235278599E-2</v>
      </c>
      <c r="Q72" s="45"/>
      <c r="R72" s="45">
        <v>9274.1740794039943</v>
      </c>
      <c r="S72" s="54">
        <f>SUM(R61:R72)</f>
        <v>104930.07262755206</v>
      </c>
      <c r="T72" s="55">
        <f t="shared" si="44"/>
        <v>8.8384390349795047E-2</v>
      </c>
      <c r="U72" s="55">
        <f t="shared" si="49"/>
        <v>9.3785574235278599E-2</v>
      </c>
      <c r="V72" s="45">
        <v>13901.74188332111</v>
      </c>
      <c r="W72" s="54">
        <f>SUM(V61:V72)</f>
        <v>143795.00212071976</v>
      </c>
      <c r="X72" s="55">
        <f t="shared" si="45"/>
        <v>9.6677505360555721E-2</v>
      </c>
      <c r="Y72" s="55">
        <f t="shared" si="50"/>
        <v>9.3785574235278599E-2</v>
      </c>
      <c r="Z72" s="48">
        <v>42583</v>
      </c>
      <c r="AB72" s="55">
        <f t="shared" si="42"/>
        <v>9.454172491155495E-2</v>
      </c>
    </row>
    <row r="73" spans="2:28" ht="9.9499999999999993" customHeight="1" x14ac:dyDescent="0.15">
      <c r="B73" s="48">
        <v>42614</v>
      </c>
      <c r="C73" s="45">
        <v>5310.79</v>
      </c>
      <c r="D73" s="45"/>
      <c r="E73" s="55">
        <f t="shared" si="46"/>
        <v>8.8929653878999981E-2</v>
      </c>
      <c r="F73" s="45">
        <v>3674.49</v>
      </c>
      <c r="G73" s="45"/>
      <c r="H73" s="55">
        <f t="shared" si="47"/>
        <v>9.0880738029283731E-2</v>
      </c>
      <c r="I73" s="50"/>
      <c r="J73" s="54">
        <f t="shared" si="38"/>
        <v>30283.356188804646</v>
      </c>
      <c r="K73" s="55"/>
      <c r="L73" s="55"/>
      <c r="M73" s="45">
        <v>8382.8169854220432</v>
      </c>
      <c r="N73" s="45"/>
      <c r="O73" s="45"/>
      <c r="P73" s="55">
        <f t="shared" si="48"/>
        <v>8.8624529384510126E-2</v>
      </c>
      <c r="Q73" s="45"/>
      <c r="R73" s="45">
        <v>8763.8138372460526</v>
      </c>
      <c r="S73" s="45"/>
      <c r="T73" s="45"/>
      <c r="U73" s="55">
        <f t="shared" si="49"/>
        <v>8.8624529384510126E-2</v>
      </c>
      <c r="V73" s="45">
        <v>13136.72536613655</v>
      </c>
      <c r="W73" s="45"/>
      <c r="X73" s="45"/>
      <c r="Y73" s="55">
        <f t="shared" si="50"/>
        <v>8.8624529384510112E-2</v>
      </c>
      <c r="Z73" s="48">
        <v>42614</v>
      </c>
      <c r="AB73" s="55">
        <f t="shared" si="42"/>
        <v>8.9905195954141856E-2</v>
      </c>
    </row>
    <row r="74" spans="2:28" ht="9.9499999999999993" customHeight="1" x14ac:dyDescent="0.15">
      <c r="B74" s="48">
        <v>42647</v>
      </c>
      <c r="C74" s="45">
        <v>4948.62</v>
      </c>
      <c r="D74" s="45"/>
      <c r="E74" s="55">
        <f t="shared" si="46"/>
        <v>8.2865084813878331E-2</v>
      </c>
      <c r="F74" s="45">
        <v>3668.54</v>
      </c>
      <c r="G74" s="45"/>
      <c r="H74" s="55">
        <f t="shared" si="47"/>
        <v>9.0733577364463788E-2</v>
      </c>
      <c r="I74" s="50"/>
      <c r="J74" s="54">
        <f t="shared" si="38"/>
        <v>29457.150992780062</v>
      </c>
      <c r="K74" s="55"/>
      <c r="L74" s="55"/>
      <c r="M74" s="45">
        <v>8154.1129108968007</v>
      </c>
      <c r="N74" s="45"/>
      <c r="O74" s="45"/>
      <c r="P74" s="55">
        <f t="shared" si="48"/>
        <v>8.6206632034685163E-2</v>
      </c>
      <c r="Q74" s="45"/>
      <c r="R74" s="45">
        <v>8524.7152220139124</v>
      </c>
      <c r="S74" s="45"/>
      <c r="T74" s="45"/>
      <c r="U74" s="55">
        <f t="shared" si="49"/>
        <v>8.6206632034685163E-2</v>
      </c>
      <c r="V74" s="45">
        <v>12778.322859869348</v>
      </c>
      <c r="W74" s="45"/>
      <c r="X74" s="45"/>
      <c r="Y74" s="55">
        <f t="shared" si="50"/>
        <v>8.6206632034685163E-2</v>
      </c>
      <c r="Z74" s="48">
        <v>42644</v>
      </c>
      <c r="AB74" s="55">
        <f t="shared" si="42"/>
        <v>8.6799331089171067E-2</v>
      </c>
    </row>
    <row r="75" spans="2:28" ht="9.9499999999999993" customHeight="1" x14ac:dyDescent="0.15">
      <c r="B75" s="48">
        <v>42678</v>
      </c>
      <c r="C75" s="45">
        <v>4702.2700000000004</v>
      </c>
      <c r="D75" s="45"/>
      <c r="E75" s="55">
        <f t="shared" si="46"/>
        <v>7.8739932014936634E-2</v>
      </c>
      <c r="F75" s="45">
        <v>3240.38</v>
      </c>
      <c r="G75" s="45"/>
      <c r="H75" s="55">
        <f t="shared" si="47"/>
        <v>8.0143945389790264E-2</v>
      </c>
      <c r="I75" s="50"/>
      <c r="J75" s="54">
        <f t="shared" si="38"/>
        <v>27966.207098431129</v>
      </c>
      <c r="K75" s="55"/>
      <c r="L75" s="55"/>
      <c r="M75" s="45">
        <v>7741.400735801757</v>
      </c>
      <c r="N75" s="45"/>
      <c r="O75" s="45"/>
      <c r="P75" s="55">
        <f t="shared" si="48"/>
        <v>8.1843370573452839E-2</v>
      </c>
      <c r="Q75" s="45"/>
      <c r="R75" s="45">
        <v>8093.2453858970312</v>
      </c>
      <c r="S75" s="45"/>
      <c r="T75" s="45"/>
      <c r="U75" s="55">
        <f t="shared" si="49"/>
        <v>8.1843370573452839E-2</v>
      </c>
      <c r="V75" s="45">
        <v>12131.56097673234</v>
      </c>
      <c r="W75" s="45"/>
      <c r="X75" s="45"/>
      <c r="Y75" s="55">
        <f t="shared" si="50"/>
        <v>8.1843370573452839E-2</v>
      </c>
      <c r="Z75" s="48">
        <v>42675</v>
      </c>
      <c r="AB75" s="55">
        <f t="shared" si="42"/>
        <v>7.9441938702363449E-2</v>
      </c>
    </row>
    <row r="76" spans="2:28" ht="9.9499999999999993" customHeight="1" x14ac:dyDescent="0.15">
      <c r="B76" s="48">
        <v>42705</v>
      </c>
      <c r="C76" s="45">
        <v>5076.05</v>
      </c>
      <c r="D76" s="45"/>
      <c r="E76" s="55">
        <f t="shared" si="46"/>
        <v>8.4998911569182337E-2</v>
      </c>
      <c r="F76" s="45">
        <v>3200.46</v>
      </c>
      <c r="G76" s="45"/>
      <c r="H76" s="55">
        <f t="shared" si="47"/>
        <v>7.915660862683023E-2</v>
      </c>
      <c r="I76" s="50"/>
      <c r="J76" s="54">
        <f t="shared" si="38"/>
        <v>28756.763846911505</v>
      </c>
      <c r="K76" s="55"/>
      <c r="L76" s="55"/>
      <c r="M76" s="45">
        <v>7960.2368680251484</v>
      </c>
      <c r="N76" s="45"/>
      <c r="O76" s="45"/>
      <c r="P76" s="55">
        <f t="shared" si="48"/>
        <v>8.4156942403107671E-2</v>
      </c>
      <c r="Q76" s="45"/>
      <c r="R76" s="45">
        <v>8322.027563416108</v>
      </c>
      <c r="S76" s="45"/>
      <c r="T76" s="45"/>
      <c r="U76" s="55">
        <f t="shared" si="49"/>
        <v>8.4156942403107671E-2</v>
      </c>
      <c r="V76" s="45">
        <v>12474.499415470247</v>
      </c>
      <c r="W76" s="45"/>
      <c r="X76" s="45"/>
      <c r="Y76" s="55">
        <f t="shared" si="50"/>
        <v>8.4156942403107671E-2</v>
      </c>
      <c r="Z76" s="48">
        <v>42705</v>
      </c>
      <c r="AB76" s="55">
        <f t="shared" si="42"/>
        <v>8.2077760098006283E-2</v>
      </c>
    </row>
    <row r="77" spans="2:28" ht="9.9499999999999993" customHeight="1" x14ac:dyDescent="0.15">
      <c r="B77" s="48">
        <v>42741</v>
      </c>
      <c r="C77" s="45">
        <v>4597.87</v>
      </c>
      <c r="D77" s="45"/>
      <c r="E77" s="55">
        <f t="shared" si="46"/>
        <v>7.6991744670875259E-2</v>
      </c>
      <c r="F77" s="45">
        <v>2885.05</v>
      </c>
      <c r="G77" s="45"/>
      <c r="H77" s="55">
        <f t="shared" si="47"/>
        <v>7.1355609418282548E-2</v>
      </c>
      <c r="I77" s="50"/>
      <c r="J77" s="54">
        <f t="shared" si="38"/>
        <v>25351.288622688349</v>
      </c>
      <c r="K77" s="55"/>
      <c r="L77" s="55"/>
      <c r="M77" s="45">
        <v>7017.5581446013075</v>
      </c>
      <c r="N77" s="45"/>
      <c r="O77" s="45"/>
      <c r="P77" s="55">
        <f t="shared" si="48"/>
        <v>7.4190786829209918E-2</v>
      </c>
      <c r="Q77" s="45"/>
      <c r="R77" s="45">
        <v>7336.5043371800812</v>
      </c>
      <c r="S77" s="45"/>
      <c r="T77" s="45"/>
      <c r="U77" s="55">
        <f t="shared" si="49"/>
        <v>7.4190786829209918E-2</v>
      </c>
      <c r="V77" s="45">
        <v>10997.226140906958</v>
      </c>
      <c r="W77" s="45"/>
      <c r="X77" s="45"/>
      <c r="Y77" s="55">
        <f t="shared" si="50"/>
        <v>7.4190786829209918E-2</v>
      </c>
      <c r="Z77" s="48">
        <v>42736</v>
      </c>
      <c r="AB77" s="55">
        <f t="shared" si="42"/>
        <v>7.4173677044578903E-2</v>
      </c>
    </row>
    <row r="78" spans="2:28" ht="9.9499999999999993" customHeight="1" x14ac:dyDescent="0.15">
      <c r="B78" s="48">
        <v>42767</v>
      </c>
      <c r="C78" s="45">
        <v>3936.52</v>
      </c>
      <c r="D78" s="45"/>
      <c r="E78" s="55">
        <f t="shared" si="46"/>
        <v>6.5917379728394648E-2</v>
      </c>
      <c r="F78" s="45">
        <v>2475.5</v>
      </c>
      <c r="G78" s="45"/>
      <c r="H78" s="55">
        <f t="shared" si="47"/>
        <v>6.1226256430550061E-2</v>
      </c>
      <c r="I78" s="50"/>
      <c r="J78" s="54">
        <f t="shared" si="38"/>
        <v>22734.273179442964</v>
      </c>
      <c r="K78" s="55"/>
      <c r="L78" s="55"/>
      <c r="M78" s="45">
        <v>6293.135086206632</v>
      </c>
      <c r="N78" s="45"/>
      <c r="O78" s="45"/>
      <c r="P78" s="55">
        <f t="shared" si="48"/>
        <v>6.6532066289662878E-2</v>
      </c>
      <c r="Q78" s="45"/>
      <c r="R78" s="45">
        <v>6579.1564391858929</v>
      </c>
      <c r="S78" s="45"/>
      <c r="T78" s="45"/>
      <c r="U78" s="55">
        <f t="shared" si="49"/>
        <v>6.6532066289662878E-2</v>
      </c>
      <c r="V78" s="45">
        <v>9861.981654050438</v>
      </c>
      <c r="W78" s="45"/>
      <c r="X78" s="45"/>
      <c r="Y78" s="55">
        <f t="shared" si="50"/>
        <v>6.6532066289662878E-2</v>
      </c>
      <c r="Z78" s="48">
        <v>42767</v>
      </c>
      <c r="AB78" s="55">
        <f t="shared" si="42"/>
        <v>6.3571818079472348E-2</v>
      </c>
    </row>
    <row r="79" spans="2:28" ht="9.9499999999999993" customHeight="1" x14ac:dyDescent="0.15">
      <c r="B79" s="48">
        <v>42797</v>
      </c>
      <c r="C79" s="45">
        <v>4818.8599999999997</v>
      </c>
      <c r="D79" s="54">
        <f>SUM(C68:C79)</f>
        <v>59718.880000000005</v>
      </c>
      <c r="E79" s="55">
        <f t="shared" si="46"/>
        <v>8.0692242000033484E-2</v>
      </c>
      <c r="F79" s="45">
        <v>2975.21</v>
      </c>
      <c r="G79" s="54">
        <f>SUM(F68:F79)</f>
        <v>40431.599999999999</v>
      </c>
      <c r="H79" s="55">
        <f t="shared" si="47"/>
        <v>7.3585526315789476E-2</v>
      </c>
      <c r="I79" s="50"/>
      <c r="J79" s="54">
        <f t="shared" si="38"/>
        <v>27559.395402926639</v>
      </c>
      <c r="K79" s="55"/>
      <c r="L79" s="55"/>
      <c r="M79" s="45">
        <v>7628.7901001218152</v>
      </c>
      <c r="N79" s="54">
        <f>SUM(M68:M79)</f>
        <v>94588</v>
      </c>
      <c r="O79" s="45"/>
      <c r="P79" s="55">
        <f t="shared" si="48"/>
        <v>8.0652832284452733E-2</v>
      </c>
      <c r="Q79" s="45"/>
      <c r="R79" s="45">
        <v>7975.5166261126778</v>
      </c>
      <c r="S79" s="54">
        <f>SUM(R68:R79)</f>
        <v>98887</v>
      </c>
      <c r="T79" s="45"/>
      <c r="U79" s="55">
        <f t="shared" si="49"/>
        <v>8.0652832284452733E-2</v>
      </c>
      <c r="V79" s="45">
        <v>11955.088676692145</v>
      </c>
      <c r="W79" s="54">
        <f>SUM(V68:V79)</f>
        <v>148229</v>
      </c>
      <c r="X79" s="45"/>
      <c r="Y79" s="55">
        <f t="shared" si="50"/>
        <v>8.0652832284452733E-2</v>
      </c>
      <c r="Z79" s="48">
        <v>42795</v>
      </c>
      <c r="AB79" s="55">
        <f t="shared" si="42"/>
        <v>7.713888415791148E-2</v>
      </c>
    </row>
    <row r="80" spans="2:28" ht="9.9499999999999993" customHeight="1" x14ac:dyDescent="0.15">
      <c r="B80" s="48">
        <v>42828</v>
      </c>
      <c r="C80" s="45">
        <v>4574.25</v>
      </c>
      <c r="D80" s="45"/>
      <c r="E80" s="55">
        <f>C80/60216</f>
        <v>7.5964029493822235E-2</v>
      </c>
      <c r="F80" s="45">
        <v>2943.86</v>
      </c>
      <c r="G80" s="45"/>
      <c r="H80" s="55">
        <f>F80/40748</f>
        <v>7.2245508982035925E-2</v>
      </c>
      <c r="I80" s="50"/>
      <c r="J80" s="54">
        <f t="shared" si="38"/>
        <v>24343.564904198178</v>
      </c>
      <c r="K80" s="50"/>
      <c r="L80" s="50"/>
      <c r="M80" s="66">
        <f>88886*AB80</f>
        <v>6586.8765184825643</v>
      </c>
      <c r="N80" s="45"/>
      <c r="O80" s="45"/>
      <c r="P80" s="45"/>
      <c r="Q80" s="45"/>
      <c r="R80" s="66">
        <f>116021*AB80</f>
        <v>8597.7094317537703</v>
      </c>
      <c r="S80" s="45"/>
      <c r="T80" s="45"/>
      <c r="U80" s="45"/>
      <c r="V80" s="66">
        <f>123595*AB80</f>
        <v>9158.978953961845</v>
      </c>
      <c r="W80" s="45"/>
      <c r="X80" s="50"/>
      <c r="Y80" s="50"/>
      <c r="Z80" s="48">
        <v>42826</v>
      </c>
      <c r="AB80" s="55">
        <f t="shared" si="42"/>
        <v>7.410476923792908E-2</v>
      </c>
    </row>
    <row r="81" spans="2:28" ht="9.9499999999999993" customHeight="1" x14ac:dyDescent="0.15">
      <c r="B81" s="48">
        <v>42857</v>
      </c>
      <c r="C81" s="45">
        <v>5535.09</v>
      </c>
      <c r="D81" s="45"/>
      <c r="E81" s="55">
        <f t="shared" ref="E81:E91" si="51">C81/60216</f>
        <v>9.1920585890793147E-2</v>
      </c>
      <c r="F81" s="45">
        <v>3705.96</v>
      </c>
      <c r="G81" s="45"/>
      <c r="H81" s="55">
        <f t="shared" ref="H81:H91" si="52">F81/40748</f>
        <v>9.094826739962697E-2</v>
      </c>
      <c r="I81" s="50"/>
      <c r="J81" s="54">
        <f t="shared" si="38"/>
        <v>30036.392021804797</v>
      </c>
      <c r="K81" s="50"/>
      <c r="L81" s="50"/>
      <c r="M81" s="66">
        <f t="shared" ref="M81:M91" si="53">88886*AB81</f>
        <v>8127.2404467861415</v>
      </c>
      <c r="N81" s="45"/>
      <c r="O81" s="45"/>
      <c r="P81" s="45"/>
      <c r="Q81" s="45"/>
      <c r="R81" s="66">
        <f t="shared" ref="R81:R91" si="54">116021*AB81</f>
        <v>10608.313613803917</v>
      </c>
      <c r="S81" s="45"/>
      <c r="T81" s="45"/>
      <c r="U81" s="45"/>
      <c r="V81" s="66">
        <f t="shared" ref="V81:V91" si="55">123595*AB81</f>
        <v>11300.837961214738</v>
      </c>
      <c r="W81" s="45"/>
      <c r="X81" s="50"/>
      <c r="Y81" s="50"/>
      <c r="Z81" s="48">
        <v>42856</v>
      </c>
      <c r="AB81" s="55">
        <f t="shared" si="42"/>
        <v>9.1434426645210065E-2</v>
      </c>
    </row>
    <row r="82" spans="2:28" ht="9.9499999999999993" customHeight="1" x14ac:dyDescent="0.15">
      <c r="B82" s="48">
        <v>42887</v>
      </c>
      <c r="C82" s="45">
        <v>5442.01</v>
      </c>
      <c r="D82" s="45"/>
      <c r="E82" s="55">
        <f t="shared" si="51"/>
        <v>9.0374817324299195E-2</v>
      </c>
      <c r="F82" s="45">
        <v>3770.52</v>
      </c>
      <c r="G82" s="45"/>
      <c r="H82" s="55">
        <f t="shared" si="52"/>
        <v>9.2532639638755271E-2</v>
      </c>
      <c r="I82" s="50"/>
      <c r="J82" s="54">
        <f t="shared" si="38"/>
        <v>30042.732713638659</v>
      </c>
      <c r="K82" s="50"/>
      <c r="L82" s="50"/>
      <c r="M82" s="66">
        <f t="shared" si="53"/>
        <v>8128.9561098090298</v>
      </c>
      <c r="N82" s="45"/>
      <c r="O82" s="45"/>
      <c r="P82" s="45"/>
      <c r="Q82" s="45"/>
      <c r="R82" s="66">
        <f t="shared" si="54"/>
        <v>10610.553032155271</v>
      </c>
      <c r="S82" s="45"/>
      <c r="T82" s="45"/>
      <c r="U82" s="45"/>
      <c r="V82" s="66">
        <f t="shared" si="55"/>
        <v>11303.223571674358</v>
      </c>
      <c r="W82" s="45"/>
      <c r="X82" s="50"/>
      <c r="Y82" s="50"/>
      <c r="Z82" s="48">
        <v>42887</v>
      </c>
      <c r="AB82" s="55">
        <f t="shared" si="42"/>
        <v>9.1453728481527233E-2</v>
      </c>
    </row>
    <row r="83" spans="2:28" ht="9.9499999999999993" customHeight="1" x14ac:dyDescent="0.15">
      <c r="B83" s="48">
        <v>42919</v>
      </c>
      <c r="C83" s="45">
        <v>5365.97</v>
      </c>
      <c r="D83" s="45"/>
      <c r="E83" s="55">
        <f t="shared" si="51"/>
        <v>8.911203002524247E-2</v>
      </c>
      <c r="F83" s="45">
        <v>3885.4</v>
      </c>
      <c r="G83" s="45"/>
      <c r="H83" s="55">
        <f t="shared" si="52"/>
        <v>9.5351919112594483E-2</v>
      </c>
      <c r="I83" s="50"/>
      <c r="J83" s="54">
        <f t="shared" si="38"/>
        <v>30298.388109838859</v>
      </c>
      <c r="K83" s="50"/>
      <c r="L83" s="50"/>
      <c r="M83" s="66">
        <f t="shared" si="53"/>
        <v>8198.1312915328872</v>
      </c>
      <c r="N83" s="45"/>
      <c r="O83" s="45"/>
      <c r="P83" s="45"/>
      <c r="Q83" s="45"/>
      <c r="R83" s="66">
        <f t="shared" si="54"/>
        <v>10700.84592146049</v>
      </c>
      <c r="S83" s="45"/>
      <c r="T83" s="45"/>
      <c r="U83" s="45"/>
      <c r="V83" s="66">
        <f t="shared" si="55"/>
        <v>11399.410896845478</v>
      </c>
      <c r="W83" s="45"/>
      <c r="X83" s="50"/>
      <c r="Y83" s="50"/>
      <c r="Z83" s="48">
        <v>42917</v>
      </c>
      <c r="AB83" s="55">
        <f t="shared" si="42"/>
        <v>9.2231974568918476E-2</v>
      </c>
    </row>
    <row r="84" spans="2:28" ht="9.9499999999999993" customHeight="1" x14ac:dyDescent="0.15">
      <c r="B84" s="48">
        <v>42948</v>
      </c>
      <c r="C84" s="45">
        <v>5947.22</v>
      </c>
      <c r="D84" s="45"/>
      <c r="E84" s="55">
        <f t="shared" si="51"/>
        <v>9.8764780124883753E-2</v>
      </c>
      <c r="F84" s="45">
        <v>4267.82</v>
      </c>
      <c r="G84" s="45"/>
      <c r="H84" s="55">
        <f t="shared" si="52"/>
        <v>0.10473691960341611</v>
      </c>
      <c r="I84" s="50"/>
      <c r="J84" s="54">
        <f t="shared" si="38"/>
        <v>33425.35768207298</v>
      </c>
      <c r="K84" s="50"/>
      <c r="L84" s="50"/>
      <c r="M84" s="66">
        <f t="shared" si="53"/>
        <v>9044.2260410248309</v>
      </c>
      <c r="N84" s="45"/>
      <c r="O84" s="45"/>
      <c r="P84" s="45"/>
      <c r="Q84" s="45"/>
      <c r="R84" s="66">
        <f t="shared" si="54"/>
        <v>11805.235352088539</v>
      </c>
      <c r="S84" s="45"/>
      <c r="T84" s="45"/>
      <c r="U84" s="45"/>
      <c r="V84" s="66">
        <f t="shared" si="55"/>
        <v>12575.89628895961</v>
      </c>
      <c r="W84" s="45"/>
      <c r="X84" s="50"/>
      <c r="Y84" s="50"/>
      <c r="Z84" s="48">
        <v>42948</v>
      </c>
      <c r="AB84" s="55">
        <f t="shared" si="42"/>
        <v>0.10175084986414992</v>
      </c>
    </row>
    <row r="85" spans="2:28" ht="9.9499999999999993" customHeight="1" x14ac:dyDescent="0.15">
      <c r="B85" s="48">
        <v>42979</v>
      </c>
      <c r="C85" s="45">
        <v>5135.9799999999996</v>
      </c>
      <c r="D85" s="45"/>
      <c r="E85" s="55">
        <f t="shared" si="51"/>
        <v>8.5292613258934502E-2</v>
      </c>
      <c r="F85" s="45">
        <v>3661.59</v>
      </c>
      <c r="G85" s="45"/>
      <c r="H85" s="55">
        <f t="shared" si="52"/>
        <v>8.9859379601452835E-2</v>
      </c>
      <c r="I85" s="50"/>
      <c r="J85" s="54">
        <f t="shared" si="38"/>
        <v>28768.889979311483</v>
      </c>
      <c r="K85" s="50"/>
      <c r="L85" s="50"/>
      <c r="M85" s="66">
        <f t="shared" si="53"/>
        <v>7784.280018694195</v>
      </c>
      <c r="N85" s="45"/>
      <c r="O85" s="45"/>
      <c r="P85" s="45"/>
      <c r="Q85" s="45"/>
      <c r="R85" s="66">
        <f t="shared" si="54"/>
        <v>10160.6546818275</v>
      </c>
      <c r="S85" s="45"/>
      <c r="T85" s="45"/>
      <c r="U85" s="45"/>
      <c r="V85" s="66">
        <f t="shared" si="55"/>
        <v>10823.955278789786</v>
      </c>
      <c r="W85" s="45"/>
      <c r="X85" s="50"/>
      <c r="Y85" s="50"/>
      <c r="Z85" s="48">
        <v>42979</v>
      </c>
      <c r="AB85" s="55">
        <f t="shared" si="42"/>
        <v>8.7575996430193676E-2</v>
      </c>
    </row>
    <row r="86" spans="2:28" ht="9.9499999999999993" customHeight="1" x14ac:dyDescent="0.15">
      <c r="B86" s="48">
        <v>43010</v>
      </c>
      <c r="C86" s="45">
        <v>5397.84</v>
      </c>
      <c r="D86" s="45"/>
      <c r="E86" s="55">
        <f t="shared" si="51"/>
        <v>8.964129135113591E-2</v>
      </c>
      <c r="F86" s="45">
        <v>3700.68</v>
      </c>
      <c r="G86" s="45"/>
      <c r="H86" s="55">
        <f t="shared" si="52"/>
        <v>9.0818690487876705E-2</v>
      </c>
      <c r="I86" s="50"/>
      <c r="J86" s="54">
        <f t="shared" si="38"/>
        <v>29640.732477039666</v>
      </c>
      <c r="K86" s="50"/>
      <c r="L86" s="50"/>
      <c r="M86" s="66">
        <f t="shared" si="53"/>
        <v>8020.1829728712382</v>
      </c>
      <c r="N86" s="45"/>
      <c r="O86" s="45"/>
      <c r="P86" s="45"/>
      <c r="Q86" s="45"/>
      <c r="R86" s="66">
        <f t="shared" si="54"/>
        <v>10468.573776472042</v>
      </c>
      <c r="S86" s="45"/>
      <c r="T86" s="45"/>
      <c r="U86" s="45"/>
      <c r="V86" s="66">
        <f t="shared" si="55"/>
        <v>11151.975727696383</v>
      </c>
      <c r="W86" s="45"/>
      <c r="X86" s="50"/>
      <c r="Y86" s="50"/>
      <c r="Z86" s="48">
        <v>43009</v>
      </c>
      <c r="AB86" s="55">
        <f t="shared" si="42"/>
        <v>9.0229990919506314E-2</v>
      </c>
    </row>
    <row r="87" spans="2:28" ht="9.9499999999999993" customHeight="1" x14ac:dyDescent="0.15">
      <c r="B87" s="48">
        <v>43055</v>
      </c>
      <c r="C87" s="45">
        <v>4808.5200000000004</v>
      </c>
      <c r="D87" s="45"/>
      <c r="E87" s="55">
        <f t="shared" si="51"/>
        <v>7.9854523714627354E-2</v>
      </c>
      <c r="F87" s="45">
        <v>3337.72</v>
      </c>
      <c r="G87" s="45"/>
      <c r="H87" s="55">
        <f t="shared" si="52"/>
        <v>8.1911259448316481E-2</v>
      </c>
      <c r="I87" s="50"/>
      <c r="J87" s="54">
        <f t="shared" si="38"/>
        <v>26570.191650296685</v>
      </c>
      <c r="K87" s="50"/>
      <c r="L87" s="50"/>
      <c r="M87" s="66">
        <f t="shared" si="53"/>
        <v>7189.3567011107125</v>
      </c>
      <c r="N87" s="45"/>
      <c r="O87" s="45"/>
      <c r="P87" s="45"/>
      <c r="Q87" s="45"/>
      <c r="R87" s="66">
        <f t="shared" si="54"/>
        <v>9384.1139641739519</v>
      </c>
      <c r="S87" s="45"/>
      <c r="T87" s="45"/>
      <c r="U87" s="45"/>
      <c r="V87" s="66">
        <f t="shared" si="55"/>
        <v>9996.7209850120216</v>
      </c>
      <c r="W87" s="45"/>
      <c r="X87" s="50"/>
      <c r="Y87" s="50"/>
      <c r="Z87" s="48">
        <v>43040</v>
      </c>
      <c r="AB87" s="55">
        <f t="shared" si="42"/>
        <v>8.0882891581471911E-2</v>
      </c>
    </row>
    <row r="88" spans="2:28" ht="9.9499999999999993" customHeight="1" x14ac:dyDescent="0.15">
      <c r="B88" s="48">
        <v>43070</v>
      </c>
      <c r="C88" s="45">
        <v>4770.28</v>
      </c>
      <c r="D88" s="45"/>
      <c r="E88" s="55">
        <f t="shared" si="51"/>
        <v>7.921947655108276E-2</v>
      </c>
      <c r="F88" s="45">
        <v>3094.41</v>
      </c>
      <c r="G88" s="45"/>
      <c r="H88" s="55">
        <f t="shared" si="52"/>
        <v>7.5940168842642583E-2</v>
      </c>
      <c r="I88" s="50"/>
      <c r="J88" s="54">
        <f t="shared" si="38"/>
        <v>25485.126915564779</v>
      </c>
      <c r="K88" s="50"/>
      <c r="L88" s="50"/>
      <c r="M88" s="66">
        <f t="shared" si="53"/>
        <v>6895.7601202333353</v>
      </c>
      <c r="N88" s="45"/>
      <c r="O88" s="45"/>
      <c r="P88" s="45"/>
      <c r="Q88" s="45"/>
      <c r="R88" s="66">
        <f t="shared" si="54"/>
        <v>9000.8886091127042</v>
      </c>
      <c r="S88" s="45"/>
      <c r="T88" s="45"/>
      <c r="U88" s="45"/>
      <c r="V88" s="66">
        <f t="shared" si="55"/>
        <v>9588.478186218741</v>
      </c>
      <c r="W88" s="45"/>
      <c r="X88" s="50"/>
      <c r="Y88" s="50"/>
      <c r="Z88" s="48">
        <v>43070</v>
      </c>
      <c r="AB88" s="55">
        <f t="shared" si="42"/>
        <v>7.7579822696862671E-2</v>
      </c>
    </row>
    <row r="89" spans="2:28" ht="9.9499999999999993" customHeight="1" x14ac:dyDescent="0.15">
      <c r="B89" s="48">
        <v>43105</v>
      </c>
      <c r="C89" s="45">
        <v>4593.75</v>
      </c>
      <c r="D89" s="45"/>
      <c r="E89" s="55">
        <f t="shared" si="51"/>
        <v>7.6287863690713428E-2</v>
      </c>
      <c r="F89" s="45">
        <v>2901.53</v>
      </c>
      <c r="G89" s="45"/>
      <c r="H89" s="55">
        <f t="shared" si="52"/>
        <v>7.1206684990674396E-2</v>
      </c>
      <c r="I89" s="50"/>
      <c r="J89" s="54">
        <f t="shared" ref="J89:J103" si="56">V89+R89+M89</f>
        <v>24226.127115466632</v>
      </c>
      <c r="K89" s="50"/>
      <c r="L89" s="50"/>
      <c r="M89" s="66">
        <f t="shared" si="53"/>
        <v>6555.1002270469198</v>
      </c>
      <c r="N89" s="45"/>
      <c r="O89" s="45"/>
      <c r="P89" s="45"/>
      <c r="Q89" s="45"/>
      <c r="R89" s="66">
        <f t="shared" si="54"/>
        <v>8556.2325162816487</v>
      </c>
      <c r="S89" s="45"/>
      <c r="T89" s="45"/>
      <c r="U89" s="45"/>
      <c r="V89" s="66">
        <f t="shared" si="55"/>
        <v>9114.7943721380652</v>
      </c>
      <c r="W89" s="45"/>
      <c r="X89" s="50"/>
      <c r="Y89" s="50"/>
      <c r="Z89" s="48">
        <v>43101</v>
      </c>
      <c r="AB89" s="55">
        <f t="shared" ref="AB89:AB103" si="57">AVERAGE(E89,O89,T89,X89,H89)</f>
        <v>7.3747274340693919E-2</v>
      </c>
    </row>
    <row r="90" spans="2:28" ht="9.9499999999999993" customHeight="1" x14ac:dyDescent="0.15">
      <c r="B90" s="48">
        <v>43132</v>
      </c>
      <c r="C90" s="45">
        <v>3827.41</v>
      </c>
      <c r="D90" s="45"/>
      <c r="E90" s="55">
        <f t="shared" si="51"/>
        <v>6.3561345821708512E-2</v>
      </c>
      <c r="F90" s="45">
        <v>2403.42</v>
      </c>
      <c r="G90" s="45"/>
      <c r="H90" s="55">
        <f t="shared" si="52"/>
        <v>5.8982526749779135E-2</v>
      </c>
      <c r="I90" s="50"/>
      <c r="J90" s="54">
        <f t="shared" si="56"/>
        <v>20127.953613739417</v>
      </c>
      <c r="K90" s="50"/>
      <c r="L90" s="50"/>
      <c r="M90" s="66">
        <f t="shared" si="53"/>
        <v>5446.2173286946254</v>
      </c>
      <c r="N90" s="45"/>
      <c r="O90" s="45"/>
      <c r="P90" s="45"/>
      <c r="Q90" s="45"/>
      <c r="R90" s="66">
        <f t="shared" si="54"/>
        <v>7108.8313198082842</v>
      </c>
      <c r="S90" s="45"/>
      <c r="T90" s="45"/>
      <c r="U90" s="45"/>
      <c r="V90" s="66">
        <f t="shared" si="55"/>
        <v>7572.9049652365075</v>
      </c>
      <c r="W90" s="45"/>
      <c r="X90" s="50"/>
      <c r="Y90" s="50"/>
      <c r="Z90" s="48">
        <v>43132</v>
      </c>
      <c r="AB90" s="55">
        <f t="shared" si="57"/>
        <v>6.1271936285743824E-2</v>
      </c>
    </row>
    <row r="91" spans="2:28" ht="9.9499999999999993" customHeight="1" x14ac:dyDescent="0.15">
      <c r="B91" s="48">
        <v>43160</v>
      </c>
      <c r="C91" s="45">
        <v>4817.8999999999996</v>
      </c>
      <c r="D91" s="54">
        <f>SUM(C80:C91)</f>
        <v>60216.220000000008</v>
      </c>
      <c r="E91" s="55">
        <f t="shared" si="51"/>
        <v>8.0010296266772946E-2</v>
      </c>
      <c r="F91" s="45">
        <v>3074.8</v>
      </c>
      <c r="G91" s="54">
        <f>SUM(F80:F91)</f>
        <v>40747.71</v>
      </c>
      <c r="H91" s="55">
        <f t="shared" si="52"/>
        <v>7.5458918229115546E-2</v>
      </c>
      <c r="I91" s="50"/>
      <c r="J91" s="54">
        <f t="shared" si="56"/>
        <v>25535.973950164182</v>
      </c>
      <c r="K91" s="66">
        <f>W91+S91+N91</f>
        <v>328502</v>
      </c>
      <c r="L91" s="50"/>
      <c r="M91" s="66">
        <f t="shared" si="53"/>
        <v>6909.5182998407727</v>
      </c>
      <c r="N91" s="98">
        <v>88886</v>
      </c>
      <c r="O91" s="45"/>
      <c r="P91" s="45"/>
      <c r="Q91" s="45"/>
      <c r="R91" s="66">
        <f t="shared" si="54"/>
        <v>9018.8468675137392</v>
      </c>
      <c r="S91" s="98">
        <v>116021</v>
      </c>
      <c r="T91" s="45"/>
      <c r="U91" s="45"/>
      <c r="V91" s="66">
        <f t="shared" si="55"/>
        <v>9607.6087828096697</v>
      </c>
      <c r="W91" s="98">
        <v>123595</v>
      </c>
      <c r="X91" s="50"/>
      <c r="Y91" s="50"/>
      <c r="Z91" s="48">
        <v>43160</v>
      </c>
      <c r="AB91" s="55">
        <f t="shared" si="57"/>
        <v>7.7734607247944246E-2</v>
      </c>
    </row>
    <row r="92" spans="2:28" ht="9.9499999999999993" customHeight="1" x14ac:dyDescent="0.15">
      <c r="B92" s="48">
        <v>43192</v>
      </c>
      <c r="C92" s="45">
        <v>4824.92</v>
      </c>
      <c r="D92" s="45"/>
      <c r="E92" s="55">
        <f>C92/58890</f>
        <v>8.1931057904567839E-2</v>
      </c>
      <c r="F92" s="44">
        <v>2997.38</v>
      </c>
      <c r="G92" s="45"/>
      <c r="H92" s="55">
        <f>F92/40445</f>
        <v>7.4110025961181852E-2</v>
      </c>
      <c r="I92" s="50"/>
      <c r="J92" s="54">
        <f t="shared" si="56"/>
        <v>29059</v>
      </c>
      <c r="K92" s="50"/>
      <c r="L92" s="50"/>
      <c r="M92" s="45">
        <v>8260</v>
      </c>
      <c r="N92" s="45"/>
      <c r="O92" s="45"/>
      <c r="P92" s="45"/>
      <c r="Q92" s="45"/>
      <c r="R92" s="45">
        <v>7180</v>
      </c>
      <c r="S92" s="45"/>
      <c r="T92" s="45"/>
      <c r="U92" s="45"/>
      <c r="V92" s="45">
        <v>13619</v>
      </c>
      <c r="W92" s="45"/>
      <c r="X92" s="50"/>
      <c r="Y92" s="50"/>
      <c r="Z92" s="48">
        <v>43191</v>
      </c>
      <c r="AB92" s="55">
        <f t="shared" si="57"/>
        <v>7.8020541932874846E-2</v>
      </c>
    </row>
    <row r="93" spans="2:28" ht="9.9499999999999993" customHeight="1" x14ac:dyDescent="0.15">
      <c r="B93" s="48">
        <v>43221</v>
      </c>
      <c r="C93" s="45">
        <v>5632.88</v>
      </c>
      <c r="D93" s="45"/>
      <c r="E93" s="55">
        <f t="shared" ref="E93:E103" si="58">C93/58890</f>
        <v>9.5650874511801667E-2</v>
      </c>
      <c r="F93" s="44">
        <v>3801.51</v>
      </c>
      <c r="G93" s="45"/>
      <c r="H93" s="55">
        <f t="shared" ref="H93:H103" si="59">F93/40445</f>
        <v>9.3992088020768957E-2</v>
      </c>
      <c r="I93" s="50"/>
      <c r="J93" s="54">
        <f t="shared" si="56"/>
        <v>26089</v>
      </c>
      <c r="K93" s="50"/>
      <c r="L93" s="50"/>
      <c r="M93" s="45">
        <v>5792</v>
      </c>
      <c r="N93" s="45"/>
      <c r="O93" s="45"/>
      <c r="P93" s="45"/>
      <c r="Q93" s="45"/>
      <c r="R93" s="45">
        <v>8158</v>
      </c>
      <c r="S93" s="45"/>
      <c r="T93" s="45"/>
      <c r="U93" s="45"/>
      <c r="V93" s="45">
        <v>12139</v>
      </c>
      <c r="W93" s="45"/>
      <c r="X93" s="50"/>
      <c r="Y93" s="50"/>
      <c r="Z93" s="48">
        <v>43221</v>
      </c>
      <c r="AB93" s="55">
        <f t="shared" si="57"/>
        <v>9.4821481266285312E-2</v>
      </c>
    </row>
    <row r="94" spans="2:28" ht="9.9499999999999993" customHeight="1" x14ac:dyDescent="0.15">
      <c r="B94" s="48">
        <v>43252</v>
      </c>
      <c r="C94" s="45">
        <v>5064.37</v>
      </c>
      <c r="D94" s="45"/>
      <c r="E94" s="55">
        <f t="shared" si="58"/>
        <v>8.5997113262013924E-2</v>
      </c>
      <c r="F94" s="45">
        <v>3646.96</v>
      </c>
      <c r="G94" s="45"/>
      <c r="H94" s="55">
        <f t="shared" si="59"/>
        <v>9.0170849301520584E-2</v>
      </c>
      <c r="I94" s="50"/>
      <c r="J94" s="54">
        <f t="shared" si="56"/>
        <v>23505</v>
      </c>
      <c r="K94" s="50"/>
      <c r="L94" s="50"/>
      <c r="M94" s="45">
        <v>9199</v>
      </c>
      <c r="N94" s="45"/>
      <c r="O94" s="45"/>
      <c r="P94" s="45"/>
      <c r="Q94" s="45"/>
      <c r="R94" s="97">
        <v>2246</v>
      </c>
      <c r="S94" s="45"/>
      <c r="T94" s="45"/>
      <c r="U94" s="45"/>
      <c r="V94" s="45">
        <v>12060</v>
      </c>
      <c r="W94" s="45"/>
      <c r="X94" s="50"/>
      <c r="Y94" s="50"/>
      <c r="Z94" s="48">
        <v>43252</v>
      </c>
      <c r="AB94" s="55">
        <f t="shared" si="57"/>
        <v>8.8083981281767254E-2</v>
      </c>
    </row>
    <row r="95" spans="2:28" ht="9.9499999999999993" customHeight="1" x14ac:dyDescent="0.15">
      <c r="B95" s="48">
        <v>43283</v>
      </c>
      <c r="C95" s="45">
        <v>5485.96</v>
      </c>
      <c r="D95" s="45"/>
      <c r="E95" s="55">
        <f t="shared" si="58"/>
        <v>9.3156053659364912E-2</v>
      </c>
      <c r="F95" s="45">
        <v>3865.93</v>
      </c>
      <c r="G95" s="45"/>
      <c r="H95" s="55">
        <f t="shared" si="59"/>
        <v>9.5584868339720602E-2</v>
      </c>
      <c r="I95" s="50"/>
      <c r="J95" s="54">
        <f t="shared" si="56"/>
        <v>23312</v>
      </c>
      <c r="K95" s="50"/>
      <c r="L95" s="50"/>
      <c r="M95" s="45">
        <v>5673</v>
      </c>
      <c r="N95" s="45"/>
      <c r="O95" s="45"/>
      <c r="P95" s="45"/>
      <c r="Q95" s="45"/>
      <c r="R95" s="45">
        <v>8431</v>
      </c>
      <c r="S95" s="45"/>
      <c r="T95" s="45"/>
      <c r="U95" s="45"/>
      <c r="V95" s="45">
        <v>9208</v>
      </c>
      <c r="W95" s="45"/>
      <c r="X95" s="50"/>
      <c r="Y95" s="50"/>
      <c r="Z95" s="48">
        <v>43282</v>
      </c>
      <c r="AB95" s="55">
        <f t="shared" si="57"/>
        <v>9.4370460999542757E-2</v>
      </c>
    </row>
    <row r="96" spans="2:28" ht="9.9499999999999993" customHeight="1" x14ac:dyDescent="0.15">
      <c r="B96" s="48">
        <v>43313</v>
      </c>
      <c r="C96" s="45">
        <v>5456.73</v>
      </c>
      <c r="D96" s="45"/>
      <c r="E96" s="55">
        <f t="shared" si="58"/>
        <v>9.2659704533876716E-2</v>
      </c>
      <c r="F96" s="45">
        <v>3797.17</v>
      </c>
      <c r="G96" s="45"/>
      <c r="H96" s="55">
        <f t="shared" si="59"/>
        <v>9.3884781802447775E-2</v>
      </c>
      <c r="I96" s="50"/>
      <c r="J96" s="54">
        <f t="shared" si="56"/>
        <v>30577</v>
      </c>
      <c r="K96" s="50"/>
      <c r="L96" s="50"/>
      <c r="M96" s="45">
        <v>9118</v>
      </c>
      <c r="N96" s="45"/>
      <c r="O96" s="45"/>
      <c r="P96" s="45"/>
      <c r="Q96" s="45"/>
      <c r="R96" s="45">
        <v>9175</v>
      </c>
      <c r="S96" s="45"/>
      <c r="T96" s="45"/>
      <c r="U96" s="45"/>
      <c r="V96" s="45">
        <v>12284</v>
      </c>
      <c r="W96" s="45"/>
      <c r="X96" s="50"/>
      <c r="Y96" s="50"/>
      <c r="Z96" s="48">
        <v>43313</v>
      </c>
      <c r="AB96" s="55">
        <f t="shared" si="57"/>
        <v>9.3272243168162239E-2</v>
      </c>
    </row>
    <row r="97" spans="2:28" ht="9.9499999999999993" customHeight="1" x14ac:dyDescent="0.15">
      <c r="B97" s="48">
        <v>43346</v>
      </c>
      <c r="C97" s="45">
        <v>4753.95</v>
      </c>
      <c r="D97" s="45"/>
      <c r="E97" s="55">
        <f t="shared" si="58"/>
        <v>8.0725929699439633E-2</v>
      </c>
      <c r="F97" s="45">
        <v>3534.99</v>
      </c>
      <c r="G97" s="45"/>
      <c r="H97" s="55">
        <f t="shared" si="59"/>
        <v>8.7402398318704402E-2</v>
      </c>
      <c r="I97" s="50"/>
      <c r="J97" s="54">
        <f t="shared" si="56"/>
        <v>34448</v>
      </c>
      <c r="K97" s="50"/>
      <c r="L97" s="50"/>
      <c r="M97" s="45">
        <v>5957</v>
      </c>
      <c r="N97" s="45"/>
      <c r="O97" s="45"/>
      <c r="P97" s="45"/>
      <c r="Q97" s="45"/>
      <c r="R97" s="45">
        <v>16153</v>
      </c>
      <c r="S97" s="45"/>
      <c r="T97" s="45"/>
      <c r="U97" s="45"/>
      <c r="V97" s="45">
        <v>12338</v>
      </c>
      <c r="W97" s="45"/>
      <c r="X97" s="50"/>
      <c r="Y97" s="50"/>
      <c r="Z97" s="48">
        <v>43344</v>
      </c>
      <c r="AB97" s="55">
        <f t="shared" si="57"/>
        <v>8.4064164009072018E-2</v>
      </c>
    </row>
    <row r="98" spans="2:28" ht="9.9499999999999993" customHeight="1" x14ac:dyDescent="0.15">
      <c r="B98" s="48">
        <v>43374</v>
      </c>
      <c r="C98" s="45">
        <v>5340.29</v>
      </c>
      <c r="D98" s="45"/>
      <c r="E98" s="55">
        <f t="shared" si="58"/>
        <v>9.068245882153167E-2</v>
      </c>
      <c r="F98" s="45">
        <v>3963.28</v>
      </c>
      <c r="G98" s="45"/>
      <c r="H98" s="55">
        <f t="shared" si="59"/>
        <v>9.7991840771417982E-2</v>
      </c>
      <c r="I98" s="50"/>
      <c r="J98" s="54">
        <f t="shared" si="56"/>
        <v>22363</v>
      </c>
      <c r="K98" s="50"/>
      <c r="L98" s="50"/>
      <c r="M98" s="45">
        <v>7116</v>
      </c>
      <c r="N98" s="45"/>
      <c r="O98" s="45"/>
      <c r="P98" s="45"/>
      <c r="Q98" s="45"/>
      <c r="R98" s="45">
        <v>14477</v>
      </c>
      <c r="S98" s="45"/>
      <c r="T98" s="45"/>
      <c r="U98" s="45"/>
      <c r="V98" s="97">
        <v>770</v>
      </c>
      <c r="W98" s="45"/>
      <c r="X98" s="50"/>
      <c r="Y98" s="50"/>
      <c r="Z98" s="48">
        <v>43374</v>
      </c>
      <c r="AB98" s="55">
        <f t="shared" si="57"/>
        <v>9.4337149796474826E-2</v>
      </c>
    </row>
    <row r="99" spans="2:28" ht="9.9499999999999993" customHeight="1" x14ac:dyDescent="0.15">
      <c r="B99" s="48">
        <v>43405</v>
      </c>
      <c r="C99" s="45">
        <v>4995.25</v>
      </c>
      <c r="D99" s="45"/>
      <c r="E99" s="55">
        <f t="shared" si="58"/>
        <v>8.4823399558498894E-2</v>
      </c>
      <c r="F99" s="45">
        <v>3357.65</v>
      </c>
      <c r="G99" s="45"/>
      <c r="H99" s="55">
        <f t="shared" si="59"/>
        <v>8.3017678328594385E-2</v>
      </c>
      <c r="I99" s="50"/>
      <c r="J99" s="54">
        <f t="shared" si="56"/>
        <v>26575</v>
      </c>
      <c r="K99" s="50"/>
      <c r="L99" s="50"/>
      <c r="M99" s="97">
        <v>562</v>
      </c>
      <c r="N99" s="45"/>
      <c r="O99" s="45"/>
      <c r="P99" s="45"/>
      <c r="Q99" s="45"/>
      <c r="R99" s="45">
        <v>14199</v>
      </c>
      <c r="S99" s="45"/>
      <c r="T99" s="45"/>
      <c r="U99" s="45"/>
      <c r="V99" s="45">
        <v>11814</v>
      </c>
      <c r="W99" s="45"/>
      <c r="X99" s="50"/>
      <c r="Y99" s="50"/>
      <c r="Z99" s="48">
        <v>43405</v>
      </c>
      <c r="AB99" s="55">
        <f t="shared" si="57"/>
        <v>8.3920538943546646E-2</v>
      </c>
    </row>
    <row r="100" spans="2:28" ht="9.9499999999999993" customHeight="1" x14ac:dyDescent="0.15">
      <c r="B100" s="48">
        <v>43437</v>
      </c>
      <c r="C100" s="45">
        <v>4635.78</v>
      </c>
      <c r="D100" s="45"/>
      <c r="E100" s="55">
        <f t="shared" si="58"/>
        <v>7.8719307182883336E-2</v>
      </c>
      <c r="F100" s="45">
        <v>3025.6</v>
      </c>
      <c r="G100" s="45"/>
      <c r="H100" s="55">
        <f t="shared" si="59"/>
        <v>7.4807763629620466E-2</v>
      </c>
      <c r="I100" s="50"/>
      <c r="J100" s="54">
        <f t="shared" si="56"/>
        <v>26775</v>
      </c>
      <c r="K100" s="50"/>
      <c r="L100" s="50"/>
      <c r="M100" s="45">
        <v>4125</v>
      </c>
      <c r="N100" s="45"/>
      <c r="O100" s="45"/>
      <c r="P100" s="45"/>
      <c r="Q100" s="45"/>
      <c r="R100" s="45">
        <v>10566</v>
      </c>
      <c r="S100" s="45"/>
      <c r="T100" s="45"/>
      <c r="U100" s="45"/>
      <c r="V100" s="45">
        <v>12084</v>
      </c>
      <c r="W100" s="45"/>
      <c r="X100" s="50"/>
      <c r="Y100" s="50"/>
      <c r="Z100" s="48">
        <v>43435</v>
      </c>
      <c r="AB100" s="55">
        <f t="shared" si="57"/>
        <v>7.6763535406251901E-2</v>
      </c>
    </row>
    <row r="101" spans="2:28" ht="9.9499999999999993" customHeight="1" x14ac:dyDescent="0.15">
      <c r="B101" s="48">
        <v>43472</v>
      </c>
      <c r="C101" s="45">
        <v>4784.4399999999996</v>
      </c>
      <c r="D101" s="45"/>
      <c r="E101" s="55">
        <f t="shared" si="58"/>
        <v>8.1243674647648145E-2</v>
      </c>
      <c r="F101" s="45">
        <v>2986.16</v>
      </c>
      <c r="G101" s="45"/>
      <c r="H101" s="55">
        <f t="shared" si="59"/>
        <v>7.3832612189392993E-2</v>
      </c>
      <c r="I101" s="50"/>
      <c r="J101" s="54">
        <f t="shared" si="56"/>
        <v>22498</v>
      </c>
      <c r="K101" s="50"/>
      <c r="L101" s="50"/>
      <c r="M101" s="45">
        <v>2719</v>
      </c>
      <c r="N101" s="45"/>
      <c r="O101" s="45"/>
      <c r="P101" s="45"/>
      <c r="Q101" s="45"/>
      <c r="R101" s="45">
        <v>10461</v>
      </c>
      <c r="S101" s="45"/>
      <c r="T101" s="45"/>
      <c r="U101" s="45"/>
      <c r="V101" s="45">
        <v>9318</v>
      </c>
      <c r="W101" s="45"/>
      <c r="X101" s="50"/>
      <c r="Y101" s="50"/>
      <c r="Z101" s="48">
        <v>43466</v>
      </c>
      <c r="AB101" s="55">
        <f t="shared" si="57"/>
        <v>7.7538143418520569E-2</v>
      </c>
    </row>
    <row r="102" spans="2:28" ht="9.9499999999999993" customHeight="1" x14ac:dyDescent="0.15">
      <c r="B102" s="48">
        <v>43504</v>
      </c>
      <c r="C102" s="45">
        <v>3914.93</v>
      </c>
      <c r="D102" s="45"/>
      <c r="E102" s="55">
        <f t="shared" si="58"/>
        <v>6.6478689081338083E-2</v>
      </c>
      <c r="F102" s="45">
        <v>2479.9899999999998</v>
      </c>
      <c r="G102" s="45"/>
      <c r="H102" s="55">
        <f t="shared" si="59"/>
        <v>6.1317591791321541E-2</v>
      </c>
      <c r="I102" s="50"/>
      <c r="J102" s="54">
        <f t="shared" si="56"/>
        <v>26586</v>
      </c>
      <c r="K102" s="50"/>
      <c r="L102" s="50"/>
      <c r="M102" s="45">
        <v>4970</v>
      </c>
      <c r="N102" s="45"/>
      <c r="O102" s="45"/>
      <c r="P102" s="45"/>
      <c r="Q102" s="45"/>
      <c r="R102" s="45">
        <v>10958</v>
      </c>
      <c r="S102" s="45"/>
      <c r="T102" s="45"/>
      <c r="U102" s="45"/>
      <c r="V102" s="45">
        <v>10658</v>
      </c>
      <c r="W102" s="45"/>
      <c r="X102" s="50"/>
      <c r="Y102" s="50"/>
      <c r="Z102" s="48">
        <v>43497</v>
      </c>
      <c r="AB102" s="55">
        <f t="shared" si="57"/>
        <v>6.3898140436329812E-2</v>
      </c>
    </row>
    <row r="103" spans="2:28" ht="9.9499999999999993" customHeight="1" x14ac:dyDescent="0.15">
      <c r="B103" s="48">
        <v>43525</v>
      </c>
      <c r="C103" s="45">
        <v>4000</v>
      </c>
      <c r="D103" s="54">
        <f>SUM(C92:C103)</f>
        <v>58889.5</v>
      </c>
      <c r="E103" s="55">
        <f t="shared" si="58"/>
        <v>6.7923246731193751E-2</v>
      </c>
      <c r="F103" s="45">
        <v>2988.55</v>
      </c>
      <c r="G103" s="54">
        <f>SUM(F92:F103)</f>
        <v>40445.170000000006</v>
      </c>
      <c r="H103" s="55">
        <f t="shared" si="59"/>
        <v>7.3891704784274939E-2</v>
      </c>
      <c r="I103" s="50"/>
      <c r="J103" s="54">
        <f t="shared" si="56"/>
        <v>30804</v>
      </c>
      <c r="K103" s="50"/>
      <c r="L103" s="50"/>
      <c r="M103" s="45">
        <v>6717</v>
      </c>
      <c r="N103" s="54">
        <f>SUM(M92:M103)</f>
        <v>70208</v>
      </c>
      <c r="O103" s="45"/>
      <c r="P103" s="45"/>
      <c r="Q103" s="45"/>
      <c r="R103" s="45">
        <v>12260</v>
      </c>
      <c r="S103" s="54">
        <f>SUM(R92:R103)</f>
        <v>124264</v>
      </c>
      <c r="T103" s="45"/>
      <c r="U103" s="45"/>
      <c r="V103" s="45">
        <v>11827</v>
      </c>
      <c r="W103" s="54">
        <f>SUM(V92:V103)</f>
        <v>128119</v>
      </c>
      <c r="X103" s="50"/>
      <c r="Y103" s="50"/>
      <c r="Z103" s="48">
        <v>43525</v>
      </c>
      <c r="AB103" s="55">
        <f t="shared" si="57"/>
        <v>7.0907475757734345E-2</v>
      </c>
    </row>
    <row r="104" spans="2:28" ht="9.9499999999999993" customHeight="1" x14ac:dyDescent="0.15">
      <c r="B104" s="42"/>
      <c r="C104" s="42"/>
      <c r="D104" s="42"/>
      <c r="E104" s="42"/>
      <c r="F104" s="29"/>
      <c r="G104" s="42"/>
      <c r="H104" s="42"/>
      <c r="I104" s="29"/>
      <c r="J104" s="29"/>
      <c r="K104" s="29"/>
      <c r="L104" s="29"/>
      <c r="M104" s="29"/>
      <c r="N104" s="29"/>
      <c r="O104" s="29"/>
      <c r="P104" s="29"/>
      <c r="Q104" s="29"/>
      <c r="R104" s="29"/>
      <c r="S104" s="29"/>
      <c r="T104" s="29"/>
      <c r="U104" s="29"/>
      <c r="V104" s="29"/>
      <c r="W104" s="29"/>
      <c r="X104" s="29"/>
      <c r="Y104" s="29"/>
      <c r="Z104" s="29"/>
      <c r="AB104" s="42"/>
    </row>
    <row r="105" spans="2:28" ht="9.9499999999999993" customHeight="1" x14ac:dyDescent="0.15">
      <c r="B105" s="29"/>
      <c r="C105" s="58" t="s">
        <v>47</v>
      </c>
      <c r="D105" s="58"/>
      <c r="E105" s="58"/>
      <c r="F105" s="29" t="s">
        <v>39</v>
      </c>
      <c r="G105" s="29"/>
      <c r="H105" s="29"/>
      <c r="I105" s="29"/>
      <c r="J105" s="29" t="s">
        <v>112</v>
      </c>
      <c r="K105" s="29"/>
      <c r="L105" s="29"/>
      <c r="M105" s="29" t="s">
        <v>41</v>
      </c>
      <c r="N105" s="29"/>
      <c r="O105" s="29"/>
      <c r="P105" s="29"/>
      <c r="Q105" s="29"/>
      <c r="R105" s="29" t="s">
        <v>42</v>
      </c>
      <c r="S105" s="29"/>
      <c r="T105" s="29"/>
      <c r="U105" s="29"/>
      <c r="V105" s="29" t="s">
        <v>43</v>
      </c>
      <c r="W105" s="29"/>
      <c r="X105" s="29"/>
      <c r="Y105" s="29"/>
      <c r="Z105" s="29"/>
      <c r="AB105" s="29"/>
    </row>
    <row r="106" spans="2:28" ht="9.9499999999999993" customHeight="1" x14ac:dyDescent="0.15">
      <c r="B106" s="42"/>
      <c r="C106" s="42" t="s">
        <v>38</v>
      </c>
      <c r="D106" s="42" t="s">
        <v>48</v>
      </c>
      <c r="E106" s="42" t="s">
        <v>49</v>
      </c>
      <c r="F106" s="29" t="s">
        <v>40</v>
      </c>
      <c r="G106" s="42" t="s">
        <v>48</v>
      </c>
      <c r="H106" s="42" t="s">
        <v>49</v>
      </c>
      <c r="I106" s="29"/>
      <c r="J106" s="29" t="s">
        <v>113</v>
      </c>
      <c r="K106" s="29"/>
      <c r="L106" s="29"/>
      <c r="M106" s="29" t="s">
        <v>44</v>
      </c>
      <c r="N106" s="29"/>
      <c r="O106" s="42" t="s">
        <v>48</v>
      </c>
      <c r="P106" s="42"/>
      <c r="Q106" s="29"/>
      <c r="R106" s="29" t="s">
        <v>45</v>
      </c>
      <c r="S106" s="42" t="s">
        <v>48</v>
      </c>
      <c r="T106" s="29"/>
      <c r="U106" s="29"/>
      <c r="V106" s="29" t="s">
        <v>46</v>
      </c>
      <c r="W106" s="42" t="s">
        <v>48</v>
      </c>
      <c r="X106" s="29"/>
      <c r="Y106" s="29"/>
      <c r="Z106" s="59"/>
      <c r="AB106" s="15" t="s">
        <v>115</v>
      </c>
    </row>
    <row r="107" spans="2:28" ht="9.9499999999999993" customHeight="1" x14ac:dyDescent="0.15">
      <c r="B107" s="56"/>
    </row>
    <row r="110" spans="2:28" ht="9.9499999999999993" customHeight="1" x14ac:dyDescent="0.15">
      <c r="I110" s="43"/>
    </row>
    <row r="111" spans="2:28" ht="9.9499999999999993" customHeight="1" x14ac:dyDescent="0.15">
      <c r="I111" s="43"/>
    </row>
    <row r="112" spans="2:28" ht="9.9499999999999993" customHeight="1" x14ac:dyDescent="0.15">
      <c r="I112" s="43"/>
    </row>
    <row r="113" spans="9:9" ht="9.9499999999999993" customHeight="1" x14ac:dyDescent="0.15">
      <c r="I113" s="43"/>
    </row>
    <row r="114" spans="9:9" ht="9.9499999999999993" customHeight="1" x14ac:dyDescent="0.15">
      <c r="I114" s="43"/>
    </row>
    <row r="115" spans="9:9" ht="9.9499999999999993" customHeight="1" x14ac:dyDescent="0.15">
      <c r="I115" s="43"/>
    </row>
    <row r="116" spans="9:9" ht="9.9499999999999993" customHeight="1" x14ac:dyDescent="0.15">
      <c r="I116" s="43"/>
    </row>
    <row r="117" spans="9:9" ht="9.9499999999999993" customHeight="1" x14ac:dyDescent="0.15">
      <c r="I117" s="43"/>
    </row>
    <row r="118" spans="9:9" ht="9.9499999999999993" customHeight="1" x14ac:dyDescent="0.15">
      <c r="I118" s="43"/>
    </row>
    <row r="119" spans="9:9" ht="9.9499999999999993" customHeight="1" x14ac:dyDescent="0.15">
      <c r="I119" s="43"/>
    </row>
    <row r="120" spans="9:9" ht="9.9499999999999993" customHeight="1" x14ac:dyDescent="0.15">
      <c r="I120" s="43"/>
    </row>
    <row r="121" spans="9:9" ht="9.9499999999999993" customHeight="1" x14ac:dyDescent="0.15">
      <c r="I121" s="43"/>
    </row>
    <row r="122" spans="9:9" ht="9.9499999999999993" customHeight="1" x14ac:dyDescent="0.15">
      <c r="I122" s="43"/>
    </row>
    <row r="123" spans="9:9" ht="9.9499999999999993" customHeight="1" x14ac:dyDescent="0.15">
      <c r="I123" s="43"/>
    </row>
    <row r="124" spans="9:9" ht="9.9499999999999993" customHeight="1" x14ac:dyDescent="0.15">
      <c r="I124" s="43"/>
    </row>
    <row r="125" spans="9:9" ht="9.9499999999999993" customHeight="1" x14ac:dyDescent="0.15">
      <c r="I125" s="43"/>
    </row>
    <row r="126" spans="9:9" ht="9.9499999999999993" customHeight="1" x14ac:dyDescent="0.15">
      <c r="I126" s="43"/>
    </row>
    <row r="127" spans="9:9" ht="9.9499999999999993" customHeight="1" x14ac:dyDescent="0.15">
      <c r="I127" s="43"/>
    </row>
    <row r="128" spans="9:9" ht="9.9499999999999993" customHeight="1" x14ac:dyDescent="0.15">
      <c r="I128" s="43"/>
    </row>
    <row r="129" spans="9:9" ht="9.9499999999999993" customHeight="1" x14ac:dyDescent="0.15">
      <c r="I129" s="43"/>
    </row>
    <row r="130" spans="9:9" ht="9.9499999999999993" customHeight="1" x14ac:dyDescent="0.15">
      <c r="I130" s="43"/>
    </row>
    <row r="131" spans="9:9" ht="9.9499999999999993" customHeight="1" x14ac:dyDescent="0.15">
      <c r="I131" s="43"/>
    </row>
    <row r="132" spans="9:9" ht="9.9499999999999993" customHeight="1" x14ac:dyDescent="0.15">
      <c r="I132" s="43"/>
    </row>
    <row r="133" spans="9:9" ht="9.9499999999999993" customHeight="1" x14ac:dyDescent="0.15">
      <c r="I133" s="43"/>
    </row>
    <row r="134" spans="9:9" ht="9.9499999999999993" customHeight="1" x14ac:dyDescent="0.15">
      <c r="I134" s="43"/>
    </row>
    <row r="135" spans="9:9" ht="9.9499999999999993" customHeight="1" x14ac:dyDescent="0.15">
      <c r="I135" s="43"/>
    </row>
    <row r="136" spans="9:9" ht="9.9499999999999993" customHeight="1" x14ac:dyDescent="0.15">
      <c r="I136" s="43"/>
    </row>
    <row r="137" spans="9:9" ht="9.9499999999999993" customHeight="1" x14ac:dyDescent="0.15">
      <c r="I137" s="43"/>
    </row>
    <row r="138" spans="9:9" ht="9.9499999999999993" customHeight="1" x14ac:dyDescent="0.15">
      <c r="I138" s="43"/>
    </row>
    <row r="139" spans="9:9" ht="9.9499999999999993" customHeight="1" x14ac:dyDescent="0.15">
      <c r="I139" s="43"/>
    </row>
    <row r="140" spans="9:9" ht="9.9499999999999993" customHeight="1" x14ac:dyDescent="0.15">
      <c r="I140" s="43"/>
    </row>
    <row r="141" spans="9:9" ht="9.9499999999999993" customHeight="1" x14ac:dyDescent="0.15">
      <c r="I141" s="43"/>
    </row>
    <row r="142" spans="9:9" ht="9.9499999999999993" customHeight="1" x14ac:dyDescent="0.15">
      <c r="I142" s="43"/>
    </row>
    <row r="143" spans="9:9" ht="9.9499999999999993" customHeight="1" x14ac:dyDescent="0.15">
      <c r="I143" s="43"/>
    </row>
    <row r="144" spans="9:9" ht="9.9499999999999993" customHeight="1" x14ac:dyDescent="0.15">
      <c r="I144" s="43"/>
    </row>
    <row r="145" spans="2:9" ht="9.9499999999999993" customHeight="1" x14ac:dyDescent="0.15">
      <c r="I145" s="43"/>
    </row>
    <row r="146" spans="2:9" ht="9.9499999999999993" customHeight="1" x14ac:dyDescent="0.15">
      <c r="I146" s="43"/>
    </row>
    <row r="147" spans="2:9" ht="9.9499999999999993" customHeight="1" x14ac:dyDescent="0.15">
      <c r="I147" s="43"/>
    </row>
    <row r="148" spans="2:9" ht="9.9499999999999993" customHeight="1" x14ac:dyDescent="0.15">
      <c r="I148" s="43"/>
    </row>
    <row r="160" spans="2:9" ht="9.9499999999999993" customHeight="1" x14ac:dyDescent="0.15">
      <c r="B160" s="52"/>
    </row>
    <row r="161" spans="2:2" ht="9.9499999999999993" customHeight="1" x14ac:dyDescent="0.15">
      <c r="B161" s="52"/>
    </row>
    <row r="162" spans="2:2" ht="9.9499999999999993" customHeight="1" x14ac:dyDescent="0.15">
      <c r="B162" s="52"/>
    </row>
  </sheetData>
  <phoneticPr fontId="8"/>
  <pageMargins left="0.7" right="0.7" top="0.75" bottom="0.75" header="0.3" footer="0.3"/>
  <pageSetup paperSize="9" orientation="portrait" horizontalDpi="0" verticalDpi="0"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G332"/>
  <sheetViews>
    <sheetView topLeftCell="A16" zoomScale="75" zoomScaleNormal="75" workbookViewId="0">
      <selection activeCell="AD40" sqref="AD39:AD40"/>
    </sheetView>
  </sheetViews>
  <sheetFormatPr defaultRowHeight="11.1" customHeight="1" x14ac:dyDescent="0.15"/>
  <cols>
    <col min="1" max="1" width="2" style="117" customWidth="1"/>
    <col min="2" max="2" width="2.5" style="116" customWidth="1"/>
    <col min="3" max="3" width="6.875" style="116" customWidth="1"/>
    <col min="4" max="5" width="4.75" style="116" customWidth="1"/>
    <col min="6" max="9" width="4.125" style="118" customWidth="1"/>
    <col min="10" max="11" width="4.125" style="116" customWidth="1"/>
    <col min="12" max="12" width="2.25" style="117" customWidth="1"/>
    <col min="13" max="13" width="4.125" style="119" customWidth="1"/>
    <col min="14" max="15" width="4.375" style="119" customWidth="1"/>
    <col min="16" max="16" width="4.125" style="119" customWidth="1"/>
    <col min="17" max="17" width="5.75" style="119" customWidth="1"/>
    <col min="18" max="19" width="4.375" style="119" customWidth="1"/>
    <col min="20" max="23" width="4.125" style="117" customWidth="1"/>
    <col min="24" max="25" width="4.125" style="116" customWidth="1"/>
    <col min="26" max="28" width="4.125" style="126" customWidth="1"/>
    <col min="29" max="30" width="4.125" style="116" customWidth="1"/>
    <col min="31" max="31" width="5" style="116" customWidth="1"/>
    <col min="32" max="32" width="5" style="117" customWidth="1"/>
    <col min="33" max="73" width="4.125" style="117" customWidth="1"/>
    <col min="74" max="16384" width="9" style="117"/>
  </cols>
  <sheetData>
    <row r="1" spans="2:28" ht="11.1" customHeight="1" x14ac:dyDescent="0.15">
      <c r="Z1" s="116"/>
      <c r="AA1" s="116"/>
      <c r="AB1" s="116"/>
    </row>
    <row r="2" spans="2:28" ht="15.95" customHeight="1" x14ac:dyDescent="0.15">
      <c r="B2" s="232" t="s">
        <v>189</v>
      </c>
      <c r="Z2" s="116"/>
      <c r="AA2" s="116"/>
      <c r="AB2" s="116"/>
    </row>
    <row r="3" spans="2:28" ht="15.95" customHeight="1" x14ac:dyDescent="0.15">
      <c r="C3" s="116" t="s">
        <v>190</v>
      </c>
      <c r="Z3" s="116"/>
      <c r="AA3" s="116"/>
      <c r="AB3" s="116"/>
    </row>
    <row r="4" spans="2:28" ht="12" customHeight="1" x14ac:dyDescent="0.15">
      <c r="Z4" s="116"/>
      <c r="AA4" s="116"/>
      <c r="AB4" s="116"/>
    </row>
    <row r="5" spans="2:28" ht="12" customHeight="1" x14ac:dyDescent="0.15">
      <c r="Z5" s="116"/>
      <c r="AA5" s="116"/>
      <c r="AB5" s="116"/>
    </row>
    <row r="6" spans="2:28" ht="12" customHeight="1" x14ac:dyDescent="0.15">
      <c r="Z6" s="116"/>
      <c r="AA6" s="116"/>
      <c r="AB6" s="116"/>
    </row>
    <row r="7" spans="2:28" ht="12" customHeight="1" x14ac:dyDescent="0.15">
      <c r="Z7" s="116"/>
      <c r="AA7" s="116"/>
      <c r="AB7" s="116"/>
    </row>
    <row r="8" spans="2:28" ht="12" customHeight="1" x14ac:dyDescent="0.15">
      <c r="Z8" s="116"/>
      <c r="AA8" s="116"/>
      <c r="AB8" s="116"/>
    </row>
    <row r="9" spans="2:28" ht="12" customHeight="1" x14ac:dyDescent="0.15">
      <c r="Z9" s="116"/>
      <c r="AA9" s="116"/>
      <c r="AB9" s="116"/>
    </row>
    <row r="10" spans="2:28" ht="12" customHeight="1" x14ac:dyDescent="0.15">
      <c r="Z10" s="116"/>
      <c r="AA10" s="116"/>
      <c r="AB10" s="116"/>
    </row>
    <row r="11" spans="2:28" ht="12" customHeight="1" x14ac:dyDescent="0.15">
      <c r="Z11" s="116"/>
      <c r="AA11" s="116"/>
      <c r="AB11" s="116"/>
    </row>
    <row r="12" spans="2:28" ht="12" customHeight="1" x14ac:dyDescent="0.15">
      <c r="Z12" s="116"/>
      <c r="AA12" s="116"/>
      <c r="AB12" s="116"/>
    </row>
    <row r="13" spans="2:28" ht="12" customHeight="1" x14ac:dyDescent="0.15">
      <c r="Z13" s="116"/>
      <c r="AA13" s="116"/>
      <c r="AB13" s="116"/>
    </row>
    <row r="14" spans="2:28" ht="12" customHeight="1" x14ac:dyDescent="0.15">
      <c r="Z14" s="116"/>
      <c r="AA14" s="116"/>
      <c r="AB14" s="116"/>
    </row>
    <row r="15" spans="2:28" ht="12" customHeight="1" x14ac:dyDescent="0.15">
      <c r="Z15" s="116"/>
      <c r="AA15" s="116"/>
      <c r="AB15" s="116"/>
    </row>
    <row r="16" spans="2:28" ht="12" customHeight="1" x14ac:dyDescent="0.15">
      <c r="Z16" s="116"/>
      <c r="AA16" s="116"/>
      <c r="AB16" s="116"/>
    </row>
    <row r="17" spans="26:28" ht="12" customHeight="1" x14ac:dyDescent="0.15">
      <c r="Z17" s="116"/>
      <c r="AA17" s="116"/>
      <c r="AB17" s="116"/>
    </row>
    <row r="18" spans="26:28" ht="12" customHeight="1" x14ac:dyDescent="0.15">
      <c r="Z18" s="116"/>
      <c r="AA18" s="116"/>
      <c r="AB18" s="116"/>
    </row>
    <row r="19" spans="26:28" ht="12" customHeight="1" x14ac:dyDescent="0.15">
      <c r="Z19" s="116"/>
      <c r="AA19" s="116"/>
      <c r="AB19" s="116"/>
    </row>
    <row r="20" spans="26:28" ht="12" customHeight="1" x14ac:dyDescent="0.15">
      <c r="Z20" s="116"/>
      <c r="AA20" s="116"/>
      <c r="AB20" s="116"/>
    </row>
    <row r="21" spans="26:28" ht="12" customHeight="1" x14ac:dyDescent="0.15">
      <c r="Z21" s="116"/>
      <c r="AA21" s="116"/>
      <c r="AB21" s="116"/>
    </row>
    <row r="22" spans="26:28" ht="12" customHeight="1" x14ac:dyDescent="0.15">
      <c r="Z22" s="116"/>
      <c r="AA22" s="116"/>
      <c r="AB22" s="116"/>
    </row>
    <row r="23" spans="26:28" ht="12" customHeight="1" x14ac:dyDescent="0.15">
      <c r="Z23" s="116"/>
      <c r="AA23" s="116"/>
      <c r="AB23" s="116"/>
    </row>
    <row r="24" spans="26:28" ht="12" customHeight="1" x14ac:dyDescent="0.15">
      <c r="Z24" s="116"/>
      <c r="AA24" s="116"/>
      <c r="AB24" s="116"/>
    </row>
    <row r="25" spans="26:28" ht="12" customHeight="1" x14ac:dyDescent="0.15">
      <c r="Z25" s="116"/>
      <c r="AA25" s="116"/>
      <c r="AB25" s="116"/>
    </row>
    <row r="26" spans="26:28" ht="12" customHeight="1" x14ac:dyDescent="0.15">
      <c r="Z26" s="116"/>
      <c r="AA26" s="116"/>
      <c r="AB26" s="116"/>
    </row>
    <row r="27" spans="26:28" ht="12" customHeight="1" x14ac:dyDescent="0.15">
      <c r="Z27" s="116"/>
      <c r="AA27" s="116"/>
      <c r="AB27" s="116"/>
    </row>
    <row r="28" spans="26:28" ht="12" customHeight="1" x14ac:dyDescent="0.15">
      <c r="Z28" s="116"/>
      <c r="AA28" s="116"/>
      <c r="AB28" s="116"/>
    </row>
    <row r="29" spans="26:28" ht="12" customHeight="1" x14ac:dyDescent="0.15">
      <c r="Z29" s="116"/>
      <c r="AA29" s="116"/>
      <c r="AB29" s="116"/>
    </row>
    <row r="30" spans="26:28" ht="12" customHeight="1" x14ac:dyDescent="0.15">
      <c r="Z30" s="116"/>
      <c r="AA30" s="116"/>
      <c r="AB30" s="116"/>
    </row>
    <row r="31" spans="26:28" ht="12" customHeight="1" x14ac:dyDescent="0.15">
      <c r="Z31" s="116"/>
      <c r="AA31" s="116"/>
      <c r="AB31" s="116"/>
    </row>
    <row r="32" spans="26:28" ht="12" customHeight="1" x14ac:dyDescent="0.15">
      <c r="Z32" s="116"/>
      <c r="AA32" s="116"/>
      <c r="AB32" s="116"/>
    </row>
    <row r="33" spans="2:29" ht="12" customHeight="1" x14ac:dyDescent="0.15">
      <c r="Z33" s="116"/>
      <c r="AA33" s="116"/>
      <c r="AB33" s="116"/>
    </row>
    <row r="34" spans="2:29" ht="12" customHeight="1" x14ac:dyDescent="0.15">
      <c r="Z34" s="116"/>
      <c r="AA34" s="116"/>
      <c r="AB34" s="116"/>
    </row>
    <row r="35" spans="2:29" ht="12" customHeight="1" x14ac:dyDescent="0.15">
      <c r="Z35" s="116"/>
      <c r="AA35" s="116"/>
      <c r="AB35" s="116"/>
    </row>
    <row r="36" spans="2:29" ht="12" customHeight="1" x14ac:dyDescent="0.15">
      <c r="Z36" s="116"/>
      <c r="AA36" s="116"/>
      <c r="AB36" s="116"/>
    </row>
    <row r="37" spans="2:29" ht="12" customHeight="1" x14ac:dyDescent="0.15">
      <c r="Z37" s="116"/>
      <c r="AA37" s="116"/>
      <c r="AB37" s="116"/>
    </row>
    <row r="38" spans="2:29" ht="12" customHeight="1" x14ac:dyDescent="0.15">
      <c r="Z38" s="116"/>
      <c r="AA38" s="116"/>
      <c r="AB38" s="116"/>
    </row>
    <row r="39" spans="2:29" ht="12" customHeight="1" x14ac:dyDescent="0.15">
      <c r="Z39" s="116"/>
      <c r="AA39" s="116"/>
      <c r="AB39" s="116"/>
    </row>
    <row r="40" spans="2:29" ht="12" customHeight="1" x14ac:dyDescent="0.15">
      <c r="Z40" s="116"/>
      <c r="AA40" s="116"/>
      <c r="AB40" s="116"/>
    </row>
    <row r="41" spans="2:29" ht="12" customHeight="1" x14ac:dyDescent="0.15">
      <c r="Z41" s="116"/>
      <c r="AA41" s="116"/>
      <c r="AB41" s="116"/>
    </row>
    <row r="42" spans="2:29" ht="12" customHeight="1" x14ac:dyDescent="0.15">
      <c r="Z42" s="116"/>
      <c r="AA42" s="116"/>
      <c r="AB42" s="116"/>
    </row>
    <row r="43" spans="2:29" ht="12" customHeight="1" x14ac:dyDescent="0.15">
      <c r="Z43" s="116"/>
      <c r="AA43" s="116"/>
      <c r="AB43" s="116"/>
    </row>
    <row r="44" spans="2:29" ht="12" customHeight="1" x14ac:dyDescent="0.15">
      <c r="Z44" s="116"/>
      <c r="AA44" s="116"/>
      <c r="AB44" s="116"/>
    </row>
    <row r="45" spans="2:29" ht="12" customHeight="1" x14ac:dyDescent="0.15">
      <c r="C45" s="120"/>
      <c r="Z45" s="116"/>
      <c r="AA45" s="116"/>
      <c r="AB45" s="116"/>
    </row>
    <row r="46" spans="2:29" ht="11.1" customHeight="1" x14ac:dyDescent="0.15">
      <c r="B46" s="121"/>
      <c r="C46" s="122"/>
      <c r="M46" s="123" t="s">
        <v>147</v>
      </c>
      <c r="N46" s="124"/>
      <c r="O46" s="124"/>
      <c r="P46" s="123" t="s">
        <v>148</v>
      </c>
      <c r="Q46" s="124"/>
      <c r="R46" s="124"/>
      <c r="S46" s="124"/>
      <c r="Z46" s="116"/>
      <c r="AA46" s="116"/>
      <c r="AB46" s="116"/>
    </row>
    <row r="47" spans="2:29" ht="11.1" customHeight="1" x14ac:dyDescent="0.15">
      <c r="B47" s="121"/>
      <c r="L47" s="125" t="s">
        <v>149</v>
      </c>
      <c r="M47" s="228">
        <v>0.71</v>
      </c>
      <c r="P47" s="228">
        <v>1</v>
      </c>
      <c r="R47" s="121" t="s">
        <v>150</v>
      </c>
      <c r="Z47" s="116"/>
      <c r="AA47" s="116"/>
      <c r="AB47" s="116"/>
    </row>
    <row r="48" spans="2:29" ht="11.1" customHeight="1" x14ac:dyDescent="0.15">
      <c r="G48" s="116"/>
      <c r="H48" s="116"/>
      <c r="L48" s="125" t="s">
        <v>151</v>
      </c>
      <c r="M48" s="229">
        <v>2000</v>
      </c>
      <c r="N48" s="126"/>
      <c r="O48" s="126"/>
      <c r="P48" s="229">
        <v>1300</v>
      </c>
      <c r="Q48" s="126"/>
      <c r="R48" s="121" t="s">
        <v>152</v>
      </c>
      <c r="S48" s="126"/>
      <c r="AC48" s="126"/>
    </row>
    <row r="49" spans="2:33" ht="11.1" customHeight="1" x14ac:dyDescent="0.15">
      <c r="L49" s="125" t="s">
        <v>153</v>
      </c>
      <c r="M49" s="229">
        <v>0</v>
      </c>
      <c r="P49" s="229">
        <v>70</v>
      </c>
      <c r="R49" s="121" t="s">
        <v>154</v>
      </c>
      <c r="Z49" s="116"/>
      <c r="AA49" s="116"/>
      <c r="AB49" s="116"/>
    </row>
    <row r="50" spans="2:33" s="120" customFormat="1" ht="11.1" customHeight="1" x14ac:dyDescent="0.15">
      <c r="E50" s="127"/>
      <c r="F50" s="128"/>
      <c r="G50" s="128"/>
      <c r="H50" s="128"/>
      <c r="I50" s="128"/>
      <c r="J50" s="128"/>
      <c r="K50" s="128"/>
      <c r="L50" s="125" t="s">
        <v>155</v>
      </c>
      <c r="M50" s="230">
        <v>1200</v>
      </c>
      <c r="P50" s="230">
        <v>1200</v>
      </c>
      <c r="X50" s="116"/>
      <c r="Y50" s="129"/>
      <c r="AB50" s="119"/>
      <c r="AC50" s="119"/>
      <c r="AD50" s="130"/>
      <c r="AE50" s="129"/>
    </row>
    <row r="51" spans="2:33" s="120" customFormat="1" ht="11.1" customHeight="1" x14ac:dyDescent="0.15">
      <c r="E51" s="131"/>
      <c r="F51" s="132"/>
      <c r="G51" s="132"/>
      <c r="H51" s="132"/>
      <c r="I51" s="132"/>
      <c r="J51" s="132"/>
      <c r="K51" s="132"/>
      <c r="L51" s="125" t="s">
        <v>156</v>
      </c>
      <c r="M51" s="231">
        <v>2</v>
      </c>
      <c r="P51" s="231">
        <v>2</v>
      </c>
      <c r="S51" s="124"/>
      <c r="AA51" s="133" t="s">
        <v>157</v>
      </c>
      <c r="AB51" s="134"/>
      <c r="AC51" s="135"/>
      <c r="AD51" s="116"/>
      <c r="AE51" s="116"/>
      <c r="AF51" s="116"/>
      <c r="AG51" s="126"/>
    </row>
    <row r="52" spans="2:33" s="120" customFormat="1" ht="11.1" customHeight="1" x14ac:dyDescent="0.2">
      <c r="B52" s="136"/>
      <c r="C52" s="118" t="s">
        <v>67</v>
      </c>
      <c r="E52" s="131"/>
      <c r="F52" s="118" t="s">
        <v>158</v>
      </c>
      <c r="G52" s="118"/>
      <c r="H52" s="137"/>
      <c r="I52" s="118" t="s">
        <v>159</v>
      </c>
      <c r="J52" s="116"/>
      <c r="K52" s="138"/>
      <c r="S52" s="124"/>
      <c r="AA52" s="139">
        <f>8.021/365.25</f>
        <v>2.1960301163586587E-2</v>
      </c>
      <c r="AB52" s="140">
        <v>2.0619999999999998</v>
      </c>
      <c r="AC52" s="141">
        <v>30.07</v>
      </c>
      <c r="AD52" s="142" t="s">
        <v>69</v>
      </c>
      <c r="AE52" s="142"/>
      <c r="AF52" s="142"/>
    </row>
    <row r="53" spans="2:33" ht="15.75" customHeight="1" x14ac:dyDescent="0.15">
      <c r="B53" s="633" t="s">
        <v>160</v>
      </c>
      <c r="C53" s="633" t="s">
        <v>161</v>
      </c>
      <c r="D53" s="633" t="s">
        <v>162</v>
      </c>
      <c r="E53" s="143"/>
      <c r="F53" s="633" t="s">
        <v>163</v>
      </c>
      <c r="G53" s="633" t="s">
        <v>164</v>
      </c>
      <c r="H53" s="638" t="s">
        <v>165</v>
      </c>
      <c r="I53" s="641" t="s">
        <v>166</v>
      </c>
      <c r="J53" s="633" t="s">
        <v>167</v>
      </c>
      <c r="K53" s="644" t="s">
        <v>168</v>
      </c>
      <c r="M53" s="647" t="str">
        <f>"Cs-134:事故日"&amp;事故日の濃度1&amp;"から減衰"</f>
        <v>Cs-134:事故日1200から減衰</v>
      </c>
      <c r="N53" s="649" t="s">
        <v>169</v>
      </c>
      <c r="O53" s="651" t="s">
        <v>170</v>
      </c>
      <c r="P53" s="653" t="str">
        <f>"Cs-137:事故日"&amp;事故日の濃度2&amp;"から減衰"</f>
        <v>Cs-137:事故日1200から減衰</v>
      </c>
      <c r="Q53" s="647" t="s">
        <v>171</v>
      </c>
      <c r="R53" s="655" t="s">
        <v>172</v>
      </c>
      <c r="S53" s="124"/>
      <c r="T53" s="636" t="s">
        <v>173</v>
      </c>
      <c r="U53" s="659" t="s">
        <v>174</v>
      </c>
      <c r="V53" s="661" t="s">
        <v>187</v>
      </c>
      <c r="W53" s="664" t="s">
        <v>175</v>
      </c>
      <c r="X53" s="659" t="s">
        <v>176</v>
      </c>
      <c r="Y53" s="659" t="s">
        <v>188</v>
      </c>
      <c r="AA53" s="636" t="s">
        <v>177</v>
      </c>
      <c r="AB53" s="636" t="s">
        <v>178</v>
      </c>
      <c r="AC53" s="636" t="s">
        <v>179</v>
      </c>
      <c r="AD53" s="636" t="s">
        <v>180</v>
      </c>
      <c r="AE53" s="636" t="s">
        <v>181</v>
      </c>
      <c r="AF53" s="636" t="s">
        <v>182</v>
      </c>
      <c r="AG53" s="657" t="s">
        <v>183</v>
      </c>
    </row>
    <row r="54" spans="2:33" ht="15.75" customHeight="1" x14ac:dyDescent="0.15">
      <c r="B54" s="634"/>
      <c r="C54" s="634"/>
      <c r="D54" s="634"/>
      <c r="E54" s="144"/>
      <c r="F54" s="634"/>
      <c r="G54" s="634"/>
      <c r="H54" s="639"/>
      <c r="I54" s="642"/>
      <c r="J54" s="634"/>
      <c r="K54" s="645"/>
      <c r="M54" s="648"/>
      <c r="N54" s="650"/>
      <c r="O54" s="652"/>
      <c r="P54" s="654"/>
      <c r="Q54" s="648"/>
      <c r="R54" s="656"/>
      <c r="S54" s="124"/>
      <c r="T54" s="637"/>
      <c r="U54" s="660"/>
      <c r="V54" s="662"/>
      <c r="W54" s="665"/>
      <c r="X54" s="660"/>
      <c r="Y54" s="666"/>
      <c r="AA54" s="637"/>
      <c r="AB54" s="637"/>
      <c r="AC54" s="637"/>
      <c r="AD54" s="637"/>
      <c r="AE54" s="637"/>
      <c r="AF54" s="637"/>
      <c r="AG54" s="658"/>
    </row>
    <row r="55" spans="2:33" ht="15.75" customHeight="1" x14ac:dyDescent="0.15">
      <c r="B55" s="634"/>
      <c r="C55" s="634"/>
      <c r="D55" s="634"/>
      <c r="E55" s="144"/>
      <c r="F55" s="634"/>
      <c r="G55" s="634"/>
      <c r="H55" s="639"/>
      <c r="I55" s="642"/>
      <c r="J55" s="634"/>
      <c r="K55" s="645"/>
      <c r="M55" s="648"/>
      <c r="N55" s="650"/>
      <c r="O55" s="652"/>
      <c r="P55" s="654"/>
      <c r="Q55" s="648"/>
      <c r="R55" s="656"/>
      <c r="S55" s="124"/>
      <c r="T55" s="637"/>
      <c r="U55" s="660"/>
      <c r="V55" s="662"/>
      <c r="W55" s="665"/>
      <c r="X55" s="660"/>
      <c r="Y55" s="666"/>
      <c r="AA55" s="637"/>
      <c r="AB55" s="637"/>
      <c r="AC55" s="637"/>
      <c r="AD55" s="637"/>
      <c r="AE55" s="637"/>
      <c r="AF55" s="637"/>
      <c r="AG55" s="658"/>
    </row>
    <row r="56" spans="2:33" ht="15.75" customHeight="1" x14ac:dyDescent="0.15">
      <c r="B56" s="634"/>
      <c r="C56" s="634"/>
      <c r="D56" s="634"/>
      <c r="E56" s="144"/>
      <c r="F56" s="634"/>
      <c r="G56" s="634"/>
      <c r="H56" s="639"/>
      <c r="I56" s="642"/>
      <c r="J56" s="634"/>
      <c r="K56" s="645"/>
      <c r="M56" s="648"/>
      <c r="N56" s="650"/>
      <c r="O56" s="652"/>
      <c r="P56" s="654"/>
      <c r="Q56" s="648"/>
      <c r="R56" s="656"/>
      <c r="S56" s="124"/>
      <c r="T56" s="637"/>
      <c r="U56" s="660"/>
      <c r="V56" s="662"/>
      <c r="W56" s="665"/>
      <c r="X56" s="660"/>
      <c r="Y56" s="666"/>
      <c r="AA56" s="637"/>
      <c r="AB56" s="637"/>
      <c r="AC56" s="637"/>
      <c r="AD56" s="637"/>
      <c r="AE56" s="637"/>
      <c r="AF56" s="637"/>
      <c r="AG56" s="658"/>
    </row>
    <row r="57" spans="2:33" ht="13.5" customHeight="1" x14ac:dyDescent="0.15">
      <c r="B57" s="635"/>
      <c r="C57" s="635"/>
      <c r="D57" s="635"/>
      <c r="E57" s="145"/>
      <c r="F57" s="635"/>
      <c r="G57" s="635"/>
      <c r="H57" s="640"/>
      <c r="I57" s="643"/>
      <c r="J57" s="635"/>
      <c r="K57" s="646"/>
      <c r="M57" s="648"/>
      <c r="N57" s="650"/>
      <c r="O57" s="652"/>
      <c r="P57" s="654"/>
      <c r="Q57" s="648"/>
      <c r="R57" s="656"/>
      <c r="S57" s="124"/>
      <c r="T57" s="637"/>
      <c r="U57" s="660"/>
      <c r="V57" s="663"/>
      <c r="W57" s="665"/>
      <c r="X57" s="660"/>
      <c r="Y57" s="667"/>
      <c r="AA57" s="637"/>
      <c r="AB57" s="637"/>
      <c r="AC57" s="637"/>
      <c r="AD57" s="637"/>
      <c r="AE57" s="637"/>
      <c r="AF57" s="637"/>
      <c r="AG57" s="658"/>
    </row>
    <row r="58" spans="2:33" ht="11.1" customHeight="1" x14ac:dyDescent="0.15">
      <c r="B58" s="146"/>
      <c r="C58" s="146"/>
      <c r="D58" s="147"/>
      <c r="E58" s="150"/>
      <c r="F58" s="151" t="s">
        <v>184</v>
      </c>
      <c r="G58" s="151" t="s">
        <v>184</v>
      </c>
      <c r="H58" s="152" t="s">
        <v>184</v>
      </c>
      <c r="I58" s="153" t="s">
        <v>184</v>
      </c>
      <c r="J58" s="151" t="s">
        <v>185</v>
      </c>
      <c r="K58" s="151" t="s">
        <v>184</v>
      </c>
      <c r="M58" s="154" t="s">
        <v>184</v>
      </c>
      <c r="N58" s="155"/>
      <c r="O58" s="156"/>
      <c r="P58" s="157" t="s">
        <v>184</v>
      </c>
      <c r="Q58" s="155"/>
      <c r="R58" s="155"/>
      <c r="S58" s="124"/>
      <c r="T58" s="148"/>
      <c r="U58" s="158"/>
      <c r="V58" s="159"/>
      <c r="W58" s="160"/>
      <c r="X58" s="158"/>
      <c r="Y58" s="158"/>
      <c r="AA58" s="154" t="s">
        <v>186</v>
      </c>
      <c r="AB58" s="154" t="s">
        <v>184</v>
      </c>
      <c r="AC58" s="154" t="s">
        <v>184</v>
      </c>
      <c r="AD58" s="161" t="s">
        <v>184</v>
      </c>
      <c r="AE58" s="161" t="s">
        <v>184</v>
      </c>
      <c r="AF58" s="161" t="s">
        <v>184</v>
      </c>
      <c r="AG58" s="161" t="s">
        <v>184</v>
      </c>
    </row>
    <row r="59" spans="2:33" ht="11.1" customHeight="1" x14ac:dyDescent="0.15">
      <c r="B59" s="162"/>
      <c r="C59" s="162"/>
      <c r="D59" s="163"/>
      <c r="E59" s="164"/>
      <c r="F59" s="165"/>
      <c r="G59" s="165"/>
      <c r="H59" s="166"/>
      <c r="I59" s="167"/>
      <c r="J59" s="165"/>
      <c r="K59" s="165"/>
      <c r="M59" s="168"/>
      <c r="N59" s="169"/>
      <c r="O59" s="170"/>
      <c r="P59" s="171"/>
      <c r="Q59" s="172"/>
      <c r="R59" s="172"/>
      <c r="S59" s="124"/>
      <c r="T59" s="173"/>
      <c r="U59" s="158"/>
      <c r="V59" s="159"/>
      <c r="W59" s="174"/>
      <c r="X59" s="158"/>
      <c r="Y59" s="158"/>
      <c r="AA59" s="175"/>
      <c r="AB59" s="175"/>
      <c r="AC59" s="175"/>
      <c r="AD59" s="176"/>
      <c r="AE59" s="176"/>
      <c r="AF59" s="176"/>
      <c r="AG59" s="176"/>
    </row>
    <row r="60" spans="2:33" ht="11.1" customHeight="1" x14ac:dyDescent="0.15">
      <c r="B60" s="177">
        <v>1</v>
      </c>
      <c r="C60" s="178">
        <v>40614</v>
      </c>
      <c r="D60" s="179"/>
      <c r="E60" s="182">
        <v>40614</v>
      </c>
      <c r="F60" s="177"/>
      <c r="G60" s="177"/>
      <c r="H60" s="183"/>
      <c r="I60" s="184"/>
      <c r="J60" s="185"/>
      <c r="K60" s="185"/>
      <c r="L60" s="186"/>
      <c r="M60" s="458">
        <v>1200</v>
      </c>
      <c r="N60" s="459"/>
      <c r="O60" s="460"/>
      <c r="P60" s="461">
        <v>1200</v>
      </c>
      <c r="Q60" s="459"/>
      <c r="R60" s="462"/>
      <c r="S60" s="463"/>
      <c r="T60" s="464"/>
      <c r="U60" s="465"/>
      <c r="V60" s="466"/>
      <c r="W60" s="467"/>
      <c r="X60" s="465"/>
      <c r="Y60" s="465"/>
      <c r="AA60" s="188">
        <v>1</v>
      </c>
      <c r="AB60" s="188">
        <v>1</v>
      </c>
      <c r="AC60" s="188">
        <v>1</v>
      </c>
      <c r="AD60" s="188">
        <f>AB60+AC60</f>
        <v>2</v>
      </c>
      <c r="AE60" s="189">
        <v>10000</v>
      </c>
      <c r="AF60" s="189">
        <v>500</v>
      </c>
      <c r="AG60" s="189">
        <v>500</v>
      </c>
    </row>
    <row r="61" spans="2:33" ht="11.1" customHeight="1" x14ac:dyDescent="0.15">
      <c r="B61" s="177"/>
      <c r="C61" s="178">
        <v>40817</v>
      </c>
      <c r="D61" s="179"/>
      <c r="E61" s="182">
        <v>40817</v>
      </c>
      <c r="F61" s="177"/>
      <c r="G61" s="177"/>
      <c r="H61" s="183"/>
      <c r="I61" s="184"/>
      <c r="J61" s="185"/>
      <c r="K61" s="185"/>
      <c r="L61" s="186"/>
      <c r="M61" s="458">
        <f t="shared" ref="M61:M124" si="0">事故日の濃度1*2.71828^(-0.69315/半1*(E61-事故日)/365.25)</f>
        <v>697.48678630351162</v>
      </c>
      <c r="N61" s="197">
        <f t="shared" ref="N61:N66" si="1">下駄1-(F61-40999)/除数11</f>
        <v>20.499500000000001</v>
      </c>
      <c r="O61" s="194">
        <f t="shared" ref="O61:O66" si="2">(M61+N61)*(1-V61/除数12)</f>
        <v>780.32479140673752</v>
      </c>
      <c r="P61" s="461">
        <f t="shared" ref="P61:P124" si="3">事故日の濃度2*2.71828^(-0.69315/半2*(E61-事故日)/365.25)</f>
        <v>816.34382180349121</v>
      </c>
      <c r="Q61" s="197">
        <f t="shared" ref="Q61" si="4">下駄2-(G61-40999)/除数21</f>
        <v>101.53769230769231</v>
      </c>
      <c r="R61" s="187">
        <f t="shared" ref="R61" si="5">(P61+Q61)*(1-V61/除数22)</f>
        <v>997.57574023096845</v>
      </c>
      <c r="S61" s="463"/>
      <c r="T61" s="173">
        <v>260</v>
      </c>
      <c r="U61" s="199">
        <f t="shared" ref="U61:U66" si="6">PI()/180*T61</f>
        <v>4.5378560551852569</v>
      </c>
      <c r="V61" s="200">
        <f t="shared" ref="V61:V66" si="7">COS(U61)</f>
        <v>-0.17364817766693033</v>
      </c>
      <c r="W61" s="174">
        <f t="shared" ref="W61:W65" si="8">W62-30</f>
        <v>-100</v>
      </c>
      <c r="X61" s="199">
        <f t="shared" ref="X61:X66" si="9">PI()/180*W61</f>
        <v>-1.7453292519943295</v>
      </c>
      <c r="Y61" s="199">
        <f t="shared" ref="Y61:Y66" si="10">COS(X61)</f>
        <v>-0.1736481776669303</v>
      </c>
      <c r="AA61" s="457">
        <f t="shared" ref="AA61:AA92" si="11">1*2.71828^(-0.69315/半I131*(C61-事故日)/365.25)</f>
        <v>2.4062287855855781E-8</v>
      </c>
      <c r="AB61" s="55">
        <f t="shared" ref="AB61:AB92" si="12">1*2.71828^(-0.69315/半Cs134*(C61-事故日)/365.25)</f>
        <v>0.82958565528434514</v>
      </c>
      <c r="AC61" s="55">
        <f t="shared" ref="AC61:AC92" si="13">1*2.71828^(-0.69315/半Cs137*(C61-事故日)/365.25)</f>
        <v>0.98727023714724993</v>
      </c>
      <c r="AD61" s="55">
        <f t="shared" ref="AD61:AD66" si="14">AB61+AC61</f>
        <v>1.8168558924315952</v>
      </c>
      <c r="AE61" s="54">
        <f t="shared" ref="AE61:AE92" si="15">5000*2.71828^(-0.69315/半Cs134*(C61-事故日)/365.25)+5000*2.71828^(-0.69315/半Cs137*(C61-事故日)/365.25)</f>
        <v>9084.279462157976</v>
      </c>
      <c r="AF61" s="54">
        <f t="shared" ref="AF61:AF92" si="16">500*2.71828^(-0.69315/半Cs134*(C61-事故日)/365.25)</f>
        <v>414.79282764217254</v>
      </c>
      <c r="AG61" s="54">
        <f t="shared" ref="AG61:AG92" si="17">500*2.71828^(-0.69315/半Cs137*(C61-事故日)/365.25)</f>
        <v>493.63511857362494</v>
      </c>
    </row>
    <row r="62" spans="2:33" ht="11.1" customHeight="1" x14ac:dyDescent="0.15">
      <c r="B62" s="177"/>
      <c r="C62" s="178">
        <v>40848</v>
      </c>
      <c r="D62" s="179"/>
      <c r="E62" s="182">
        <v>40848</v>
      </c>
      <c r="F62" s="177"/>
      <c r="G62" s="177"/>
      <c r="H62" s="183"/>
      <c r="I62" s="184"/>
      <c r="J62" s="185"/>
      <c r="K62" s="185"/>
      <c r="L62" s="186"/>
      <c r="M62" s="458">
        <f t="shared" si="0"/>
        <v>642.02323772943339</v>
      </c>
      <c r="N62" s="197">
        <f t="shared" si="1"/>
        <v>20.499500000000001</v>
      </c>
      <c r="O62" s="194">
        <f t="shared" si="2"/>
        <v>604.99980469462264</v>
      </c>
      <c r="P62" s="461">
        <f t="shared" si="3"/>
        <v>769.70373154246909</v>
      </c>
      <c r="Q62" s="197">
        <f t="shared" ref="Q62:Q66" si="18">下駄2-(G62-40999)/除数21</f>
        <v>101.53769230769231</v>
      </c>
      <c r="R62" s="187">
        <f t="shared" ref="R62:R66" si="19">(P62+Q62)*(1-V62/除数22)</f>
        <v>795.59668107040034</v>
      </c>
      <c r="S62" s="463"/>
      <c r="T62" s="173">
        <v>280</v>
      </c>
      <c r="U62" s="199">
        <f t="shared" si="6"/>
        <v>4.8869219055841224</v>
      </c>
      <c r="V62" s="200">
        <f t="shared" si="7"/>
        <v>0.17364817766692997</v>
      </c>
      <c r="W62" s="174">
        <f t="shared" si="8"/>
        <v>-70</v>
      </c>
      <c r="X62" s="199">
        <f t="shared" si="9"/>
        <v>-1.2217304763960306</v>
      </c>
      <c r="Y62" s="199">
        <f t="shared" si="10"/>
        <v>0.34202014332566882</v>
      </c>
      <c r="AA62" s="457">
        <f t="shared" si="11"/>
        <v>1.6515653304390158E-9</v>
      </c>
      <c r="AB62" s="55">
        <f t="shared" si="12"/>
        <v>0.8062515913946775</v>
      </c>
      <c r="AC62" s="55">
        <f t="shared" si="13"/>
        <v>0.9853405973100462</v>
      </c>
      <c r="AD62" s="55">
        <f t="shared" si="14"/>
        <v>1.7915921887047237</v>
      </c>
      <c r="AE62" s="54">
        <f t="shared" si="15"/>
        <v>8957.960943523618</v>
      </c>
      <c r="AF62" s="54">
        <f t="shared" si="16"/>
        <v>403.12579569733873</v>
      </c>
      <c r="AG62" s="54">
        <f t="shared" si="17"/>
        <v>492.67029865502309</v>
      </c>
    </row>
    <row r="63" spans="2:33" ht="11.1" customHeight="1" x14ac:dyDescent="0.15">
      <c r="B63" s="177"/>
      <c r="C63" s="178">
        <v>40878</v>
      </c>
      <c r="D63" s="179"/>
      <c r="E63" s="182">
        <v>40878</v>
      </c>
      <c r="F63" s="177"/>
      <c r="G63" s="177"/>
      <c r="H63" s="183"/>
      <c r="I63" s="184"/>
      <c r="J63" s="185"/>
      <c r="K63" s="185"/>
      <c r="L63" s="186"/>
      <c r="M63" s="458">
        <f t="shared" si="0"/>
        <v>592.55180384470373</v>
      </c>
      <c r="N63" s="197">
        <f t="shared" si="1"/>
        <v>20.499500000000001</v>
      </c>
      <c r="O63" s="194">
        <f t="shared" si="2"/>
        <v>416.02041273792702</v>
      </c>
      <c r="P63" s="461">
        <f t="shared" si="3"/>
        <v>727.10687623394915</v>
      </c>
      <c r="Q63" s="197">
        <f t="shared" si="18"/>
        <v>101.53769230769231</v>
      </c>
      <c r="R63" s="187">
        <f t="shared" si="19"/>
        <v>562.32333779533371</v>
      </c>
      <c r="S63" s="463"/>
      <c r="T63" s="173">
        <v>310</v>
      </c>
      <c r="U63" s="199">
        <f t="shared" si="6"/>
        <v>5.4105206811824216</v>
      </c>
      <c r="V63" s="200">
        <f t="shared" si="7"/>
        <v>0.64278760968653925</v>
      </c>
      <c r="W63" s="174">
        <f t="shared" si="8"/>
        <v>-40</v>
      </c>
      <c r="X63" s="199">
        <f t="shared" si="9"/>
        <v>-0.69813170079773179</v>
      </c>
      <c r="Y63" s="199">
        <f t="shared" si="10"/>
        <v>0.76604444311897801</v>
      </c>
      <c r="AA63" s="457">
        <f t="shared" si="11"/>
        <v>1.2359046245796173E-10</v>
      </c>
      <c r="AB63" s="55">
        <f t="shared" si="12"/>
        <v>0.7842953392914358</v>
      </c>
      <c r="AC63" s="55">
        <f t="shared" si="13"/>
        <v>0.98347679498453811</v>
      </c>
      <c r="AD63" s="55">
        <f t="shared" si="14"/>
        <v>1.7677721342759738</v>
      </c>
      <c r="AE63" s="54">
        <f t="shared" si="15"/>
        <v>8838.860671379869</v>
      </c>
      <c r="AF63" s="54">
        <f t="shared" si="16"/>
        <v>392.14766964571788</v>
      </c>
      <c r="AG63" s="54">
        <f t="shared" si="17"/>
        <v>491.73839749226903</v>
      </c>
    </row>
    <row r="64" spans="2:33" ht="11.1" customHeight="1" x14ac:dyDescent="0.15">
      <c r="B64" s="177"/>
      <c r="C64" s="178">
        <v>40909</v>
      </c>
      <c r="D64" s="179"/>
      <c r="E64" s="182">
        <v>40909</v>
      </c>
      <c r="F64" s="177"/>
      <c r="G64" s="177"/>
      <c r="H64" s="183"/>
      <c r="I64" s="184"/>
      <c r="J64" s="185"/>
      <c r="K64" s="185"/>
      <c r="L64" s="186"/>
      <c r="M64" s="458">
        <f t="shared" si="0"/>
        <v>545.43259470617079</v>
      </c>
      <c r="N64" s="197">
        <f t="shared" si="1"/>
        <v>20.499500000000001</v>
      </c>
      <c r="O64" s="194">
        <f t="shared" si="2"/>
        <v>349.16752653999816</v>
      </c>
      <c r="P64" s="461">
        <f t="shared" si="3"/>
        <v>685.56515149590791</v>
      </c>
      <c r="Q64" s="197">
        <f t="shared" si="18"/>
        <v>101.53769230769231</v>
      </c>
      <c r="R64" s="187">
        <f t="shared" si="19"/>
        <v>485.62496397415384</v>
      </c>
      <c r="S64" s="463"/>
      <c r="T64" s="173">
        <v>320</v>
      </c>
      <c r="U64" s="199">
        <f t="shared" si="6"/>
        <v>5.5850536063818543</v>
      </c>
      <c r="V64" s="200">
        <f t="shared" si="7"/>
        <v>0.76604444311897779</v>
      </c>
      <c r="W64" s="174">
        <f t="shared" si="8"/>
        <v>-10</v>
      </c>
      <c r="X64" s="199">
        <f t="shared" si="9"/>
        <v>-0.17453292519943295</v>
      </c>
      <c r="Y64" s="199">
        <f t="shared" si="10"/>
        <v>0.98480775301220802</v>
      </c>
      <c r="AA64" s="457">
        <f t="shared" si="11"/>
        <v>8.4828892494036528E-12</v>
      </c>
      <c r="AB64" s="55">
        <f t="shared" si="12"/>
        <v>0.76223517294354715</v>
      </c>
      <c r="AC64" s="55">
        <f t="shared" si="13"/>
        <v>0.98155456950749842</v>
      </c>
      <c r="AD64" s="55">
        <f t="shared" si="14"/>
        <v>1.7437897424510456</v>
      </c>
      <c r="AE64" s="54">
        <f t="shared" si="15"/>
        <v>8718.9487122552273</v>
      </c>
      <c r="AF64" s="54">
        <f t="shared" si="16"/>
        <v>381.11758647177356</v>
      </c>
      <c r="AG64" s="54">
        <f t="shared" si="17"/>
        <v>490.7772847537492</v>
      </c>
    </row>
    <row r="65" spans="2:33" ht="11.1" customHeight="1" x14ac:dyDescent="0.15">
      <c r="B65" s="177"/>
      <c r="C65" s="178">
        <v>40940</v>
      </c>
      <c r="D65" s="179"/>
      <c r="E65" s="182">
        <v>40940</v>
      </c>
      <c r="F65" s="177"/>
      <c r="G65" s="177"/>
      <c r="H65" s="183"/>
      <c r="I65" s="184"/>
      <c r="J65" s="185"/>
      <c r="K65" s="185"/>
      <c r="L65" s="186"/>
      <c r="M65" s="458">
        <f t="shared" si="0"/>
        <v>502.06026449946307</v>
      </c>
      <c r="N65" s="197">
        <f t="shared" si="1"/>
        <v>20.499500000000001</v>
      </c>
      <c r="O65" s="194">
        <f t="shared" si="2"/>
        <v>296.28474897338879</v>
      </c>
      <c r="P65" s="461">
        <f t="shared" si="3"/>
        <v>646.39682597965589</v>
      </c>
      <c r="Q65" s="197">
        <f t="shared" si="18"/>
        <v>101.53769230769231</v>
      </c>
      <c r="R65" s="187">
        <f t="shared" si="19"/>
        <v>424.0693716852881</v>
      </c>
      <c r="S65" s="463"/>
      <c r="T65" s="173">
        <v>330</v>
      </c>
      <c r="U65" s="199">
        <f t="shared" si="6"/>
        <v>5.7595865315812871</v>
      </c>
      <c r="V65" s="200">
        <f t="shared" si="7"/>
        <v>0.86602540378443837</v>
      </c>
      <c r="W65" s="174">
        <f t="shared" si="8"/>
        <v>20</v>
      </c>
      <c r="X65" s="199">
        <f t="shared" si="9"/>
        <v>0.3490658503988659</v>
      </c>
      <c r="Y65" s="199">
        <f t="shared" si="10"/>
        <v>0.93969262078590843</v>
      </c>
      <c r="AA65" s="457">
        <f t="shared" si="11"/>
        <v>5.822408022959232E-13</v>
      </c>
      <c r="AB65" s="55">
        <f t="shared" si="12"/>
        <v>0.74079550108914372</v>
      </c>
      <c r="AC65" s="55">
        <f t="shared" si="13"/>
        <v>0.97963610105940291</v>
      </c>
      <c r="AD65" s="55">
        <f t="shared" si="14"/>
        <v>1.7204316021485466</v>
      </c>
      <c r="AE65" s="54">
        <f t="shared" si="15"/>
        <v>8602.1580107427326</v>
      </c>
      <c r="AF65" s="54">
        <f t="shared" si="16"/>
        <v>370.39775054457186</v>
      </c>
      <c r="AG65" s="54">
        <f t="shared" si="17"/>
        <v>489.81805052970145</v>
      </c>
    </row>
    <row r="66" spans="2:33" ht="11.1" customHeight="1" x14ac:dyDescent="0.15">
      <c r="B66" s="177"/>
      <c r="C66" s="178">
        <v>40969</v>
      </c>
      <c r="D66" s="179"/>
      <c r="E66" s="182">
        <v>40969</v>
      </c>
      <c r="F66" s="177"/>
      <c r="G66" s="177"/>
      <c r="H66" s="183"/>
      <c r="I66" s="184"/>
      <c r="J66" s="185"/>
      <c r="K66" s="185"/>
      <c r="L66" s="186"/>
      <c r="M66" s="458">
        <f t="shared" si="0"/>
        <v>464.61394617714882</v>
      </c>
      <c r="N66" s="197">
        <f t="shared" si="1"/>
        <v>20.499500000000001</v>
      </c>
      <c r="O66" s="194">
        <f t="shared" si="2"/>
        <v>257.18468336880449</v>
      </c>
      <c r="P66" s="461">
        <f t="shared" si="3"/>
        <v>611.78391309780591</v>
      </c>
      <c r="Q66" s="197">
        <f t="shared" si="18"/>
        <v>101.53769230769231</v>
      </c>
      <c r="R66" s="187">
        <f t="shared" si="19"/>
        <v>378.17008098214609</v>
      </c>
      <c r="S66" s="463"/>
      <c r="T66" s="173">
        <v>340</v>
      </c>
      <c r="U66" s="199">
        <f t="shared" si="6"/>
        <v>5.9341194567807207</v>
      </c>
      <c r="V66" s="200">
        <f t="shared" si="7"/>
        <v>0.93969262078590843</v>
      </c>
      <c r="W66" s="174">
        <f>W67-30</f>
        <v>50</v>
      </c>
      <c r="X66" s="199">
        <f t="shared" si="9"/>
        <v>0.87266462599716477</v>
      </c>
      <c r="Y66" s="199">
        <f t="shared" si="10"/>
        <v>0.64278760968653936</v>
      </c>
      <c r="AA66" s="457">
        <f t="shared" si="11"/>
        <v>4.7503126716227192E-14</v>
      </c>
      <c r="AB66" s="55">
        <f t="shared" si="12"/>
        <v>0.72128530438157734</v>
      </c>
      <c r="AC66" s="55">
        <f t="shared" si="13"/>
        <v>0.97784479952866388</v>
      </c>
      <c r="AD66" s="55">
        <f t="shared" si="14"/>
        <v>1.6991301039102411</v>
      </c>
      <c r="AE66" s="54">
        <f t="shared" si="15"/>
        <v>8495.6505195512054</v>
      </c>
      <c r="AF66" s="54">
        <f t="shared" si="16"/>
        <v>360.64265219078868</v>
      </c>
      <c r="AG66" s="54">
        <f t="shared" si="17"/>
        <v>488.92239976433194</v>
      </c>
    </row>
    <row r="67" spans="2:33" ht="11.1" customHeight="1" x14ac:dyDescent="0.15">
      <c r="B67" s="190">
        <v>2</v>
      </c>
      <c r="C67" s="191">
        <v>41012</v>
      </c>
      <c r="D67" s="192">
        <v>5693.7099343496038</v>
      </c>
      <c r="E67" s="193">
        <v>41000</v>
      </c>
      <c r="F67" s="190">
        <v>340</v>
      </c>
      <c r="G67" s="190">
        <v>510</v>
      </c>
      <c r="H67" s="194">
        <f>G67+F67</f>
        <v>850</v>
      </c>
      <c r="I67" s="195">
        <v>35</v>
      </c>
      <c r="J67" s="196">
        <v>42</v>
      </c>
      <c r="K67" s="197">
        <f>J67+I67</f>
        <v>77</v>
      </c>
      <c r="L67" s="186"/>
      <c r="M67" s="458">
        <f t="shared" si="0"/>
        <v>427.66824530077849</v>
      </c>
      <c r="N67" s="197">
        <f t="shared" ref="N67:N98" si="20">下駄1-(F67-40999)/除数11</f>
        <v>20.329499999999999</v>
      </c>
      <c r="O67" s="194">
        <f t="shared" ref="O67:O98" si="21">(M67+N67)*(1-V67/除数12)</f>
        <v>409.10074926559156</v>
      </c>
      <c r="P67" s="461">
        <f t="shared" si="3"/>
        <v>576.83092372613953</v>
      </c>
      <c r="Q67" s="197">
        <f t="shared" ref="Q67:Q98" si="22">下駄2-(G67-40999)/除数21</f>
        <v>101.14538461538461</v>
      </c>
      <c r="R67" s="187">
        <f t="shared" ref="R67:R98" si="23">(P67+Q67)*(1-V67/除数22)</f>
        <v>619.11163311909479</v>
      </c>
      <c r="S67" s="124"/>
      <c r="T67" s="198">
        <v>80</v>
      </c>
      <c r="U67" s="199">
        <f t="shared" ref="U67:U98" si="24">PI()/180*T67</f>
        <v>1.3962634015954636</v>
      </c>
      <c r="V67" s="200">
        <f t="shared" ref="V67:V98" si="25">COS(U67)</f>
        <v>0.17364817766693041</v>
      </c>
      <c r="W67" s="201">
        <v>80</v>
      </c>
      <c r="X67" s="199">
        <f t="shared" ref="X67:X98" si="26">PI()/180*W67</f>
        <v>1.3962634015954636</v>
      </c>
      <c r="Y67" s="199">
        <f t="shared" ref="Y67:Y98" si="27">COS(X67)</f>
        <v>0.17364817766693041</v>
      </c>
      <c r="AA67" s="457">
        <f t="shared" si="11"/>
        <v>1.1558905573890596E-15</v>
      </c>
      <c r="AB67" s="55">
        <f t="shared" si="12"/>
        <v>0.69329817118215586</v>
      </c>
      <c r="AC67" s="55">
        <f t="shared" si="13"/>
        <v>0.97519475899904395</v>
      </c>
      <c r="AD67" s="55">
        <f t="shared" ref="AD67:AD76" si="28">AB67+AC67</f>
        <v>1.6684929301811997</v>
      </c>
      <c r="AE67" s="54">
        <f t="shared" si="15"/>
        <v>8342.4646509059985</v>
      </c>
      <c r="AF67" s="54">
        <f t="shared" si="16"/>
        <v>346.64908559107795</v>
      </c>
      <c r="AG67" s="54">
        <f t="shared" si="17"/>
        <v>487.59737949952199</v>
      </c>
    </row>
    <row r="68" spans="2:33" ht="11.1" customHeight="1" x14ac:dyDescent="0.15">
      <c r="B68" s="190">
        <v>3</v>
      </c>
      <c r="C68" s="191">
        <v>41045</v>
      </c>
      <c r="D68" s="192">
        <v>6461.0235251811728</v>
      </c>
      <c r="E68" s="193">
        <v>41030</v>
      </c>
      <c r="F68" s="190">
        <v>550</v>
      </c>
      <c r="G68" s="190">
        <v>850</v>
      </c>
      <c r="H68" s="194">
        <f>G68+F68</f>
        <v>1400</v>
      </c>
      <c r="I68" s="202">
        <v>41</v>
      </c>
      <c r="J68" s="190">
        <v>63</v>
      </c>
      <c r="K68" s="197">
        <f t="shared" ref="K68:K131" si="29">J68+I68</f>
        <v>104</v>
      </c>
      <c r="L68" s="186"/>
      <c r="M68" s="458">
        <f t="shared" si="0"/>
        <v>394.71404663840514</v>
      </c>
      <c r="N68" s="197">
        <f t="shared" si="20"/>
        <v>20.224499999999999</v>
      </c>
      <c r="O68" s="194">
        <f t="shared" si="21"/>
        <v>573.86923058251261</v>
      </c>
      <c r="P68" s="461">
        <f t="shared" si="3"/>
        <v>544.908013145724</v>
      </c>
      <c r="Q68" s="197">
        <f t="shared" si="22"/>
        <v>100.88384615384615</v>
      </c>
      <c r="R68" s="187">
        <f t="shared" si="23"/>
        <v>893.14449191352446</v>
      </c>
      <c r="S68" s="124"/>
      <c r="T68" s="198">
        <v>140</v>
      </c>
      <c r="U68" s="199">
        <f t="shared" si="24"/>
        <v>2.4434609527920612</v>
      </c>
      <c r="V68" s="200">
        <f t="shared" si="25"/>
        <v>-0.7660444431189779</v>
      </c>
      <c r="W68" s="201">
        <v>110</v>
      </c>
      <c r="X68" s="199">
        <f t="shared" si="26"/>
        <v>1.9198621771937625</v>
      </c>
      <c r="Y68" s="199">
        <f t="shared" si="27"/>
        <v>-0.34202014332566871</v>
      </c>
      <c r="AA68" s="457">
        <f t="shared" si="11"/>
        <v>6.6744400352010885E-17</v>
      </c>
      <c r="AB68" s="55">
        <f t="shared" si="12"/>
        <v>0.67255841182675324</v>
      </c>
      <c r="AC68" s="55">
        <f t="shared" si="13"/>
        <v>0.9731658787375489</v>
      </c>
      <c r="AD68" s="55">
        <f t="shared" si="28"/>
        <v>1.6457242905643021</v>
      </c>
      <c r="AE68" s="54">
        <f t="shared" si="15"/>
        <v>8228.6214528215096</v>
      </c>
      <c r="AF68" s="54">
        <f t="shared" si="16"/>
        <v>336.27920591337664</v>
      </c>
      <c r="AG68" s="54">
        <f t="shared" si="17"/>
        <v>486.58293936877448</v>
      </c>
    </row>
    <row r="69" spans="2:33" ht="11.1" customHeight="1" x14ac:dyDescent="0.15">
      <c r="B69" s="190">
        <v>4</v>
      </c>
      <c r="C69" s="191">
        <v>41073</v>
      </c>
      <c r="D69" s="192">
        <v>6179.5927881937196</v>
      </c>
      <c r="E69" s="193">
        <v>41061</v>
      </c>
      <c r="F69" s="190">
        <v>550</v>
      </c>
      <c r="G69" s="190">
        <v>890</v>
      </c>
      <c r="H69" s="194">
        <f>G69+F69</f>
        <v>1440</v>
      </c>
      <c r="I69" s="202">
        <v>61</v>
      </c>
      <c r="J69" s="190">
        <v>87</v>
      </c>
      <c r="K69" s="197">
        <f t="shared" si="29"/>
        <v>148</v>
      </c>
      <c r="L69" s="186"/>
      <c r="M69" s="458">
        <f t="shared" si="0"/>
        <v>363.32672557584715</v>
      </c>
      <c r="N69" s="197">
        <f t="shared" si="20"/>
        <v>20.224499999999999</v>
      </c>
      <c r="O69" s="194">
        <f t="shared" si="21"/>
        <v>575.32683836377066</v>
      </c>
      <c r="P69" s="461">
        <f t="shared" si="3"/>
        <v>513.77583790499762</v>
      </c>
      <c r="Q69" s="197">
        <f t="shared" si="22"/>
        <v>100.85307692307693</v>
      </c>
      <c r="R69" s="187">
        <f t="shared" si="23"/>
        <v>921.94337224211188</v>
      </c>
      <c r="S69" s="124"/>
      <c r="T69" s="198">
        <v>180</v>
      </c>
      <c r="U69" s="199">
        <f t="shared" si="24"/>
        <v>3.1415926535897931</v>
      </c>
      <c r="V69" s="200">
        <f t="shared" si="25"/>
        <v>-1</v>
      </c>
      <c r="W69" s="201">
        <v>140</v>
      </c>
      <c r="X69" s="199">
        <f t="shared" si="26"/>
        <v>2.4434609527920612</v>
      </c>
      <c r="Y69" s="199">
        <f t="shared" si="27"/>
        <v>-0.7660444431189779</v>
      </c>
      <c r="AA69" s="457">
        <f t="shared" si="11"/>
        <v>5.9369686454706109E-18</v>
      </c>
      <c r="AB69" s="55">
        <f t="shared" si="12"/>
        <v>0.65544832041613277</v>
      </c>
      <c r="AC69" s="55">
        <f t="shared" si="13"/>
        <v>0.97144771510320882</v>
      </c>
      <c r="AD69" s="55">
        <f t="shared" si="28"/>
        <v>1.6268960355193416</v>
      </c>
      <c r="AE69" s="54">
        <f t="shared" si="15"/>
        <v>8134.480177596708</v>
      </c>
      <c r="AF69" s="54">
        <f t="shared" si="16"/>
        <v>327.72416020806639</v>
      </c>
      <c r="AG69" s="54">
        <f t="shared" si="17"/>
        <v>485.7238575516044</v>
      </c>
    </row>
    <row r="70" spans="2:33" ht="11.1" customHeight="1" x14ac:dyDescent="0.15">
      <c r="B70" s="190">
        <v>5</v>
      </c>
      <c r="C70" s="191">
        <v>41101</v>
      </c>
      <c r="D70" s="192">
        <v>6411.8394300434275</v>
      </c>
      <c r="E70" s="193">
        <v>41091</v>
      </c>
      <c r="F70" s="190">
        <v>460</v>
      </c>
      <c r="G70" s="190">
        <v>760</v>
      </c>
      <c r="H70" s="194">
        <f>G70+F70</f>
        <v>1220</v>
      </c>
      <c r="I70" s="202">
        <v>41</v>
      </c>
      <c r="J70" s="190">
        <v>55</v>
      </c>
      <c r="K70" s="197">
        <f t="shared" si="29"/>
        <v>96</v>
      </c>
      <c r="L70" s="186"/>
      <c r="M70" s="458">
        <f t="shared" si="0"/>
        <v>335.3303961182898</v>
      </c>
      <c r="N70" s="197">
        <f t="shared" si="20"/>
        <v>20.269500000000001</v>
      </c>
      <c r="O70" s="194">
        <f t="shared" si="21"/>
        <v>509.57916792906292</v>
      </c>
      <c r="P70" s="461">
        <f t="shared" si="3"/>
        <v>485.34251462566851</v>
      </c>
      <c r="Q70" s="197">
        <f t="shared" si="22"/>
        <v>100.95307692307692</v>
      </c>
      <c r="R70" s="187">
        <f t="shared" si="23"/>
        <v>840.16902975276457</v>
      </c>
      <c r="S70" s="124"/>
      <c r="T70" s="198">
        <v>210</v>
      </c>
      <c r="U70" s="199">
        <f t="shared" si="24"/>
        <v>3.6651914291880923</v>
      </c>
      <c r="V70" s="200">
        <f t="shared" si="25"/>
        <v>-0.8660254037844386</v>
      </c>
      <c r="W70" s="201">
        <v>170</v>
      </c>
      <c r="X70" s="199">
        <f t="shared" si="26"/>
        <v>2.9670597283903604</v>
      </c>
      <c r="Y70" s="199">
        <f t="shared" si="27"/>
        <v>-0.98480775301220802</v>
      </c>
      <c r="AA70" s="457">
        <f t="shared" si="11"/>
        <v>5.2809818518715547E-19</v>
      </c>
      <c r="AB70" s="55">
        <f t="shared" si="12"/>
        <v>0.63877351495678691</v>
      </c>
      <c r="AC70" s="55">
        <f t="shared" si="13"/>
        <v>0.96973258495610748</v>
      </c>
      <c r="AD70" s="55">
        <f t="shared" si="28"/>
        <v>1.6085060999128944</v>
      </c>
      <c r="AE70" s="54">
        <f t="shared" si="15"/>
        <v>8042.5304995644728</v>
      </c>
      <c r="AF70" s="54">
        <f t="shared" si="16"/>
        <v>319.38675747839346</v>
      </c>
      <c r="AG70" s="54">
        <f t="shared" si="17"/>
        <v>484.86629247805377</v>
      </c>
    </row>
    <row r="71" spans="2:33" ht="11.1" customHeight="1" x14ac:dyDescent="0.15">
      <c r="B71" s="190">
        <v>6</v>
      </c>
      <c r="C71" s="191">
        <v>41129</v>
      </c>
      <c r="D71" s="192">
        <v>6767.281654590066</v>
      </c>
      <c r="E71" s="193">
        <v>41122</v>
      </c>
      <c r="F71" s="190">
        <v>390</v>
      </c>
      <c r="G71" s="190">
        <v>660</v>
      </c>
      <c r="H71" s="194">
        <f t="shared" ref="H71:H134" si="30">G71+F71</f>
        <v>1050</v>
      </c>
      <c r="I71" s="202">
        <v>19</v>
      </c>
      <c r="J71" s="190">
        <v>38</v>
      </c>
      <c r="K71" s="197">
        <f t="shared" si="29"/>
        <v>57</v>
      </c>
      <c r="L71" s="186"/>
      <c r="M71" s="458">
        <f t="shared" si="0"/>
        <v>308.66521180413349</v>
      </c>
      <c r="N71" s="197">
        <f t="shared" si="20"/>
        <v>20.304500000000001</v>
      </c>
      <c r="O71" s="194">
        <f t="shared" si="21"/>
        <v>411.21213975516696</v>
      </c>
      <c r="P71" s="461">
        <f t="shared" si="3"/>
        <v>457.61348907900185</v>
      </c>
      <c r="Q71" s="197">
        <f t="shared" si="22"/>
        <v>101.03</v>
      </c>
      <c r="R71" s="187">
        <f t="shared" si="23"/>
        <v>698.30436134875242</v>
      </c>
      <c r="S71" s="124"/>
      <c r="T71" s="198">
        <v>240</v>
      </c>
      <c r="U71" s="199">
        <f t="shared" si="24"/>
        <v>4.1887902047863905</v>
      </c>
      <c r="V71" s="200">
        <f t="shared" si="25"/>
        <v>-0.50000000000000044</v>
      </c>
      <c r="W71" s="201">
        <v>200</v>
      </c>
      <c r="X71" s="199">
        <f t="shared" si="26"/>
        <v>3.4906585039886591</v>
      </c>
      <c r="Y71" s="199">
        <f t="shared" si="27"/>
        <v>-0.93969262078590843</v>
      </c>
      <c r="AA71" s="457">
        <f t="shared" si="11"/>
        <v>4.6974762686464625E-20</v>
      </c>
      <c r="AB71" s="55">
        <f t="shared" si="12"/>
        <v>0.62252292164116974</v>
      </c>
      <c r="AC71" s="55">
        <f t="shared" si="13"/>
        <v>0.96802048294050069</v>
      </c>
      <c r="AD71" s="55">
        <f t="shared" si="28"/>
        <v>1.5905434045816704</v>
      </c>
      <c r="AE71" s="54">
        <f t="shared" si="15"/>
        <v>7952.7170229083522</v>
      </c>
      <c r="AF71" s="54">
        <f t="shared" si="16"/>
        <v>311.26146082058489</v>
      </c>
      <c r="AG71" s="54">
        <f t="shared" si="17"/>
        <v>484.01024147025032</v>
      </c>
    </row>
    <row r="72" spans="2:33" ht="11.1" customHeight="1" x14ac:dyDescent="0.15">
      <c r="B72" s="190">
        <v>7</v>
      </c>
      <c r="C72" s="191">
        <v>41164</v>
      </c>
      <c r="D72" s="192">
        <v>6054.9434296986519</v>
      </c>
      <c r="E72" s="193">
        <v>41153</v>
      </c>
      <c r="F72" s="190">
        <v>300</v>
      </c>
      <c r="G72" s="190">
        <v>510</v>
      </c>
      <c r="H72" s="194">
        <f t="shared" si="30"/>
        <v>810</v>
      </c>
      <c r="I72" s="202">
        <v>17</v>
      </c>
      <c r="J72" s="190">
        <v>23</v>
      </c>
      <c r="K72" s="197">
        <f t="shared" si="29"/>
        <v>40</v>
      </c>
      <c r="L72" s="186"/>
      <c r="M72" s="458">
        <f t="shared" si="0"/>
        <v>284.12041998269092</v>
      </c>
      <c r="N72" s="197">
        <f t="shared" si="20"/>
        <v>20.349499999999999</v>
      </c>
      <c r="O72" s="194">
        <f t="shared" si="21"/>
        <v>356.53734281810824</v>
      </c>
      <c r="P72" s="461">
        <f t="shared" si="3"/>
        <v>431.46870318700604</v>
      </c>
      <c r="Q72" s="197">
        <f t="shared" si="22"/>
        <v>101.14538461538461</v>
      </c>
      <c r="R72" s="187">
        <f t="shared" si="23"/>
        <v>623.69646112611258</v>
      </c>
      <c r="S72" s="124"/>
      <c r="T72" s="198">
        <v>250</v>
      </c>
      <c r="U72" s="199">
        <f t="shared" si="24"/>
        <v>4.3633231299858242</v>
      </c>
      <c r="V72" s="200">
        <f t="shared" si="25"/>
        <v>-0.34202014332566855</v>
      </c>
      <c r="W72" s="201">
        <v>230</v>
      </c>
      <c r="X72" s="199">
        <f t="shared" si="26"/>
        <v>4.0142572795869578</v>
      </c>
      <c r="Y72" s="199">
        <f t="shared" si="27"/>
        <v>-0.64278760968653947</v>
      </c>
      <c r="AA72" s="457">
        <f t="shared" si="11"/>
        <v>2.2819282998636763E-21</v>
      </c>
      <c r="AB72" s="55">
        <f t="shared" si="12"/>
        <v>0.60278981349660865</v>
      </c>
      <c r="AC72" s="55">
        <f t="shared" si="13"/>
        <v>0.96588460558706957</v>
      </c>
      <c r="AD72" s="55">
        <f t="shared" si="28"/>
        <v>1.5686744190836781</v>
      </c>
      <c r="AE72" s="54">
        <f t="shared" si="15"/>
        <v>7843.3720954183909</v>
      </c>
      <c r="AF72" s="54">
        <f t="shared" si="16"/>
        <v>301.39490674830432</v>
      </c>
      <c r="AG72" s="54">
        <f t="shared" si="17"/>
        <v>482.94230279353479</v>
      </c>
    </row>
    <row r="73" spans="2:33" ht="11.1" customHeight="1" x14ac:dyDescent="0.15">
      <c r="B73" s="190">
        <v>8</v>
      </c>
      <c r="C73" s="191">
        <v>41199</v>
      </c>
      <c r="D73" s="192">
        <v>6164.2626032404287</v>
      </c>
      <c r="E73" s="193">
        <v>41183</v>
      </c>
      <c r="F73" s="190">
        <v>260</v>
      </c>
      <c r="G73" s="190">
        <v>450</v>
      </c>
      <c r="H73" s="194">
        <f t="shared" si="30"/>
        <v>710</v>
      </c>
      <c r="I73" s="202">
        <v>17</v>
      </c>
      <c r="J73" s="190">
        <v>24</v>
      </c>
      <c r="K73" s="197">
        <f t="shared" si="29"/>
        <v>41</v>
      </c>
      <c r="L73" s="186"/>
      <c r="M73" s="458">
        <f t="shared" si="0"/>
        <v>262.22737352196629</v>
      </c>
      <c r="N73" s="197">
        <f t="shared" si="20"/>
        <v>20.369499999999999</v>
      </c>
      <c r="O73" s="194">
        <f t="shared" si="21"/>
        <v>307.13308957269703</v>
      </c>
      <c r="P73" s="461">
        <f t="shared" si="3"/>
        <v>407.59041188266207</v>
      </c>
      <c r="Q73" s="197">
        <f t="shared" si="22"/>
        <v>101.19153846153846</v>
      </c>
      <c r="R73" s="187">
        <f t="shared" si="23"/>
        <v>552.95647959774908</v>
      </c>
      <c r="S73" s="124"/>
      <c r="T73" s="198">
        <v>260</v>
      </c>
      <c r="U73" s="199">
        <f t="shared" si="24"/>
        <v>4.5378560551852569</v>
      </c>
      <c r="V73" s="200">
        <f t="shared" si="25"/>
        <v>-0.17364817766693033</v>
      </c>
      <c r="W73" s="201">
        <v>260</v>
      </c>
      <c r="X73" s="199">
        <f t="shared" si="26"/>
        <v>4.5378560551852569</v>
      </c>
      <c r="Y73" s="199">
        <f t="shared" si="27"/>
        <v>-0.17364817766693033</v>
      </c>
      <c r="AA73" s="457">
        <f t="shared" si="11"/>
        <v>1.1085094352630043E-22</v>
      </c>
      <c r="AB73" s="55">
        <f t="shared" si="12"/>
        <v>0.5836822173508962</v>
      </c>
      <c r="AC73" s="55">
        <f t="shared" si="13"/>
        <v>0.96375344091498061</v>
      </c>
      <c r="AD73" s="55">
        <f t="shared" si="28"/>
        <v>1.5474356582658768</v>
      </c>
      <c r="AE73" s="54">
        <f t="shared" si="15"/>
        <v>7737.1782913293846</v>
      </c>
      <c r="AF73" s="54">
        <f t="shared" si="16"/>
        <v>291.84110867544808</v>
      </c>
      <c r="AG73" s="54">
        <f t="shared" si="17"/>
        <v>481.87672045749031</v>
      </c>
    </row>
    <row r="74" spans="2:33" ht="11.1" customHeight="1" x14ac:dyDescent="0.15">
      <c r="B74" s="190">
        <v>9</v>
      </c>
      <c r="C74" s="191">
        <v>41234</v>
      </c>
      <c r="D74" s="192">
        <v>5754.4110320193013</v>
      </c>
      <c r="E74" s="193">
        <v>41214</v>
      </c>
      <c r="F74" s="190">
        <v>250</v>
      </c>
      <c r="G74" s="190">
        <v>450</v>
      </c>
      <c r="H74" s="194">
        <f t="shared" si="30"/>
        <v>700</v>
      </c>
      <c r="I74" s="202">
        <v>11</v>
      </c>
      <c r="J74" s="190">
        <v>23</v>
      </c>
      <c r="K74" s="197">
        <f t="shared" si="29"/>
        <v>34</v>
      </c>
      <c r="L74" s="186"/>
      <c r="M74" s="458">
        <f t="shared" si="0"/>
        <v>241.37527860864461</v>
      </c>
      <c r="N74" s="197">
        <f t="shared" si="20"/>
        <v>20.374500000000001</v>
      </c>
      <c r="O74" s="194">
        <f t="shared" si="21"/>
        <v>239.02359257858782</v>
      </c>
      <c r="P74" s="461">
        <f t="shared" si="3"/>
        <v>384.30358947768934</v>
      </c>
      <c r="Q74" s="197">
        <f t="shared" si="22"/>
        <v>101.19153846153846</v>
      </c>
      <c r="R74" s="187">
        <f t="shared" si="23"/>
        <v>443.34245582281784</v>
      </c>
      <c r="S74" s="124"/>
      <c r="T74" s="198">
        <v>280</v>
      </c>
      <c r="U74" s="199">
        <f t="shared" si="24"/>
        <v>4.8869219055841224</v>
      </c>
      <c r="V74" s="200">
        <f t="shared" si="25"/>
        <v>0.17364817766692997</v>
      </c>
      <c r="W74" s="201">
        <v>290</v>
      </c>
      <c r="X74" s="199">
        <f t="shared" si="26"/>
        <v>5.0614548307835561</v>
      </c>
      <c r="Y74" s="199">
        <f t="shared" si="27"/>
        <v>0.34202014332566899</v>
      </c>
      <c r="AA74" s="457">
        <f t="shared" si="11"/>
        <v>5.384889473260536E-24</v>
      </c>
      <c r="AB74" s="55">
        <f t="shared" si="12"/>
        <v>0.56518030534631059</v>
      </c>
      <c r="AC74" s="55">
        <f t="shared" si="13"/>
        <v>0.96162697852599399</v>
      </c>
      <c r="AD74" s="55">
        <f t="shared" si="28"/>
        <v>1.5268072838723046</v>
      </c>
      <c r="AE74" s="54">
        <f t="shared" si="15"/>
        <v>7634.0364193615223</v>
      </c>
      <c r="AF74" s="54">
        <f t="shared" si="16"/>
        <v>282.59015267315527</v>
      </c>
      <c r="AG74" s="54">
        <f t="shared" si="17"/>
        <v>480.813489262997</v>
      </c>
    </row>
    <row r="75" spans="2:33" ht="11.1" customHeight="1" x14ac:dyDescent="0.15">
      <c r="B75" s="190">
        <v>10</v>
      </c>
      <c r="C75" s="191">
        <v>41262</v>
      </c>
      <c r="D75" s="192">
        <v>5830.9070462498912</v>
      </c>
      <c r="E75" s="193">
        <v>41244</v>
      </c>
      <c r="F75" s="190">
        <v>180</v>
      </c>
      <c r="G75" s="190">
        <v>330</v>
      </c>
      <c r="H75" s="194">
        <f t="shared" si="30"/>
        <v>510</v>
      </c>
      <c r="I75" s="203">
        <v>5.5</v>
      </c>
      <c r="J75" s="204">
        <v>11.5</v>
      </c>
      <c r="K75" s="197">
        <f t="shared" si="29"/>
        <v>17</v>
      </c>
      <c r="L75" s="186"/>
      <c r="M75" s="458">
        <f t="shared" si="0"/>
        <v>222.77598120731267</v>
      </c>
      <c r="N75" s="197">
        <f t="shared" si="20"/>
        <v>20.409500000000001</v>
      </c>
      <c r="O75" s="194">
        <f t="shared" si="21"/>
        <v>165.02717411945301</v>
      </c>
      <c r="P75" s="461">
        <f t="shared" si="3"/>
        <v>363.03550446695323</v>
      </c>
      <c r="Q75" s="197">
        <f t="shared" si="22"/>
        <v>101.28384615384616</v>
      </c>
      <c r="R75" s="187">
        <f t="shared" si="23"/>
        <v>315.08998786242449</v>
      </c>
      <c r="S75" s="124"/>
      <c r="T75" s="198">
        <v>310</v>
      </c>
      <c r="U75" s="199">
        <f t="shared" si="24"/>
        <v>5.4105206811824216</v>
      </c>
      <c r="V75" s="200">
        <f t="shared" si="25"/>
        <v>0.64278760968653925</v>
      </c>
      <c r="W75" s="201">
        <v>320</v>
      </c>
      <c r="X75" s="199">
        <f t="shared" si="26"/>
        <v>5.5850536063818543</v>
      </c>
      <c r="Y75" s="199">
        <f t="shared" si="27"/>
        <v>0.76604444311897779</v>
      </c>
      <c r="AA75" s="457">
        <f t="shared" si="11"/>
        <v>4.7899029421888219E-25</v>
      </c>
      <c r="AB75" s="55">
        <f t="shared" si="12"/>
        <v>0.55080194576012675</v>
      </c>
      <c r="AC75" s="55">
        <f t="shared" si="13"/>
        <v>0.95992918728566889</v>
      </c>
      <c r="AD75" s="55">
        <f t="shared" si="28"/>
        <v>1.5107311330457955</v>
      </c>
      <c r="AE75" s="54">
        <f t="shared" si="15"/>
        <v>7553.6556652289783</v>
      </c>
      <c r="AF75" s="54">
        <f t="shared" si="16"/>
        <v>275.40097288006336</v>
      </c>
      <c r="AG75" s="54">
        <f t="shared" si="17"/>
        <v>479.96459364283447</v>
      </c>
    </row>
    <row r="76" spans="2:33" ht="11.1" customHeight="1" x14ac:dyDescent="0.15">
      <c r="B76" s="190">
        <v>11</v>
      </c>
      <c r="C76" s="191">
        <v>41290</v>
      </c>
      <c r="D76" s="192">
        <v>5508.7884612072394</v>
      </c>
      <c r="E76" s="193">
        <v>41275</v>
      </c>
      <c r="F76" s="190">
        <v>160</v>
      </c>
      <c r="G76" s="190">
        <v>300</v>
      </c>
      <c r="H76" s="194">
        <f t="shared" si="30"/>
        <v>460</v>
      </c>
      <c r="I76" s="205">
        <v>4.2563140860967774</v>
      </c>
      <c r="J76" s="197">
        <v>11.301538550542444</v>
      </c>
      <c r="K76" s="197">
        <f t="shared" si="29"/>
        <v>15.557852636639222</v>
      </c>
      <c r="L76" s="186"/>
      <c r="M76" s="458">
        <f t="shared" si="0"/>
        <v>205.06102703547398</v>
      </c>
      <c r="N76" s="197">
        <f t="shared" si="20"/>
        <v>20.419499999999999</v>
      </c>
      <c r="O76" s="194">
        <f t="shared" si="21"/>
        <v>139.11647465194233</v>
      </c>
      <c r="P76" s="461">
        <f t="shared" si="3"/>
        <v>342.29423314957177</v>
      </c>
      <c r="Q76" s="197">
        <f t="shared" si="22"/>
        <v>101.30692307692308</v>
      </c>
      <c r="R76" s="187">
        <f t="shared" si="23"/>
        <v>273.69205588226487</v>
      </c>
      <c r="S76" s="124"/>
      <c r="T76" s="198">
        <v>320</v>
      </c>
      <c r="U76" s="199">
        <f t="shared" si="24"/>
        <v>5.5850536063818543</v>
      </c>
      <c r="V76" s="200">
        <f t="shared" si="25"/>
        <v>0.76604444311897779</v>
      </c>
      <c r="W76" s="201">
        <v>350</v>
      </c>
      <c r="X76" s="199">
        <f t="shared" si="26"/>
        <v>6.1086523819801535</v>
      </c>
      <c r="Y76" s="199">
        <f t="shared" si="27"/>
        <v>0.98480775301220802</v>
      </c>
      <c r="AA76" s="457">
        <f t="shared" si="11"/>
        <v>4.2606575881487414E-26</v>
      </c>
      <c r="AB76" s="55">
        <f t="shared" si="12"/>
        <v>0.53678937603327448</v>
      </c>
      <c r="AC76" s="55">
        <f t="shared" si="13"/>
        <v>0.95823439356429896</v>
      </c>
      <c r="AD76" s="55">
        <f t="shared" si="28"/>
        <v>1.4950237695975734</v>
      </c>
      <c r="AE76" s="54">
        <f t="shared" si="15"/>
        <v>7475.1188479878674</v>
      </c>
      <c r="AF76" s="54">
        <f t="shared" si="16"/>
        <v>268.39468801663725</v>
      </c>
      <c r="AG76" s="54">
        <f t="shared" si="17"/>
        <v>479.11719678214951</v>
      </c>
    </row>
    <row r="77" spans="2:33" ht="11.1" customHeight="1" x14ac:dyDescent="0.15">
      <c r="B77" s="190">
        <v>12</v>
      </c>
      <c r="C77" s="191">
        <v>41318</v>
      </c>
      <c r="D77" s="192">
        <v>4728.3759929486159</v>
      </c>
      <c r="E77" s="193">
        <v>41306</v>
      </c>
      <c r="F77" s="190">
        <v>98</v>
      </c>
      <c r="G77" s="190">
        <v>180</v>
      </c>
      <c r="H77" s="194">
        <f t="shared" si="30"/>
        <v>278</v>
      </c>
      <c r="I77" s="205">
        <v>4.1480321557769662</v>
      </c>
      <c r="J77" s="197">
        <v>11.457859997308681</v>
      </c>
      <c r="K77" s="197">
        <f t="shared" si="29"/>
        <v>15.605892153085648</v>
      </c>
      <c r="L77" s="186"/>
      <c r="M77" s="458">
        <f t="shared" si="0"/>
        <v>188.75475076333359</v>
      </c>
      <c r="N77" s="197">
        <f t="shared" si="20"/>
        <v>20.450500000000002</v>
      </c>
      <c r="O77" s="194">
        <f t="shared" si="21"/>
        <v>118.61671988026326</v>
      </c>
      <c r="P77" s="461">
        <f t="shared" si="3"/>
        <v>322.73797082047895</v>
      </c>
      <c r="Q77" s="197">
        <f t="shared" si="22"/>
        <v>101.39923076923077</v>
      </c>
      <c r="R77" s="187">
        <f t="shared" si="23"/>
        <v>240.48040595634467</v>
      </c>
      <c r="S77" s="124"/>
      <c r="T77" s="198">
        <v>330</v>
      </c>
      <c r="U77" s="199">
        <f t="shared" si="24"/>
        <v>5.7595865315812871</v>
      </c>
      <c r="V77" s="200">
        <f t="shared" si="25"/>
        <v>0.86602540378443837</v>
      </c>
      <c r="W77" s="201">
        <v>380</v>
      </c>
      <c r="X77" s="199">
        <f t="shared" si="26"/>
        <v>6.6322511575784526</v>
      </c>
      <c r="Y77" s="199">
        <f t="shared" si="27"/>
        <v>0.93969262078590832</v>
      </c>
      <c r="AA77" s="457">
        <f t="shared" si="11"/>
        <v>3.7898895452678096E-27</v>
      </c>
      <c r="AB77" s="55">
        <f t="shared" si="12"/>
        <v>0.52313329036001233</v>
      </c>
      <c r="AC77" s="55">
        <f t="shared" si="13"/>
        <v>0.9565425920696432</v>
      </c>
      <c r="AD77" s="55">
        <f t="shared" ref="AD77:AD91" si="31">AB77+AC77</f>
        <v>1.4796758824296554</v>
      </c>
      <c r="AE77" s="54">
        <f t="shared" si="15"/>
        <v>7398.3794121482779</v>
      </c>
      <c r="AF77" s="54">
        <f t="shared" si="16"/>
        <v>261.56664518000616</v>
      </c>
      <c r="AG77" s="54">
        <f t="shared" si="17"/>
        <v>478.2712960348216</v>
      </c>
    </row>
    <row r="78" spans="2:33" ht="11.1" customHeight="1" x14ac:dyDescent="0.15">
      <c r="B78" s="190">
        <v>13</v>
      </c>
      <c r="C78" s="191">
        <v>41346</v>
      </c>
      <c r="D78" s="192">
        <v>5774.2107831388548</v>
      </c>
      <c r="E78" s="193">
        <v>41334</v>
      </c>
      <c r="F78" s="190">
        <v>160</v>
      </c>
      <c r="G78" s="190">
        <v>320</v>
      </c>
      <c r="H78" s="194">
        <f t="shared" si="30"/>
        <v>480</v>
      </c>
      <c r="I78" s="205">
        <v>4.0425049508361122</v>
      </c>
      <c r="J78" s="197">
        <v>11.437630683062403</v>
      </c>
      <c r="K78" s="197">
        <f t="shared" si="29"/>
        <v>15.480135633898517</v>
      </c>
      <c r="L78" s="186"/>
      <c r="M78" s="458">
        <f t="shared" si="0"/>
        <v>175.14393241983743</v>
      </c>
      <c r="N78" s="197">
        <f t="shared" si="20"/>
        <v>20.419499999999999</v>
      </c>
      <c r="O78" s="194">
        <f t="shared" si="21"/>
        <v>103.67867524959496</v>
      </c>
      <c r="P78" s="461">
        <f t="shared" si="3"/>
        <v>306.0363966679954</v>
      </c>
      <c r="Q78" s="197">
        <f t="shared" si="22"/>
        <v>101.29153846153847</v>
      </c>
      <c r="R78" s="187">
        <f t="shared" si="23"/>
        <v>215.9464076889418</v>
      </c>
      <c r="S78" s="124"/>
      <c r="T78" s="198">
        <v>340</v>
      </c>
      <c r="U78" s="199">
        <f t="shared" si="24"/>
        <v>5.9341194567807207</v>
      </c>
      <c r="V78" s="200">
        <f t="shared" si="25"/>
        <v>0.93969262078590843</v>
      </c>
      <c r="W78" s="201">
        <v>410</v>
      </c>
      <c r="X78" s="199">
        <f t="shared" si="26"/>
        <v>7.1558499331767509</v>
      </c>
      <c r="Y78" s="199">
        <f t="shared" si="27"/>
        <v>0.64278760968653958</v>
      </c>
      <c r="AA78" s="457">
        <f t="shared" si="11"/>
        <v>3.3711375458292089E-28</v>
      </c>
      <c r="AB78" s="55">
        <f t="shared" si="12"/>
        <v>0.50982461967713921</v>
      </c>
      <c r="AC78" s="55">
        <f t="shared" si="13"/>
        <v>0.95485377751880474</v>
      </c>
      <c r="AD78" s="55">
        <f t="shared" si="31"/>
        <v>1.4646783971959438</v>
      </c>
      <c r="AE78" s="54">
        <f t="shared" si="15"/>
        <v>7323.3919859797206</v>
      </c>
      <c r="AF78" s="54">
        <f t="shared" si="16"/>
        <v>254.9123098385696</v>
      </c>
      <c r="AG78" s="54">
        <f t="shared" si="17"/>
        <v>477.42688875940235</v>
      </c>
    </row>
    <row r="79" spans="2:33" ht="11.1" customHeight="1" x14ac:dyDescent="0.15">
      <c r="B79" s="190">
        <v>14</v>
      </c>
      <c r="C79" s="191">
        <v>41376</v>
      </c>
      <c r="D79" s="192">
        <v>5482.3589469097042</v>
      </c>
      <c r="E79" s="193">
        <v>41365</v>
      </c>
      <c r="F79" s="190">
        <v>220</v>
      </c>
      <c r="G79" s="190">
        <v>460</v>
      </c>
      <c r="H79" s="194">
        <f t="shared" si="30"/>
        <v>680</v>
      </c>
      <c r="I79" s="205">
        <v>3.9324174064808517</v>
      </c>
      <c r="J79" s="190">
        <v>34</v>
      </c>
      <c r="K79" s="197">
        <f t="shared" si="29"/>
        <v>37.932417406480852</v>
      </c>
      <c r="L79" s="186"/>
      <c r="M79" s="458">
        <f t="shared" si="0"/>
        <v>161.21663774705263</v>
      </c>
      <c r="N79" s="197">
        <f t="shared" si="20"/>
        <v>20.389500000000002</v>
      </c>
      <c r="O79" s="194">
        <f t="shared" si="21"/>
        <v>165.83835031059999</v>
      </c>
      <c r="P79" s="461">
        <f t="shared" si="3"/>
        <v>288.55164969922481</v>
      </c>
      <c r="Q79" s="197">
        <f t="shared" si="22"/>
        <v>101.18384615384616</v>
      </c>
      <c r="R79" s="187">
        <f t="shared" si="23"/>
        <v>355.89706653956932</v>
      </c>
      <c r="S79" s="124"/>
      <c r="T79" s="173">
        <v>80</v>
      </c>
      <c r="U79" s="199">
        <f t="shared" si="24"/>
        <v>1.3962634015954636</v>
      </c>
      <c r="V79" s="200">
        <f t="shared" si="25"/>
        <v>0.17364817766693041</v>
      </c>
      <c r="W79" s="174">
        <v>440</v>
      </c>
      <c r="X79" s="199">
        <f t="shared" si="26"/>
        <v>7.67944870877505</v>
      </c>
      <c r="Y79" s="199">
        <f t="shared" si="27"/>
        <v>0.17364817766693044</v>
      </c>
      <c r="AA79" s="457">
        <f t="shared" si="11"/>
        <v>2.5227003777542246E-29</v>
      </c>
      <c r="AB79" s="55">
        <f t="shared" si="12"/>
        <v>0.49594081715501687</v>
      </c>
      <c r="AC79" s="55">
        <f t="shared" si="13"/>
        <v>0.95304764195926506</v>
      </c>
      <c r="AD79" s="55">
        <f t="shared" si="31"/>
        <v>1.4489884591142819</v>
      </c>
      <c r="AE79" s="54">
        <f t="shared" si="15"/>
        <v>7244.9422955714099</v>
      </c>
      <c r="AF79" s="54">
        <f t="shared" si="16"/>
        <v>247.97040857750844</v>
      </c>
      <c r="AG79" s="54">
        <f t="shared" si="17"/>
        <v>476.52382097963255</v>
      </c>
    </row>
    <row r="80" spans="2:33" ht="11.1" customHeight="1" x14ac:dyDescent="0.15">
      <c r="B80" s="190">
        <v>15</v>
      </c>
      <c r="C80" s="191">
        <v>41410</v>
      </c>
      <c r="D80" s="192">
        <v>6221.1897932797165</v>
      </c>
      <c r="E80" s="193">
        <v>41395</v>
      </c>
      <c r="F80" s="190">
        <v>250</v>
      </c>
      <c r="G80" s="190">
        <v>540</v>
      </c>
      <c r="H80" s="194">
        <f t="shared" si="30"/>
        <v>790</v>
      </c>
      <c r="I80" s="202">
        <v>17</v>
      </c>
      <c r="J80" s="190">
        <v>35</v>
      </c>
      <c r="K80" s="197">
        <f t="shared" si="29"/>
        <v>52</v>
      </c>
      <c r="L80" s="186"/>
      <c r="M80" s="458">
        <f t="shared" si="0"/>
        <v>148.79400603106026</v>
      </c>
      <c r="N80" s="197">
        <f t="shared" si="20"/>
        <v>20.374500000000001</v>
      </c>
      <c r="O80" s="194">
        <f t="shared" si="21"/>
        <v>233.9638030289768</v>
      </c>
      <c r="P80" s="461">
        <f t="shared" si="3"/>
        <v>272.58265751746552</v>
      </c>
      <c r="Q80" s="197">
        <f t="shared" si="22"/>
        <v>101.12230769230769</v>
      </c>
      <c r="R80" s="187">
        <f t="shared" si="23"/>
        <v>516.84227119223203</v>
      </c>
      <c r="S80" s="124"/>
      <c r="T80" s="173">
        <v>140</v>
      </c>
      <c r="U80" s="199">
        <f t="shared" si="24"/>
        <v>2.4434609527920612</v>
      </c>
      <c r="V80" s="200">
        <f t="shared" si="25"/>
        <v>-0.7660444431189779</v>
      </c>
      <c r="W80" s="174">
        <v>470</v>
      </c>
      <c r="X80" s="199">
        <f t="shared" si="26"/>
        <v>8.2030474843733483</v>
      </c>
      <c r="Y80" s="199">
        <f t="shared" si="27"/>
        <v>-0.34202014332566805</v>
      </c>
      <c r="AA80" s="457">
        <f t="shared" si="11"/>
        <v>1.3360829806611908E-30</v>
      </c>
      <c r="AB80" s="55">
        <f t="shared" si="12"/>
        <v>0.48066235416452191</v>
      </c>
      <c r="AC80" s="55">
        <f t="shared" si="13"/>
        <v>0.95100481797920355</v>
      </c>
      <c r="AD80" s="55">
        <f t="shared" si="31"/>
        <v>1.4316671721437255</v>
      </c>
      <c r="AE80" s="54">
        <f t="shared" si="15"/>
        <v>7158.3358607186274</v>
      </c>
      <c r="AF80" s="54">
        <f t="shared" si="16"/>
        <v>240.33117708226095</v>
      </c>
      <c r="AG80" s="54">
        <f t="shared" si="17"/>
        <v>475.5024089896018</v>
      </c>
    </row>
    <row r="81" spans="2:33" ht="11.1" customHeight="1" x14ac:dyDescent="0.15">
      <c r="B81" s="190">
        <v>16</v>
      </c>
      <c r="C81" s="191">
        <v>41437</v>
      </c>
      <c r="D81" s="192">
        <v>5950.2057887117353</v>
      </c>
      <c r="E81" s="193">
        <v>41426</v>
      </c>
      <c r="F81" s="190">
        <v>260</v>
      </c>
      <c r="G81" s="190">
        <v>560</v>
      </c>
      <c r="H81" s="194">
        <f t="shared" si="30"/>
        <v>820</v>
      </c>
      <c r="I81" s="202">
        <v>22</v>
      </c>
      <c r="J81" s="190">
        <v>48</v>
      </c>
      <c r="K81" s="197">
        <f t="shared" si="29"/>
        <v>70</v>
      </c>
      <c r="L81" s="186"/>
      <c r="M81" s="458">
        <f t="shared" si="0"/>
        <v>136.96203481226172</v>
      </c>
      <c r="N81" s="197">
        <f t="shared" si="20"/>
        <v>20.369499999999999</v>
      </c>
      <c r="O81" s="194">
        <f t="shared" si="21"/>
        <v>235.99730221839258</v>
      </c>
      <c r="P81" s="461">
        <f t="shared" si="3"/>
        <v>257.00921969549813</v>
      </c>
      <c r="Q81" s="197">
        <f t="shared" si="22"/>
        <v>101.10692307692308</v>
      </c>
      <c r="R81" s="187">
        <f t="shared" si="23"/>
        <v>537.1742141586318</v>
      </c>
      <c r="S81" s="124"/>
      <c r="T81" s="173">
        <v>180</v>
      </c>
      <c r="U81" s="199">
        <f t="shared" si="24"/>
        <v>3.1415926535897931</v>
      </c>
      <c r="V81" s="200">
        <f t="shared" si="25"/>
        <v>-1</v>
      </c>
      <c r="W81" s="174">
        <v>500</v>
      </c>
      <c r="X81" s="199">
        <f t="shared" si="26"/>
        <v>8.7266462599716483</v>
      </c>
      <c r="Y81" s="199">
        <f t="shared" si="27"/>
        <v>-0.76604444311897835</v>
      </c>
      <c r="AA81" s="457">
        <f t="shared" si="11"/>
        <v>1.295727605775608E-31</v>
      </c>
      <c r="AB81" s="55">
        <f t="shared" si="12"/>
        <v>0.46886547396452533</v>
      </c>
      <c r="AC81" s="55">
        <f t="shared" si="13"/>
        <v>0.94938569513655136</v>
      </c>
      <c r="AD81" s="55">
        <f t="shared" si="31"/>
        <v>1.4182511691010766</v>
      </c>
      <c r="AE81" s="54">
        <f t="shared" si="15"/>
        <v>7091.2558455053831</v>
      </c>
      <c r="AF81" s="54">
        <f t="shared" si="16"/>
        <v>234.43273698226267</v>
      </c>
      <c r="AG81" s="54">
        <f t="shared" si="17"/>
        <v>474.69284756827568</v>
      </c>
    </row>
    <row r="82" spans="2:33" ht="11.1" customHeight="1" x14ac:dyDescent="0.15">
      <c r="B82" s="190">
        <v>17</v>
      </c>
      <c r="C82" s="191">
        <v>41465</v>
      </c>
      <c r="D82" s="192">
        <v>6173.8314158538951</v>
      </c>
      <c r="E82" s="193">
        <v>41456</v>
      </c>
      <c r="F82" s="190">
        <v>200</v>
      </c>
      <c r="G82" s="190">
        <v>430</v>
      </c>
      <c r="H82" s="194">
        <f t="shared" si="30"/>
        <v>630</v>
      </c>
      <c r="I82" s="202">
        <v>15</v>
      </c>
      <c r="J82" s="190">
        <v>33</v>
      </c>
      <c r="K82" s="197">
        <f t="shared" si="29"/>
        <v>48</v>
      </c>
      <c r="L82" s="186"/>
      <c r="M82" s="458">
        <f t="shared" si="0"/>
        <v>126.40835411700265</v>
      </c>
      <c r="N82" s="197">
        <f t="shared" si="20"/>
        <v>20.3995</v>
      </c>
      <c r="O82" s="194">
        <f t="shared" si="21"/>
        <v>210.37751968720471</v>
      </c>
      <c r="P82" s="461">
        <f t="shared" si="3"/>
        <v>242.78584504407786</v>
      </c>
      <c r="Q82" s="197">
        <f t="shared" si="22"/>
        <v>101.20692307692308</v>
      </c>
      <c r="R82" s="187">
        <f t="shared" si="23"/>
        <v>492.94600607645924</v>
      </c>
      <c r="S82" s="124"/>
      <c r="T82" s="173">
        <v>210</v>
      </c>
      <c r="U82" s="199">
        <f t="shared" si="24"/>
        <v>3.6651914291880923</v>
      </c>
      <c r="V82" s="200">
        <f t="shared" si="25"/>
        <v>-0.8660254037844386</v>
      </c>
      <c r="W82" s="174">
        <v>530</v>
      </c>
      <c r="X82" s="199">
        <f t="shared" si="26"/>
        <v>9.2502450355699466</v>
      </c>
      <c r="Y82" s="199">
        <f t="shared" si="27"/>
        <v>-0.98480775301220802</v>
      </c>
      <c r="AA82" s="457">
        <f t="shared" si="11"/>
        <v>1.1525602339655961E-32</v>
      </c>
      <c r="AB82" s="55">
        <f t="shared" si="12"/>
        <v>0.45693739310530712</v>
      </c>
      <c r="AC82" s="55">
        <f t="shared" si="13"/>
        <v>0.94770951637608913</v>
      </c>
      <c r="AD82" s="55">
        <f t="shared" si="31"/>
        <v>1.4046469094813963</v>
      </c>
      <c r="AE82" s="54">
        <f t="shared" si="15"/>
        <v>7023.2345474069807</v>
      </c>
      <c r="AF82" s="54">
        <f t="shared" si="16"/>
        <v>228.46869655265357</v>
      </c>
      <c r="AG82" s="54">
        <f t="shared" si="17"/>
        <v>473.85475818804457</v>
      </c>
    </row>
    <row r="83" spans="2:33" ht="11.1" customHeight="1" x14ac:dyDescent="0.15">
      <c r="B83" s="190">
        <v>18</v>
      </c>
      <c r="C83" s="191">
        <v>41493</v>
      </c>
      <c r="D83" s="192">
        <v>6516.079595392629</v>
      </c>
      <c r="E83" s="193">
        <v>41487</v>
      </c>
      <c r="F83" s="190">
        <v>190</v>
      </c>
      <c r="G83" s="190">
        <v>390</v>
      </c>
      <c r="H83" s="194">
        <f t="shared" si="30"/>
        <v>580</v>
      </c>
      <c r="I83" s="202">
        <v>11</v>
      </c>
      <c r="J83" s="190">
        <v>28</v>
      </c>
      <c r="K83" s="197">
        <f t="shared" si="29"/>
        <v>39</v>
      </c>
      <c r="L83" s="186"/>
      <c r="M83" s="458">
        <f t="shared" si="0"/>
        <v>116.35647065997786</v>
      </c>
      <c r="N83" s="197">
        <f t="shared" si="20"/>
        <v>20.404499999999999</v>
      </c>
      <c r="O83" s="194">
        <f t="shared" si="21"/>
        <v>170.95121332497234</v>
      </c>
      <c r="P83" s="461">
        <f t="shared" si="3"/>
        <v>228.91478554130859</v>
      </c>
      <c r="Q83" s="197">
        <f t="shared" si="22"/>
        <v>101.2376923076923</v>
      </c>
      <c r="R83" s="187">
        <f t="shared" si="23"/>
        <v>412.69059731125117</v>
      </c>
      <c r="S83" s="124"/>
      <c r="T83" s="173">
        <v>240</v>
      </c>
      <c r="U83" s="199">
        <f t="shared" si="24"/>
        <v>4.1887902047863905</v>
      </c>
      <c r="V83" s="200">
        <f t="shared" si="25"/>
        <v>-0.50000000000000044</v>
      </c>
      <c r="W83" s="174">
        <v>560</v>
      </c>
      <c r="X83" s="199">
        <f t="shared" si="26"/>
        <v>9.7738438111682449</v>
      </c>
      <c r="Y83" s="199">
        <f t="shared" si="27"/>
        <v>-0.93969262078590865</v>
      </c>
      <c r="AA83" s="457">
        <f t="shared" si="11"/>
        <v>1.0252116934127125E-33</v>
      </c>
      <c r="AB83" s="55">
        <f t="shared" si="12"/>
        <v>0.44531276626623884</v>
      </c>
      <c r="AC83" s="55">
        <f t="shared" si="13"/>
        <v>0.94603629697687652</v>
      </c>
      <c r="AD83" s="55">
        <f t="shared" si="31"/>
        <v>1.3913490632431154</v>
      </c>
      <c r="AE83" s="54">
        <f t="shared" si="15"/>
        <v>6956.7453162155762</v>
      </c>
      <c r="AF83" s="54">
        <f t="shared" si="16"/>
        <v>222.65638313311942</v>
      </c>
      <c r="AG83" s="54">
        <f t="shared" si="17"/>
        <v>473.01814848843827</v>
      </c>
    </row>
    <row r="84" spans="2:33" ht="11.1" customHeight="1" x14ac:dyDescent="0.15">
      <c r="B84" s="190">
        <v>19</v>
      </c>
      <c r="C84" s="191">
        <v>41521</v>
      </c>
      <c r="D84" s="192">
        <v>5830.1834247958523</v>
      </c>
      <c r="E84" s="193">
        <v>41518</v>
      </c>
      <c r="F84" s="190">
        <v>150</v>
      </c>
      <c r="G84" s="190">
        <v>360</v>
      </c>
      <c r="H84" s="194">
        <f t="shared" si="30"/>
        <v>510</v>
      </c>
      <c r="I84" s="202">
        <v>16</v>
      </c>
      <c r="J84" s="190">
        <v>28</v>
      </c>
      <c r="K84" s="197">
        <f t="shared" si="29"/>
        <v>44</v>
      </c>
      <c r="L84" s="186"/>
      <c r="M84" s="458">
        <f t="shared" si="0"/>
        <v>107.10390431881464</v>
      </c>
      <c r="N84" s="197">
        <f t="shared" si="20"/>
        <v>20.424499999999998</v>
      </c>
      <c r="O84" s="194">
        <f t="shared" si="21"/>
        <v>149.33704588042201</v>
      </c>
      <c r="P84" s="461">
        <f t="shared" si="3"/>
        <v>215.83621989951558</v>
      </c>
      <c r="Q84" s="197">
        <f t="shared" si="22"/>
        <v>101.26076923076923</v>
      </c>
      <c r="R84" s="187">
        <f t="shared" si="23"/>
        <v>371.32376796552376</v>
      </c>
      <c r="S84" s="124"/>
      <c r="T84" s="173">
        <v>250</v>
      </c>
      <c r="U84" s="199">
        <f t="shared" si="24"/>
        <v>4.3633231299858242</v>
      </c>
      <c r="V84" s="200">
        <f t="shared" si="25"/>
        <v>-0.34202014332566855</v>
      </c>
      <c r="W84" s="174">
        <v>590</v>
      </c>
      <c r="X84" s="199">
        <f t="shared" si="26"/>
        <v>10.297442586766545</v>
      </c>
      <c r="Y84" s="199">
        <f t="shared" si="27"/>
        <v>-0.64278760968653903</v>
      </c>
      <c r="AA84" s="457">
        <f t="shared" si="11"/>
        <v>9.1193413180132401E-35</v>
      </c>
      <c r="AB84" s="55">
        <f t="shared" si="12"/>
        <v>0.43398387348436651</v>
      </c>
      <c r="AC84" s="55">
        <f t="shared" si="13"/>
        <v>0.94436603171404176</v>
      </c>
      <c r="AD84" s="55">
        <f t="shared" si="31"/>
        <v>1.3783499051984083</v>
      </c>
      <c r="AE84" s="54">
        <f t="shared" si="15"/>
        <v>6891.7495259920415</v>
      </c>
      <c r="AF84" s="54">
        <f t="shared" si="16"/>
        <v>216.99193674218324</v>
      </c>
      <c r="AG84" s="54">
        <f t="shared" si="17"/>
        <v>472.18301585702091</v>
      </c>
    </row>
    <row r="85" spans="2:33" ht="11.1" customHeight="1" x14ac:dyDescent="0.15">
      <c r="B85" s="190">
        <v>20</v>
      </c>
      <c r="C85" s="191">
        <v>41557</v>
      </c>
      <c r="D85" s="192">
        <v>5935.444661501966</v>
      </c>
      <c r="E85" s="193">
        <v>41548</v>
      </c>
      <c r="F85" s="190">
        <v>130</v>
      </c>
      <c r="G85" s="190">
        <v>290</v>
      </c>
      <c r="H85" s="194">
        <f t="shared" si="30"/>
        <v>420</v>
      </c>
      <c r="I85" s="205">
        <v>3.329003160674477</v>
      </c>
      <c r="J85" s="190">
        <v>18</v>
      </c>
      <c r="K85" s="197">
        <f t="shared" si="29"/>
        <v>21.329003160674478</v>
      </c>
      <c r="L85" s="186"/>
      <c r="M85" s="458">
        <f t="shared" si="0"/>
        <v>98.850957369349771</v>
      </c>
      <c r="N85" s="197">
        <f t="shared" si="20"/>
        <v>20.4345</v>
      </c>
      <c r="O85" s="194">
        <f t="shared" si="21"/>
        <v>129.64230851652673</v>
      </c>
      <c r="P85" s="461">
        <f t="shared" si="3"/>
        <v>203.89143666327854</v>
      </c>
      <c r="Q85" s="197">
        <f t="shared" si="22"/>
        <v>101.31461538461538</v>
      </c>
      <c r="R85" s="187">
        <f t="shared" si="23"/>
        <v>331.7052894234115</v>
      </c>
      <c r="S85" s="124"/>
      <c r="T85" s="173">
        <v>260</v>
      </c>
      <c r="U85" s="199">
        <f t="shared" si="24"/>
        <v>4.5378560551852569</v>
      </c>
      <c r="V85" s="200">
        <f t="shared" si="25"/>
        <v>-0.17364817766693033</v>
      </c>
      <c r="W85" s="174">
        <v>620</v>
      </c>
      <c r="X85" s="199">
        <f t="shared" si="26"/>
        <v>10.821041362364843</v>
      </c>
      <c r="Y85" s="199">
        <f t="shared" si="27"/>
        <v>-0.17364817766693058</v>
      </c>
      <c r="AA85" s="457">
        <f t="shared" si="11"/>
        <v>4.0632216173980779E-36</v>
      </c>
      <c r="AB85" s="55">
        <f t="shared" si="12"/>
        <v>0.41984061638411252</v>
      </c>
      <c r="AC85" s="55">
        <f t="shared" si="13"/>
        <v>0.94222288018386757</v>
      </c>
      <c r="AD85" s="55">
        <f t="shared" si="31"/>
        <v>1.3620634965679801</v>
      </c>
      <c r="AE85" s="54">
        <f t="shared" si="15"/>
        <v>6810.3174828399005</v>
      </c>
      <c r="AF85" s="54">
        <f t="shared" si="16"/>
        <v>209.92030819205627</v>
      </c>
      <c r="AG85" s="54">
        <f t="shared" si="17"/>
        <v>471.11144009193379</v>
      </c>
    </row>
    <row r="86" spans="2:33" ht="11.1" customHeight="1" x14ac:dyDescent="0.15">
      <c r="B86" s="190">
        <v>21</v>
      </c>
      <c r="C86" s="191">
        <v>41591</v>
      </c>
      <c r="D86" s="192">
        <v>5540.8068147733347</v>
      </c>
      <c r="E86" s="193">
        <v>41579</v>
      </c>
      <c r="F86" s="190">
        <v>120</v>
      </c>
      <c r="G86" s="190">
        <v>300</v>
      </c>
      <c r="H86" s="194">
        <f t="shared" si="30"/>
        <v>420</v>
      </c>
      <c r="I86" s="202">
        <v>11</v>
      </c>
      <c r="J86" s="190">
        <v>19</v>
      </c>
      <c r="K86" s="197">
        <f t="shared" si="29"/>
        <v>30</v>
      </c>
      <c r="L86" s="186"/>
      <c r="M86" s="458">
        <f t="shared" si="0"/>
        <v>90.990414369380616</v>
      </c>
      <c r="N86" s="197">
        <f t="shared" si="20"/>
        <v>20.439499999999999</v>
      </c>
      <c r="O86" s="194">
        <f t="shared" si="21"/>
        <v>101.75511358546811</v>
      </c>
      <c r="P86" s="461">
        <f t="shared" si="3"/>
        <v>192.24252752053997</v>
      </c>
      <c r="Q86" s="197">
        <f t="shared" si="22"/>
        <v>101.30692307692308</v>
      </c>
      <c r="R86" s="187">
        <f t="shared" si="23"/>
        <v>268.06228702177407</v>
      </c>
      <c r="S86" s="124"/>
      <c r="T86" s="173">
        <v>280</v>
      </c>
      <c r="U86" s="199">
        <f t="shared" si="24"/>
        <v>4.8869219055841224</v>
      </c>
      <c r="V86" s="200">
        <f t="shared" si="25"/>
        <v>0.17364817766692997</v>
      </c>
      <c r="W86" s="174">
        <v>650</v>
      </c>
      <c r="X86" s="199">
        <f t="shared" si="26"/>
        <v>11.344640137963141</v>
      </c>
      <c r="Y86" s="199">
        <f t="shared" si="27"/>
        <v>0.34202014332566794</v>
      </c>
      <c r="AA86" s="457">
        <f t="shared" si="11"/>
        <v>2.1519801945299382E-37</v>
      </c>
      <c r="AB86" s="55">
        <f t="shared" si="12"/>
        <v>0.40690657446328737</v>
      </c>
      <c r="AC86" s="55">
        <f t="shared" si="13"/>
        <v>0.94020325869858146</v>
      </c>
      <c r="AD86" s="55">
        <f t="shared" si="31"/>
        <v>1.3471098331618689</v>
      </c>
      <c r="AE86" s="54">
        <f t="shared" si="15"/>
        <v>6735.5491658093442</v>
      </c>
      <c r="AF86" s="54">
        <f t="shared" si="16"/>
        <v>203.45328723164369</v>
      </c>
      <c r="AG86" s="54">
        <f t="shared" si="17"/>
        <v>470.1016293492907</v>
      </c>
    </row>
    <row r="87" spans="2:33" ht="11.1" customHeight="1" x14ac:dyDescent="0.15">
      <c r="B87" s="190">
        <v>22</v>
      </c>
      <c r="C87" s="191">
        <v>41619</v>
      </c>
      <c r="D87" s="192">
        <v>5614.4632905783164</v>
      </c>
      <c r="E87" s="193">
        <v>41609</v>
      </c>
      <c r="F87" s="190">
        <v>110</v>
      </c>
      <c r="G87" s="190">
        <v>280</v>
      </c>
      <c r="H87" s="194">
        <f t="shared" si="30"/>
        <v>390</v>
      </c>
      <c r="I87" s="205">
        <v>3.1443646812528252</v>
      </c>
      <c r="J87" s="190">
        <v>13</v>
      </c>
      <c r="K87" s="197">
        <f t="shared" si="29"/>
        <v>16.144364681252824</v>
      </c>
      <c r="L87" s="186"/>
      <c r="M87" s="458">
        <f t="shared" si="0"/>
        <v>83.979100753165369</v>
      </c>
      <c r="N87" s="197">
        <f t="shared" si="20"/>
        <v>20.444500000000001</v>
      </c>
      <c r="O87" s="194">
        <f t="shared" si="21"/>
        <v>70.862502391671043</v>
      </c>
      <c r="P87" s="461">
        <f t="shared" si="3"/>
        <v>181.60346369201193</v>
      </c>
      <c r="Q87" s="197">
        <f t="shared" si="22"/>
        <v>101.32230769230769</v>
      </c>
      <c r="R87" s="187">
        <f t="shared" si="23"/>
        <v>191.99518123089607</v>
      </c>
      <c r="S87" s="124"/>
      <c r="T87" s="173">
        <v>310</v>
      </c>
      <c r="U87" s="199">
        <f t="shared" si="24"/>
        <v>5.4105206811824216</v>
      </c>
      <c r="V87" s="200">
        <f t="shared" si="25"/>
        <v>0.64278760968653925</v>
      </c>
      <c r="W87" s="174">
        <v>680</v>
      </c>
      <c r="X87" s="199">
        <f t="shared" si="26"/>
        <v>11.868238913561441</v>
      </c>
      <c r="Y87" s="199">
        <f t="shared" si="27"/>
        <v>0.76604444311897824</v>
      </c>
      <c r="AA87" s="457">
        <f t="shared" si="11"/>
        <v>1.9142038692708199E-38</v>
      </c>
      <c r="AB87" s="55">
        <f t="shared" si="12"/>
        <v>0.39655474693095599</v>
      </c>
      <c r="AC87" s="55">
        <f t="shared" si="13"/>
        <v>0.93854329190023933</v>
      </c>
      <c r="AD87" s="55">
        <f t="shared" si="31"/>
        <v>1.3350980388311953</v>
      </c>
      <c r="AE87" s="54">
        <f t="shared" si="15"/>
        <v>6675.4901941559765</v>
      </c>
      <c r="AF87" s="54">
        <f t="shared" si="16"/>
        <v>198.27737346547801</v>
      </c>
      <c r="AG87" s="54">
        <f t="shared" si="17"/>
        <v>469.27164595011965</v>
      </c>
    </row>
    <row r="88" spans="2:33" ht="11.1" customHeight="1" x14ac:dyDescent="0.15">
      <c r="B88" s="190">
        <v>23</v>
      </c>
      <c r="C88" s="191">
        <v>41647</v>
      </c>
      <c r="D88" s="192">
        <v>5304.3017742670354</v>
      </c>
      <c r="E88" s="193">
        <v>41640</v>
      </c>
      <c r="F88" s="190">
        <v>76</v>
      </c>
      <c r="G88" s="190">
        <v>190</v>
      </c>
      <c r="H88" s="194">
        <f t="shared" si="30"/>
        <v>266</v>
      </c>
      <c r="I88" s="205">
        <v>3.0643710834054159</v>
      </c>
      <c r="J88" s="204">
        <v>6.5</v>
      </c>
      <c r="K88" s="197">
        <f t="shared" si="29"/>
        <v>9.5643710834054154</v>
      </c>
      <c r="L88" s="186"/>
      <c r="M88" s="458">
        <f t="shared" si="0"/>
        <v>77.3011549837329</v>
      </c>
      <c r="N88" s="197">
        <f t="shared" si="20"/>
        <v>20.461500000000001</v>
      </c>
      <c r="O88" s="194">
        <f t="shared" si="21"/>
        <v>60.317385686309684</v>
      </c>
      <c r="P88" s="461">
        <f t="shared" si="3"/>
        <v>171.22793108909769</v>
      </c>
      <c r="Q88" s="197">
        <f t="shared" si="22"/>
        <v>101.39153846153846</v>
      </c>
      <c r="R88" s="187">
        <f t="shared" si="23"/>
        <v>168.20015468298203</v>
      </c>
      <c r="S88" s="124"/>
      <c r="T88" s="173">
        <v>320</v>
      </c>
      <c r="U88" s="199">
        <f t="shared" si="24"/>
        <v>5.5850536063818543</v>
      </c>
      <c r="V88" s="200">
        <f t="shared" si="25"/>
        <v>0.76604444311897779</v>
      </c>
      <c r="W88" s="174">
        <v>710</v>
      </c>
      <c r="X88" s="199">
        <f t="shared" si="26"/>
        <v>12.39183768915974</v>
      </c>
      <c r="Y88" s="199">
        <f t="shared" si="27"/>
        <v>0.98480775301220802</v>
      </c>
      <c r="AA88" s="457">
        <f t="shared" si="11"/>
        <v>1.7026998958658184E-39</v>
      </c>
      <c r="AB88" s="55">
        <f t="shared" si="12"/>
        <v>0.38646627305271697</v>
      </c>
      <c r="AC88" s="55">
        <f t="shared" si="13"/>
        <v>0.93688625584027307</v>
      </c>
      <c r="AD88" s="55">
        <f t="shared" si="31"/>
        <v>1.3233525288929902</v>
      </c>
      <c r="AE88" s="54">
        <f t="shared" si="15"/>
        <v>6616.7626444649504</v>
      </c>
      <c r="AF88" s="54">
        <f t="shared" si="16"/>
        <v>193.23313652635849</v>
      </c>
      <c r="AG88" s="54">
        <f t="shared" si="17"/>
        <v>468.44312792013653</v>
      </c>
    </row>
    <row r="89" spans="2:33" ht="11.1" customHeight="1" x14ac:dyDescent="0.15">
      <c r="B89" s="190">
        <v>24</v>
      </c>
      <c r="C89" s="191">
        <v>41675</v>
      </c>
      <c r="D89" s="192">
        <v>4552.8582818920968</v>
      </c>
      <c r="E89" s="193">
        <v>41671</v>
      </c>
      <c r="F89" s="190">
        <v>46</v>
      </c>
      <c r="G89" s="190">
        <v>120</v>
      </c>
      <c r="H89" s="194">
        <f t="shared" si="30"/>
        <v>166</v>
      </c>
      <c r="I89" s="205">
        <v>2.9864125471190008</v>
      </c>
      <c r="J89" s="197">
        <v>6.2344874934176557</v>
      </c>
      <c r="K89" s="197">
        <f t="shared" si="29"/>
        <v>9.220900040536657</v>
      </c>
      <c r="L89" s="186"/>
      <c r="M89" s="458">
        <f t="shared" si="0"/>
        <v>71.154233710865981</v>
      </c>
      <c r="N89" s="197">
        <f t="shared" si="20"/>
        <v>20.476500000000001</v>
      </c>
      <c r="O89" s="194">
        <f t="shared" si="21"/>
        <v>51.953462130357451</v>
      </c>
      <c r="P89" s="461">
        <f t="shared" si="3"/>
        <v>161.44518275695441</v>
      </c>
      <c r="Q89" s="197">
        <f t="shared" si="22"/>
        <v>101.44538461538461</v>
      </c>
      <c r="R89" s="187">
        <f t="shared" si="23"/>
        <v>149.05561249246404</v>
      </c>
      <c r="S89" s="124"/>
      <c r="T89" s="173">
        <v>330</v>
      </c>
      <c r="U89" s="199">
        <f t="shared" si="24"/>
        <v>5.7595865315812871</v>
      </c>
      <c r="V89" s="200">
        <f t="shared" si="25"/>
        <v>0.86602540378443837</v>
      </c>
      <c r="W89" s="174">
        <v>740</v>
      </c>
      <c r="X89" s="199">
        <f t="shared" si="26"/>
        <v>12.915436464758038</v>
      </c>
      <c r="Y89" s="199">
        <f t="shared" si="27"/>
        <v>0.93969262078590865</v>
      </c>
      <c r="AA89" s="457">
        <f t="shared" si="11"/>
        <v>1.5145653929149243E-40</v>
      </c>
      <c r="AB89" s="55">
        <f t="shared" si="12"/>
        <v>0.37663445303117637</v>
      </c>
      <c r="AC89" s="55">
        <f t="shared" si="13"/>
        <v>0.93523214534434596</v>
      </c>
      <c r="AD89" s="55">
        <f t="shared" si="31"/>
        <v>1.3118665983755222</v>
      </c>
      <c r="AE89" s="54">
        <f t="shared" si="15"/>
        <v>6559.3329918776117</v>
      </c>
      <c r="AF89" s="54">
        <f t="shared" si="16"/>
        <v>188.31722651558817</v>
      </c>
      <c r="AG89" s="54">
        <f t="shared" si="17"/>
        <v>467.616072672173</v>
      </c>
    </row>
    <row r="90" spans="2:33" ht="11.1" customHeight="1" x14ac:dyDescent="0.15">
      <c r="B90" s="190">
        <v>25</v>
      </c>
      <c r="C90" s="191">
        <v>41703</v>
      </c>
      <c r="D90" s="192">
        <v>5559.8715974806528</v>
      </c>
      <c r="E90" s="193">
        <v>41699</v>
      </c>
      <c r="F90" s="190">
        <v>49</v>
      </c>
      <c r="G90" s="190">
        <v>130</v>
      </c>
      <c r="H90" s="194">
        <f t="shared" si="30"/>
        <v>179</v>
      </c>
      <c r="I90" s="205">
        <v>2.9104372998059214</v>
      </c>
      <c r="J90" s="197">
        <v>6.2234802541340155</v>
      </c>
      <c r="K90" s="197">
        <f t="shared" si="29"/>
        <v>9.1339175539399378</v>
      </c>
      <c r="L90" s="186"/>
      <c r="M90" s="458">
        <f t="shared" si="0"/>
        <v>66.023410007130124</v>
      </c>
      <c r="N90" s="197">
        <f t="shared" si="20"/>
        <v>20.475000000000001</v>
      </c>
      <c r="O90" s="194">
        <f t="shared" si="21"/>
        <v>45.857451210423051</v>
      </c>
      <c r="P90" s="461">
        <f t="shared" si="3"/>
        <v>153.09045249536908</v>
      </c>
      <c r="Q90" s="197">
        <f t="shared" si="22"/>
        <v>101.43769230769232</v>
      </c>
      <c r="R90" s="187">
        <f t="shared" si="23"/>
        <v>134.93903507617941</v>
      </c>
      <c r="S90" s="124"/>
      <c r="T90" s="173">
        <v>340</v>
      </c>
      <c r="U90" s="199">
        <f t="shared" si="24"/>
        <v>5.9341194567807207</v>
      </c>
      <c r="V90" s="200">
        <f t="shared" si="25"/>
        <v>0.93969262078590843</v>
      </c>
      <c r="W90" s="174">
        <v>770</v>
      </c>
      <c r="X90" s="199">
        <f t="shared" si="26"/>
        <v>13.439035240356338</v>
      </c>
      <c r="Y90" s="199">
        <f t="shared" si="27"/>
        <v>0.64278760968653914</v>
      </c>
      <c r="AA90" s="457">
        <f t="shared" si="11"/>
        <v>1.3472182238251052E-41</v>
      </c>
      <c r="AB90" s="55">
        <f t="shared" si="12"/>
        <v>0.36705275751383221</v>
      </c>
      <c r="AC90" s="55">
        <f t="shared" si="13"/>
        <v>0.93358095524725682</v>
      </c>
      <c r="AD90" s="55">
        <f t="shared" si="31"/>
        <v>1.300633712761089</v>
      </c>
      <c r="AE90" s="54">
        <f t="shared" si="15"/>
        <v>6503.168563805445</v>
      </c>
      <c r="AF90" s="54">
        <f t="shared" si="16"/>
        <v>183.5263787569161</v>
      </c>
      <c r="AG90" s="54">
        <f t="shared" si="17"/>
        <v>466.79047762362842</v>
      </c>
    </row>
    <row r="91" spans="2:33" ht="11.1" customHeight="1" x14ac:dyDescent="0.15">
      <c r="B91" s="190">
        <v>26</v>
      </c>
      <c r="C91" s="191">
        <v>41739</v>
      </c>
      <c r="D91" s="192">
        <v>5397.9493997803338</v>
      </c>
      <c r="E91" s="193">
        <v>41730</v>
      </c>
      <c r="F91" s="190">
        <v>74</v>
      </c>
      <c r="G91" s="190">
        <v>210</v>
      </c>
      <c r="H91" s="194">
        <f t="shared" si="30"/>
        <v>284</v>
      </c>
      <c r="I91" s="205">
        <v>2.8155880081148852</v>
      </c>
      <c r="J91" s="197">
        <v>6.2093566402155362</v>
      </c>
      <c r="K91" s="197">
        <f t="shared" si="29"/>
        <v>9.0249446483304219</v>
      </c>
      <c r="L91" s="186"/>
      <c r="M91" s="458">
        <f t="shared" si="0"/>
        <v>60.773285302454703</v>
      </c>
      <c r="N91" s="197">
        <f t="shared" si="20"/>
        <v>20.462499999999999</v>
      </c>
      <c r="O91" s="194">
        <f t="shared" si="21"/>
        <v>74.18256226289806</v>
      </c>
      <c r="P91" s="461">
        <f t="shared" si="3"/>
        <v>144.34395092117873</v>
      </c>
      <c r="Q91" s="197">
        <f t="shared" si="22"/>
        <v>101.37615384615384</v>
      </c>
      <c r="R91" s="187">
        <f t="shared" si="23"/>
        <v>224.38568056284529</v>
      </c>
      <c r="S91" s="124"/>
      <c r="T91" s="198">
        <v>80</v>
      </c>
      <c r="U91" s="199">
        <f t="shared" si="24"/>
        <v>1.3962634015954636</v>
      </c>
      <c r="V91" s="200">
        <f t="shared" si="25"/>
        <v>0.17364817766693041</v>
      </c>
      <c r="W91" s="201">
        <v>800</v>
      </c>
      <c r="X91" s="199">
        <f t="shared" si="26"/>
        <v>13.962634015954636</v>
      </c>
      <c r="Y91" s="199">
        <f t="shared" si="27"/>
        <v>0.17364817766693069</v>
      </c>
      <c r="AA91" s="457">
        <f t="shared" si="11"/>
        <v>6.0026771885225085E-43</v>
      </c>
      <c r="AB91" s="55">
        <f t="shared" si="12"/>
        <v>0.35509074271085056</v>
      </c>
      <c r="AC91" s="55">
        <f t="shared" si="13"/>
        <v>0.93146227945250371</v>
      </c>
      <c r="AD91" s="55">
        <f t="shared" si="31"/>
        <v>1.2865530221633543</v>
      </c>
      <c r="AE91" s="54">
        <f t="shared" si="15"/>
        <v>6432.765110816772</v>
      </c>
      <c r="AF91" s="54">
        <f t="shared" si="16"/>
        <v>177.54537135542529</v>
      </c>
      <c r="AG91" s="54">
        <f t="shared" si="17"/>
        <v>465.73113972625185</v>
      </c>
    </row>
    <row r="92" spans="2:33" ht="11.1" customHeight="1" x14ac:dyDescent="0.15">
      <c r="B92" s="190">
        <v>27</v>
      </c>
      <c r="C92" s="191">
        <v>41773</v>
      </c>
      <c r="D92" s="192">
        <v>6125.4047820935002</v>
      </c>
      <c r="E92" s="193">
        <v>41760</v>
      </c>
      <c r="F92" s="190">
        <v>120</v>
      </c>
      <c r="G92" s="190">
        <v>320</v>
      </c>
      <c r="H92" s="194">
        <f t="shared" si="30"/>
        <v>440</v>
      </c>
      <c r="I92" s="205">
        <v>2.728848107525057</v>
      </c>
      <c r="J92" s="190">
        <v>21</v>
      </c>
      <c r="K92" s="197">
        <f t="shared" si="29"/>
        <v>23.728848107525057</v>
      </c>
      <c r="L92" s="186"/>
      <c r="M92" s="458">
        <f t="shared" si="0"/>
        <v>56.090368253484485</v>
      </c>
      <c r="N92" s="197">
        <f t="shared" si="20"/>
        <v>20.439499999999999</v>
      </c>
      <c r="O92" s="194">
        <f t="shared" si="21"/>
        <v>105.84250840758911</v>
      </c>
      <c r="P92" s="461">
        <f t="shared" si="3"/>
        <v>136.35568460508864</v>
      </c>
      <c r="Q92" s="197">
        <f t="shared" si="22"/>
        <v>101.29153846153847</v>
      </c>
      <c r="R92" s="187">
        <f t="shared" si="23"/>
        <v>328.67139039305005</v>
      </c>
      <c r="S92" s="124"/>
      <c r="T92" s="198">
        <v>140</v>
      </c>
      <c r="U92" s="199">
        <f t="shared" si="24"/>
        <v>2.4434609527920612</v>
      </c>
      <c r="V92" s="200">
        <f t="shared" si="25"/>
        <v>-0.7660444431189779</v>
      </c>
      <c r="W92" s="201">
        <v>830</v>
      </c>
      <c r="X92" s="199">
        <f t="shared" si="26"/>
        <v>14.486232791552935</v>
      </c>
      <c r="Y92" s="199">
        <f t="shared" si="27"/>
        <v>-0.34202014332566782</v>
      </c>
      <c r="AA92" s="457">
        <f t="shared" si="11"/>
        <v>3.1791626547135876E-44</v>
      </c>
      <c r="AB92" s="55">
        <f t="shared" si="12"/>
        <v>0.34415145200697755</v>
      </c>
      <c r="AC92" s="55">
        <f t="shared" si="13"/>
        <v>0.9294657229350598</v>
      </c>
      <c r="AD92" s="55">
        <f t="shared" ref="AD92:AD150" si="32">AB92+AC92</f>
        <v>1.2736171749420373</v>
      </c>
      <c r="AE92" s="54">
        <f t="shared" si="15"/>
        <v>6368.0858747101865</v>
      </c>
      <c r="AF92" s="54">
        <f t="shared" si="16"/>
        <v>172.07572600348877</v>
      </c>
      <c r="AG92" s="54">
        <f t="shared" si="17"/>
        <v>464.73286146752991</v>
      </c>
    </row>
    <row r="93" spans="2:33" ht="11.1" customHeight="1" x14ac:dyDescent="0.15">
      <c r="B93" s="190">
        <v>28</v>
      </c>
      <c r="C93" s="191">
        <v>41801</v>
      </c>
      <c r="D93" s="192">
        <v>5858.5930028990097</v>
      </c>
      <c r="E93" s="193">
        <v>41791</v>
      </c>
      <c r="F93" s="190">
        <v>110</v>
      </c>
      <c r="G93" s="190">
        <v>330</v>
      </c>
      <c r="H93" s="194">
        <f t="shared" si="30"/>
        <v>440</v>
      </c>
      <c r="I93" s="205">
        <v>2.659425378220944</v>
      </c>
      <c r="J93" s="190">
        <v>26</v>
      </c>
      <c r="K93" s="197">
        <f t="shared" si="29"/>
        <v>28.659425378220945</v>
      </c>
      <c r="L93" s="186"/>
      <c r="M93" s="458">
        <f t="shared" si="0"/>
        <v>51.630110474763896</v>
      </c>
      <c r="N93" s="197">
        <f t="shared" si="20"/>
        <v>20.444500000000001</v>
      </c>
      <c r="O93" s="194">
        <f t="shared" si="21"/>
        <v>108.11191571214584</v>
      </c>
      <c r="P93" s="461">
        <f t="shared" si="3"/>
        <v>128.56528885794515</v>
      </c>
      <c r="Q93" s="197">
        <f t="shared" si="22"/>
        <v>101.28384615384616</v>
      </c>
      <c r="R93" s="187">
        <f t="shared" si="23"/>
        <v>344.77370251768696</v>
      </c>
      <c r="S93" s="124"/>
      <c r="T93" s="198">
        <v>180</v>
      </c>
      <c r="U93" s="199">
        <f t="shared" si="24"/>
        <v>3.1415926535897931</v>
      </c>
      <c r="V93" s="200">
        <f t="shared" si="25"/>
        <v>-1</v>
      </c>
      <c r="W93" s="201">
        <v>860</v>
      </c>
      <c r="X93" s="199">
        <f t="shared" si="26"/>
        <v>15.009831567151235</v>
      </c>
      <c r="Y93" s="199">
        <f t="shared" si="27"/>
        <v>-0.76604444311897812</v>
      </c>
      <c r="AA93" s="457">
        <f t="shared" ref="AA93:AA124" si="33">1*2.71828^(-0.69315/半I131*(C93-事故日)/365.25)</f>
        <v>2.827891014128692E-45</v>
      </c>
      <c r="AB93" s="55">
        <f t="shared" ref="AB93:AB124" si="34">1*2.71828^(-0.69315/半Cs134*(C93-事故日)/365.25)</f>
        <v>0.33539613395669349</v>
      </c>
      <c r="AC93" s="55">
        <f t="shared" ref="AC93:AC124" si="35">1*2.71828^(-0.69315/半Cs137*(C93-事故日)/365.25)</f>
        <v>0.92782471368945785</v>
      </c>
      <c r="AD93" s="55">
        <f t="shared" si="32"/>
        <v>1.2632208476461513</v>
      </c>
      <c r="AE93" s="54">
        <f t="shared" ref="AE93:AE124" si="36">5000*2.71828^(-0.69315/半Cs134*(C93-事故日)/365.25)+5000*2.71828^(-0.69315/半Cs137*(C93-事故日)/365.25)</f>
        <v>6316.1042382307569</v>
      </c>
      <c r="AF93" s="54">
        <f t="shared" ref="AF93:AF124" si="37">500*2.71828^(-0.69315/半Cs134*(C93-事故日)/365.25)</f>
        <v>167.69806697834673</v>
      </c>
      <c r="AG93" s="54">
        <f t="shared" ref="AG93:AG124" si="38">500*2.71828^(-0.69315/半Cs137*(C93-事故日)/365.25)</f>
        <v>463.91235684472895</v>
      </c>
    </row>
    <row r="94" spans="2:33" ht="11.1" customHeight="1" x14ac:dyDescent="0.15">
      <c r="B94" s="190">
        <v>29</v>
      </c>
      <c r="C94" s="191">
        <v>41829</v>
      </c>
      <c r="D94" s="192">
        <v>6078.7755614467223</v>
      </c>
      <c r="E94" s="193">
        <v>41821</v>
      </c>
      <c r="F94" s="190">
        <v>91</v>
      </c>
      <c r="G94" s="190">
        <v>290</v>
      </c>
      <c r="H94" s="194">
        <f t="shared" si="30"/>
        <v>381</v>
      </c>
      <c r="I94" s="205">
        <v>2.5917687843535173</v>
      </c>
      <c r="J94" s="190">
        <v>22</v>
      </c>
      <c r="K94" s="197">
        <f t="shared" si="29"/>
        <v>24.591768784353519</v>
      </c>
      <c r="L94" s="186"/>
      <c r="M94" s="458">
        <f t="shared" si="0"/>
        <v>47.651725508751198</v>
      </c>
      <c r="N94" s="197">
        <f t="shared" si="20"/>
        <v>20.454000000000001</v>
      </c>
      <c r="O94" s="194">
        <f t="shared" si="21"/>
        <v>97.596369725625379</v>
      </c>
      <c r="P94" s="461">
        <f t="shared" si="3"/>
        <v>121.45024344143765</v>
      </c>
      <c r="Q94" s="197">
        <f t="shared" si="22"/>
        <v>101.31461538461538</v>
      </c>
      <c r="R94" s="187">
        <f t="shared" si="23"/>
        <v>319.22487223296105</v>
      </c>
      <c r="S94" s="124"/>
      <c r="T94" s="198">
        <v>210</v>
      </c>
      <c r="U94" s="199">
        <f t="shared" si="24"/>
        <v>3.6651914291880923</v>
      </c>
      <c r="V94" s="200">
        <f t="shared" si="25"/>
        <v>-0.8660254037844386</v>
      </c>
      <c r="W94" s="201">
        <v>890</v>
      </c>
      <c r="X94" s="199">
        <f t="shared" si="26"/>
        <v>15.533430342749533</v>
      </c>
      <c r="Y94" s="199">
        <f t="shared" si="27"/>
        <v>-0.98480775301220802</v>
      </c>
      <c r="AA94" s="457">
        <f t="shared" si="33"/>
        <v>2.5154320355182138E-46</v>
      </c>
      <c r="AB94" s="55">
        <f t="shared" si="34"/>
        <v>0.32686355387167043</v>
      </c>
      <c r="AC94" s="55">
        <f t="shared" si="35"/>
        <v>0.92618660171190759</v>
      </c>
      <c r="AD94" s="55">
        <f t="shared" si="32"/>
        <v>1.253050155583578</v>
      </c>
      <c r="AE94" s="54">
        <f t="shared" si="36"/>
        <v>6265.2507779178895</v>
      </c>
      <c r="AF94" s="54">
        <f t="shared" si="37"/>
        <v>163.43177693583522</v>
      </c>
      <c r="AG94" s="54">
        <f t="shared" si="38"/>
        <v>463.09330085595377</v>
      </c>
    </row>
    <row r="95" spans="2:33" ht="11.1" customHeight="1" x14ac:dyDescent="0.15">
      <c r="B95" s="190">
        <v>30</v>
      </c>
      <c r="C95" s="191">
        <v>41857</v>
      </c>
      <c r="D95" s="192">
        <v>6415.7542914436672</v>
      </c>
      <c r="E95" s="193">
        <v>41852</v>
      </c>
      <c r="F95" s="190">
        <v>74</v>
      </c>
      <c r="G95" s="190">
        <v>220</v>
      </c>
      <c r="H95" s="194">
        <f t="shared" si="30"/>
        <v>294</v>
      </c>
      <c r="I95" s="205">
        <v>2.5258333948978513</v>
      </c>
      <c r="J95" s="190">
        <v>21</v>
      </c>
      <c r="K95" s="197">
        <f t="shared" si="29"/>
        <v>23.525833394897852</v>
      </c>
      <c r="L95" s="186"/>
      <c r="M95" s="458">
        <f t="shared" si="0"/>
        <v>43.862501333767042</v>
      </c>
      <c r="N95" s="197">
        <f t="shared" si="20"/>
        <v>20.462499999999999</v>
      </c>
      <c r="O95" s="194">
        <f t="shared" si="21"/>
        <v>80.406251667208807</v>
      </c>
      <c r="P95" s="461">
        <f t="shared" si="3"/>
        <v>114.51143877967435</v>
      </c>
      <c r="Q95" s="197">
        <f t="shared" si="22"/>
        <v>101.36846153846153</v>
      </c>
      <c r="R95" s="187">
        <f t="shared" si="23"/>
        <v>269.8498753976699</v>
      </c>
      <c r="S95" s="124"/>
      <c r="T95" s="198">
        <v>240</v>
      </c>
      <c r="U95" s="199">
        <f t="shared" si="24"/>
        <v>4.1887902047863905</v>
      </c>
      <c r="V95" s="200">
        <f t="shared" si="25"/>
        <v>-0.50000000000000044</v>
      </c>
      <c r="W95" s="201">
        <v>920</v>
      </c>
      <c r="X95" s="199">
        <f t="shared" si="26"/>
        <v>16.057029118347831</v>
      </c>
      <c r="Y95" s="199">
        <f t="shared" si="27"/>
        <v>-0.93969262078590876</v>
      </c>
      <c r="AA95" s="457">
        <f t="shared" si="33"/>
        <v>2.2374972351121329E-47</v>
      </c>
      <c r="AB95" s="55">
        <f t="shared" si="34"/>
        <v>0.31854804523004304</v>
      </c>
      <c r="AC95" s="55">
        <f t="shared" si="35"/>
        <v>0.92455138188716512</v>
      </c>
      <c r="AD95" s="55">
        <f t="shared" si="32"/>
        <v>1.2430994271172082</v>
      </c>
      <c r="AE95" s="54">
        <f t="shared" si="36"/>
        <v>6215.4971355860416</v>
      </c>
      <c r="AF95" s="54">
        <f t="shared" si="37"/>
        <v>159.27402261502152</v>
      </c>
      <c r="AG95" s="54">
        <f t="shared" si="38"/>
        <v>462.27569094358256</v>
      </c>
    </row>
    <row r="96" spans="2:33" ht="11.1" customHeight="1" x14ac:dyDescent="0.15">
      <c r="B96" s="190">
        <v>31</v>
      </c>
      <c r="C96" s="191">
        <v>41892</v>
      </c>
      <c r="D96" s="192">
        <v>5740.4185722325992</v>
      </c>
      <c r="E96" s="193">
        <v>41883</v>
      </c>
      <c r="F96" s="190">
        <v>72</v>
      </c>
      <c r="G96" s="190">
        <v>230</v>
      </c>
      <c r="H96" s="194">
        <f t="shared" si="30"/>
        <v>302</v>
      </c>
      <c r="I96" s="205">
        <v>2.4457680000281132</v>
      </c>
      <c r="J96" s="190">
        <v>22</v>
      </c>
      <c r="K96" s="197">
        <f t="shared" si="29"/>
        <v>24.445768000028114</v>
      </c>
      <c r="L96" s="186"/>
      <c r="M96" s="458">
        <f t="shared" si="0"/>
        <v>40.374593001913233</v>
      </c>
      <c r="N96" s="197">
        <f t="shared" si="20"/>
        <v>20.4635</v>
      </c>
      <c r="O96" s="194">
        <f t="shared" si="21"/>
        <v>71.242019646000585</v>
      </c>
      <c r="P96" s="461">
        <f t="shared" si="3"/>
        <v>107.96906815352763</v>
      </c>
      <c r="Q96" s="197">
        <f t="shared" si="22"/>
        <v>101.36076923076924</v>
      </c>
      <c r="R96" s="187">
        <f t="shared" si="23"/>
        <v>245.12734787655489</v>
      </c>
      <c r="S96" s="124"/>
      <c r="T96" s="198">
        <v>250</v>
      </c>
      <c r="U96" s="199">
        <f t="shared" si="24"/>
        <v>4.3633231299858242</v>
      </c>
      <c r="V96" s="200">
        <f t="shared" si="25"/>
        <v>-0.34202014332566855</v>
      </c>
      <c r="W96" s="201">
        <v>950</v>
      </c>
      <c r="X96" s="199">
        <f t="shared" si="26"/>
        <v>16.580627893946129</v>
      </c>
      <c r="Y96" s="199">
        <f t="shared" si="27"/>
        <v>-0.64278760968654058</v>
      </c>
      <c r="AA96" s="457">
        <f t="shared" si="33"/>
        <v>1.0869258234997537E-48</v>
      </c>
      <c r="AB96" s="55">
        <f t="shared" si="34"/>
        <v>0.30845051659737643</v>
      </c>
      <c r="AC96" s="55">
        <f t="shared" si="35"/>
        <v>0.9225114164179864</v>
      </c>
      <c r="AD96" s="55">
        <f t="shared" si="32"/>
        <v>1.2309619330153629</v>
      </c>
      <c r="AE96" s="54">
        <f t="shared" si="36"/>
        <v>6154.8096650768139</v>
      </c>
      <c r="AF96" s="54">
        <f t="shared" si="37"/>
        <v>154.2252582986882</v>
      </c>
      <c r="AG96" s="54">
        <f t="shared" si="38"/>
        <v>461.25570820899321</v>
      </c>
    </row>
    <row r="97" spans="2:33" ht="11.1" customHeight="1" x14ac:dyDescent="0.15">
      <c r="B97" s="190">
        <v>32</v>
      </c>
      <c r="C97" s="191">
        <v>41920</v>
      </c>
      <c r="D97" s="192">
        <v>5844.0591464817899</v>
      </c>
      <c r="E97" s="193">
        <v>41913</v>
      </c>
      <c r="F97" s="190">
        <v>63</v>
      </c>
      <c r="G97" s="190">
        <v>200</v>
      </c>
      <c r="H97" s="194">
        <f t="shared" si="30"/>
        <v>263</v>
      </c>
      <c r="I97" s="205">
        <v>2.3835469151174533</v>
      </c>
      <c r="J97" s="190">
        <v>14</v>
      </c>
      <c r="K97" s="197">
        <f t="shared" si="29"/>
        <v>16.383546915117453</v>
      </c>
      <c r="L97" s="186"/>
      <c r="M97" s="458">
        <f t="shared" si="0"/>
        <v>37.263507777987456</v>
      </c>
      <c r="N97" s="197">
        <f t="shared" si="20"/>
        <v>20.468</v>
      </c>
      <c r="O97" s="194">
        <f t="shared" si="21"/>
        <v>62.743993337793334</v>
      </c>
      <c r="P97" s="461">
        <f t="shared" si="3"/>
        <v>101.99385641236198</v>
      </c>
      <c r="Q97" s="197">
        <f t="shared" si="22"/>
        <v>101.38384615384615</v>
      </c>
      <c r="R97" s="187">
        <f t="shared" si="23"/>
        <v>221.03578628056266</v>
      </c>
      <c r="S97" s="124"/>
      <c r="T97" s="198">
        <v>260</v>
      </c>
      <c r="U97" s="199">
        <f t="shared" si="24"/>
        <v>4.5378560551852569</v>
      </c>
      <c r="V97" s="200">
        <f t="shared" si="25"/>
        <v>-0.17364817766693033</v>
      </c>
      <c r="W97" s="201">
        <v>980</v>
      </c>
      <c r="X97" s="199">
        <f t="shared" si="26"/>
        <v>17.104226669544431</v>
      </c>
      <c r="Y97" s="199">
        <f t="shared" si="27"/>
        <v>-0.17364817766692905</v>
      </c>
      <c r="AA97" s="457">
        <f t="shared" si="33"/>
        <v>9.668293519811412E-50</v>
      </c>
      <c r="AB97" s="55">
        <f t="shared" si="34"/>
        <v>0.30060344124774313</v>
      </c>
      <c r="AC97" s="55">
        <f t="shared" si="35"/>
        <v>0.9208826852812052</v>
      </c>
      <c r="AD97" s="55">
        <f t="shared" si="32"/>
        <v>1.2214861265289483</v>
      </c>
      <c r="AE97" s="54">
        <f t="shared" si="36"/>
        <v>6107.4306326447413</v>
      </c>
      <c r="AF97" s="54">
        <f t="shared" si="37"/>
        <v>150.30172062387157</v>
      </c>
      <c r="AG97" s="54">
        <f t="shared" si="38"/>
        <v>460.44134264060261</v>
      </c>
    </row>
    <row r="98" spans="2:33" ht="11.1" customHeight="1" x14ac:dyDescent="0.15">
      <c r="B98" s="190">
        <v>33</v>
      </c>
      <c r="C98" s="191">
        <v>41948</v>
      </c>
      <c r="D98" s="192">
        <v>5455.4973707009112</v>
      </c>
      <c r="E98" s="193">
        <v>41944</v>
      </c>
      <c r="F98" s="190">
        <v>60</v>
      </c>
      <c r="G98" s="190">
        <v>190</v>
      </c>
      <c r="H98" s="194">
        <f t="shared" si="30"/>
        <v>250</v>
      </c>
      <c r="I98" s="205">
        <v>2.3229087536105717</v>
      </c>
      <c r="J98" s="190">
        <v>13</v>
      </c>
      <c r="K98" s="197">
        <f t="shared" si="29"/>
        <v>15.322908753610571</v>
      </c>
      <c r="L98" s="186"/>
      <c r="M98" s="458">
        <f t="shared" si="0"/>
        <v>34.30034573066289</v>
      </c>
      <c r="N98" s="197">
        <f t="shared" si="20"/>
        <v>20.4695</v>
      </c>
      <c r="O98" s="194">
        <f t="shared" si="21"/>
        <v>50.01450377954864</v>
      </c>
      <c r="P98" s="461">
        <f t="shared" si="3"/>
        <v>96.166651572821493</v>
      </c>
      <c r="Q98" s="197">
        <f t="shared" si="22"/>
        <v>101.39153846153846</v>
      </c>
      <c r="R98" s="187">
        <f t="shared" si="23"/>
        <v>180.4053801930381</v>
      </c>
      <c r="S98" s="124"/>
      <c r="T98" s="198">
        <v>280</v>
      </c>
      <c r="U98" s="199">
        <f t="shared" si="24"/>
        <v>4.8869219055841224</v>
      </c>
      <c r="V98" s="200">
        <f t="shared" si="25"/>
        <v>0.17364817766692997</v>
      </c>
      <c r="W98" s="201">
        <v>1010</v>
      </c>
      <c r="X98" s="199">
        <f t="shared" si="26"/>
        <v>17.627825445142729</v>
      </c>
      <c r="Y98" s="199">
        <f t="shared" si="27"/>
        <v>0.34202014332566938</v>
      </c>
      <c r="AA98" s="457">
        <f t="shared" si="33"/>
        <v>8.6000256470351955E-51</v>
      </c>
      <c r="AB98" s="55">
        <f t="shared" si="34"/>
        <v>0.29295599789166954</v>
      </c>
      <c r="AC98" s="55">
        <f t="shared" si="35"/>
        <v>0.91925682973497891</v>
      </c>
      <c r="AD98" s="55">
        <f t="shared" si="32"/>
        <v>1.2122128276266484</v>
      </c>
      <c r="AE98" s="54">
        <f t="shared" si="36"/>
        <v>6061.0641381332425</v>
      </c>
      <c r="AF98" s="54">
        <f t="shared" si="37"/>
        <v>146.47799894583477</v>
      </c>
      <c r="AG98" s="54">
        <f t="shared" si="38"/>
        <v>459.62841486748948</v>
      </c>
    </row>
    <row r="99" spans="2:33" ht="11.1" customHeight="1" x14ac:dyDescent="0.15">
      <c r="B99" s="190">
        <v>34</v>
      </c>
      <c r="C99" s="191">
        <v>41984</v>
      </c>
      <c r="D99" s="192">
        <v>5528.019789099938</v>
      </c>
      <c r="E99" s="193">
        <v>41974</v>
      </c>
      <c r="F99" s="190">
        <v>60</v>
      </c>
      <c r="G99" s="190">
        <v>180</v>
      </c>
      <c r="H99" s="194">
        <f t="shared" si="30"/>
        <v>240</v>
      </c>
      <c r="I99" s="205">
        <v>2.2472066417809988</v>
      </c>
      <c r="J99" s="197">
        <v>6.1140851981782607</v>
      </c>
      <c r="K99" s="197">
        <f t="shared" si="29"/>
        <v>8.3612918399592591</v>
      </c>
      <c r="L99" s="186"/>
      <c r="M99" s="458">
        <f t="shared" si="0"/>
        <v>31.657314783622667</v>
      </c>
      <c r="N99" s="197">
        <f t="shared" ref="N99:N130" si="39">下駄1-(F99-40999)/除数11</f>
        <v>20.4695</v>
      </c>
      <c r="O99" s="194">
        <f t="shared" ref="O99:O130" si="40">(M99+N99)*(1-V99/除数12)</f>
        <v>35.37357944595378</v>
      </c>
      <c r="P99" s="461">
        <f t="shared" si="3"/>
        <v>90.844607811459895</v>
      </c>
      <c r="Q99" s="197">
        <f t="shared" ref="Q99:Q130" si="41">下駄2-(G99-40999)/除数21</f>
        <v>101.39923076923077</v>
      </c>
      <c r="R99" s="187">
        <f t="shared" ref="R99:R130" si="42">(P99+Q99)*(1-V99/除数22)</f>
        <v>130.45785984156714</v>
      </c>
      <c r="S99" s="124"/>
      <c r="T99" s="198">
        <v>310</v>
      </c>
      <c r="U99" s="199">
        <f t="shared" ref="U99:U130" si="43">PI()/180*T99</f>
        <v>5.4105206811824216</v>
      </c>
      <c r="V99" s="200">
        <f t="shared" ref="V99:V130" si="44">COS(U99)</f>
        <v>0.64278760968653925</v>
      </c>
      <c r="W99" s="201">
        <v>1040</v>
      </c>
      <c r="X99" s="199">
        <f t="shared" ref="X99:X130" si="45">PI()/180*W99</f>
        <v>18.151424220741028</v>
      </c>
      <c r="Y99" s="199">
        <f t="shared" ref="Y99:Y130" si="46">COS(X99)</f>
        <v>0.76604444311897812</v>
      </c>
      <c r="AA99" s="457">
        <f t="shared" si="33"/>
        <v>3.8318348771733693E-52</v>
      </c>
      <c r="AB99" s="55">
        <f t="shared" si="34"/>
        <v>0.28340874913337516</v>
      </c>
      <c r="AC99" s="55">
        <f t="shared" si="35"/>
        <v>0.91717066122074953</v>
      </c>
      <c r="AD99" s="55">
        <f t="shared" si="32"/>
        <v>1.2005794103541247</v>
      </c>
      <c r="AE99" s="54">
        <f t="shared" si="36"/>
        <v>6002.8970517706239</v>
      </c>
      <c r="AF99" s="54">
        <f t="shared" si="37"/>
        <v>141.70437456668759</v>
      </c>
      <c r="AG99" s="54">
        <f t="shared" si="38"/>
        <v>458.58533061037474</v>
      </c>
    </row>
    <row r="100" spans="2:33" ht="11.1" customHeight="1" x14ac:dyDescent="0.15">
      <c r="B100" s="190">
        <v>35</v>
      </c>
      <c r="C100" s="191">
        <v>42012</v>
      </c>
      <c r="D100" s="192">
        <v>5222.633697634481</v>
      </c>
      <c r="E100" s="193">
        <v>42005</v>
      </c>
      <c r="F100" s="190">
        <v>33</v>
      </c>
      <c r="G100" s="190">
        <v>110</v>
      </c>
      <c r="H100" s="194">
        <f t="shared" si="30"/>
        <v>143</v>
      </c>
      <c r="I100" s="205">
        <v>2.1900370184690368</v>
      </c>
      <c r="J100" s="197">
        <v>6.1032905340061108</v>
      </c>
      <c r="K100" s="197">
        <f t="shared" si="29"/>
        <v>8.293327552475148</v>
      </c>
      <c r="L100" s="186"/>
      <c r="M100" s="458">
        <f t="shared" si="0"/>
        <v>29.139952375179423</v>
      </c>
      <c r="N100" s="197">
        <f t="shared" si="39"/>
        <v>20.483000000000001</v>
      </c>
      <c r="O100" s="194">
        <f t="shared" si="40"/>
        <v>30.616258916097483</v>
      </c>
      <c r="P100" s="461">
        <f t="shared" si="3"/>
        <v>85.654391881739102</v>
      </c>
      <c r="Q100" s="197">
        <f t="shared" si="41"/>
        <v>101.45307692307692</v>
      </c>
      <c r="R100" s="187">
        <f t="shared" si="42"/>
        <v>115.44115043282261</v>
      </c>
      <c r="S100" s="124"/>
      <c r="T100" s="198">
        <v>320</v>
      </c>
      <c r="U100" s="199">
        <f t="shared" si="43"/>
        <v>5.5850536063818543</v>
      </c>
      <c r="V100" s="200">
        <f t="shared" si="44"/>
        <v>0.76604444311897779</v>
      </c>
      <c r="W100" s="201">
        <v>1070</v>
      </c>
      <c r="X100" s="199">
        <f t="shared" si="45"/>
        <v>18.675022996339326</v>
      </c>
      <c r="Y100" s="199">
        <f t="shared" si="46"/>
        <v>0.98480775301220802</v>
      </c>
      <c r="AA100" s="457">
        <f t="shared" si="33"/>
        <v>3.4084482593922388E-53</v>
      </c>
      <c r="AB100" s="55">
        <f t="shared" si="34"/>
        <v>0.27619874399631839</v>
      </c>
      <c r="AC100" s="55">
        <f t="shared" si="35"/>
        <v>0.91555135940281351</v>
      </c>
      <c r="AD100" s="55">
        <f t="shared" si="32"/>
        <v>1.1917501033991318</v>
      </c>
      <c r="AE100" s="54">
        <f t="shared" si="36"/>
        <v>5958.7505169956594</v>
      </c>
      <c r="AF100" s="54">
        <f t="shared" si="37"/>
        <v>138.0993719981592</v>
      </c>
      <c r="AG100" s="54">
        <f t="shared" si="38"/>
        <v>457.77567970140677</v>
      </c>
    </row>
    <row r="101" spans="2:33" ht="11.1" customHeight="1" x14ac:dyDescent="0.15">
      <c r="B101" s="190">
        <v>36</v>
      </c>
      <c r="C101" s="191">
        <v>42039</v>
      </c>
      <c r="D101" s="192">
        <v>4482.7598608583294</v>
      </c>
      <c r="E101" s="193">
        <v>42036</v>
      </c>
      <c r="F101" s="190">
        <v>20</v>
      </c>
      <c r="G101" s="190">
        <v>71</v>
      </c>
      <c r="H101" s="194">
        <f t="shared" si="30"/>
        <v>91</v>
      </c>
      <c r="I101" s="205">
        <v>2.1362870126352251</v>
      </c>
      <c r="J101" s="197">
        <v>6.092899443517263</v>
      </c>
      <c r="K101" s="197">
        <f t="shared" si="29"/>
        <v>8.2291864561524886</v>
      </c>
      <c r="L101" s="186"/>
      <c r="M101" s="458">
        <f t="shared" si="0"/>
        <v>26.822768457513348</v>
      </c>
      <c r="N101" s="197">
        <f t="shared" si="39"/>
        <v>20.4895</v>
      </c>
      <c r="O101" s="194">
        <f t="shared" si="40"/>
        <v>26.825455260075476</v>
      </c>
      <c r="P101" s="461">
        <f t="shared" si="3"/>
        <v>80.760708041771352</v>
      </c>
      <c r="Q101" s="197">
        <f t="shared" si="41"/>
        <v>101.48307692307692</v>
      </c>
      <c r="R101" s="187">
        <f t="shared" si="42"/>
        <v>103.32991123415472</v>
      </c>
      <c r="S101" s="124"/>
      <c r="T101" s="198">
        <v>330</v>
      </c>
      <c r="U101" s="199">
        <f t="shared" si="43"/>
        <v>5.7595865315812871</v>
      </c>
      <c r="V101" s="200">
        <f t="shared" si="44"/>
        <v>0.86602540378443837</v>
      </c>
      <c r="W101" s="201">
        <v>1100</v>
      </c>
      <c r="X101" s="199">
        <f t="shared" si="45"/>
        <v>19.198621771937624</v>
      </c>
      <c r="Y101" s="199">
        <f t="shared" si="46"/>
        <v>0.93969262078590876</v>
      </c>
      <c r="AA101" s="457">
        <f t="shared" si="33"/>
        <v>3.3054986602455663E-54</v>
      </c>
      <c r="AB101" s="55">
        <f t="shared" si="34"/>
        <v>0.26942000739237199</v>
      </c>
      <c r="AC101" s="55">
        <f t="shared" si="35"/>
        <v>0.91399259745796824</v>
      </c>
      <c r="AD101" s="55">
        <f t="shared" si="32"/>
        <v>1.1834126048503402</v>
      </c>
      <c r="AE101" s="54">
        <f t="shared" si="36"/>
        <v>5917.0630242517009</v>
      </c>
      <c r="AF101" s="54">
        <f t="shared" si="37"/>
        <v>134.71000369618599</v>
      </c>
      <c r="AG101" s="54">
        <f t="shared" si="38"/>
        <v>456.99629872898413</v>
      </c>
    </row>
    <row r="102" spans="2:33" ht="11.1" customHeight="1" x14ac:dyDescent="0.15">
      <c r="B102" s="190">
        <v>37</v>
      </c>
      <c r="C102" s="191">
        <v>42067</v>
      </c>
      <c r="D102" s="192">
        <v>5474.268621063844</v>
      </c>
      <c r="E102" s="193">
        <v>42064</v>
      </c>
      <c r="F102" s="190">
        <v>26</v>
      </c>
      <c r="G102" s="190">
        <v>100</v>
      </c>
      <c r="H102" s="194">
        <f t="shared" si="30"/>
        <v>126</v>
      </c>
      <c r="I102" s="205">
        <v>2.0819392185659642</v>
      </c>
      <c r="J102" s="197">
        <v>6.0821421836499896</v>
      </c>
      <c r="K102" s="197">
        <f t="shared" si="29"/>
        <v>8.1640814022159542</v>
      </c>
      <c r="L102" s="186"/>
      <c r="M102" s="458">
        <f t="shared" si="0"/>
        <v>24.888619370041514</v>
      </c>
      <c r="N102" s="197">
        <f t="shared" si="39"/>
        <v>20.486499999999999</v>
      </c>
      <c r="O102" s="194">
        <f t="shared" si="40"/>
        <v>24.055786950387642</v>
      </c>
      <c r="P102" s="461">
        <f t="shared" si="3"/>
        <v>76.581370387334019</v>
      </c>
      <c r="Q102" s="197">
        <f t="shared" si="41"/>
        <v>101.46076923076923</v>
      </c>
      <c r="R102" s="187">
        <f t="shared" si="42"/>
        <v>94.389697224070218</v>
      </c>
      <c r="S102" s="124"/>
      <c r="T102" s="198">
        <v>340</v>
      </c>
      <c r="U102" s="199">
        <f t="shared" si="43"/>
        <v>5.9341194567807207</v>
      </c>
      <c r="V102" s="200">
        <f t="shared" si="44"/>
        <v>0.93969262078590843</v>
      </c>
      <c r="W102" s="201">
        <v>1130</v>
      </c>
      <c r="X102" s="199">
        <f t="shared" si="45"/>
        <v>19.722220547535922</v>
      </c>
      <c r="Y102" s="199">
        <f t="shared" si="46"/>
        <v>0.6427876096865407</v>
      </c>
      <c r="AA102" s="457">
        <f t="shared" si="33"/>
        <v>2.9402679176114263E-55</v>
      </c>
      <c r="AB102" s="55">
        <f t="shared" si="34"/>
        <v>0.26256588011766774</v>
      </c>
      <c r="AC102" s="55">
        <f t="shared" si="35"/>
        <v>0.91237890663986687</v>
      </c>
      <c r="AD102" s="55">
        <f t="shared" si="32"/>
        <v>1.1749447867575347</v>
      </c>
      <c r="AE102" s="54">
        <f t="shared" si="36"/>
        <v>5874.7239337876736</v>
      </c>
      <c r="AF102" s="54">
        <f t="shared" si="37"/>
        <v>131.28294005883387</v>
      </c>
      <c r="AG102" s="54">
        <f t="shared" si="38"/>
        <v>456.18945331993342</v>
      </c>
    </row>
    <row r="103" spans="2:33" ht="11.1" customHeight="1" x14ac:dyDescent="0.15">
      <c r="B103" s="190">
        <v>38</v>
      </c>
      <c r="C103" s="191">
        <v>42095</v>
      </c>
      <c r="D103" s="192">
        <v>4911.22</v>
      </c>
      <c r="E103" s="193">
        <v>42095</v>
      </c>
      <c r="F103" s="190">
        <v>47</v>
      </c>
      <c r="G103" s="190">
        <v>170</v>
      </c>
      <c r="H103" s="194">
        <f t="shared" si="30"/>
        <v>217</v>
      </c>
      <c r="I103" s="205">
        <v>2.0289740489768047</v>
      </c>
      <c r="J103" s="197">
        <v>6.0714039161591602</v>
      </c>
      <c r="K103" s="197">
        <f t="shared" si="29"/>
        <v>8.1003779651359658</v>
      </c>
      <c r="L103" s="186"/>
      <c r="M103" s="458">
        <f t="shared" si="0"/>
        <v>22.909497791713367</v>
      </c>
      <c r="N103" s="197">
        <f t="shared" si="39"/>
        <v>20.475999999999999</v>
      </c>
      <c r="O103" s="194">
        <f t="shared" si="40"/>
        <v>39.618591477361534</v>
      </c>
      <c r="P103" s="461">
        <f t="shared" si="3"/>
        <v>72.206054580708368</v>
      </c>
      <c r="Q103" s="197">
        <f t="shared" si="41"/>
        <v>101.40692307692308</v>
      </c>
      <c r="R103" s="187">
        <f t="shared" si="42"/>
        <v>158.53918906284284</v>
      </c>
      <c r="S103" s="124"/>
      <c r="T103" s="173">
        <v>80</v>
      </c>
      <c r="U103" s="199">
        <f t="shared" si="43"/>
        <v>1.3962634015954636</v>
      </c>
      <c r="V103" s="200">
        <f t="shared" si="44"/>
        <v>0.17364817766693041</v>
      </c>
      <c r="W103" s="174">
        <v>1160</v>
      </c>
      <c r="X103" s="199">
        <f t="shared" si="45"/>
        <v>20.245819323134224</v>
      </c>
      <c r="Y103" s="199">
        <f t="shared" si="46"/>
        <v>0.17364817766692919</v>
      </c>
      <c r="AA103" s="457">
        <f t="shared" si="33"/>
        <v>2.6153922043014171E-56</v>
      </c>
      <c r="AB103" s="55">
        <f t="shared" si="34"/>
        <v>0.25588612393422933</v>
      </c>
      <c r="AC103" s="55">
        <f t="shared" si="35"/>
        <v>0.91076806485803097</v>
      </c>
      <c r="AD103" s="55">
        <f t="shared" si="32"/>
        <v>1.1666541887922603</v>
      </c>
      <c r="AE103" s="54">
        <f t="shared" si="36"/>
        <v>5833.2709439613018</v>
      </c>
      <c r="AF103" s="54">
        <f t="shared" si="37"/>
        <v>127.94306196711466</v>
      </c>
      <c r="AG103" s="54">
        <f t="shared" si="38"/>
        <v>455.38403242901546</v>
      </c>
    </row>
    <row r="104" spans="2:33" ht="11.1" customHeight="1" x14ac:dyDescent="0.15">
      <c r="B104" s="190">
        <v>39</v>
      </c>
      <c r="C104" s="191">
        <v>42131</v>
      </c>
      <c r="D104" s="192">
        <v>5017.6899999999996</v>
      </c>
      <c r="E104" s="193">
        <v>42125</v>
      </c>
      <c r="F104" s="190">
        <v>67</v>
      </c>
      <c r="G104" s="190">
        <v>230</v>
      </c>
      <c r="H104" s="194">
        <f t="shared" si="30"/>
        <v>297</v>
      </c>
      <c r="I104" s="205">
        <v>1.9628510813328102</v>
      </c>
      <c r="J104" s="197">
        <v>6.0576254254508433</v>
      </c>
      <c r="K104" s="197">
        <f t="shared" si="29"/>
        <v>8.0204765067836536</v>
      </c>
      <c r="L104" s="186"/>
      <c r="M104" s="458">
        <f t="shared" si="0"/>
        <v>21.144194546081089</v>
      </c>
      <c r="N104" s="197">
        <f t="shared" si="39"/>
        <v>20.466000000000001</v>
      </c>
      <c r="O104" s="194">
        <f t="shared" si="40"/>
        <v>57.547823700643598</v>
      </c>
      <c r="P104" s="461">
        <f t="shared" si="3"/>
        <v>68.210035419920615</v>
      </c>
      <c r="Q104" s="197">
        <f t="shared" si="41"/>
        <v>101.36076923076924</v>
      </c>
      <c r="R104" s="187">
        <f t="shared" si="42"/>
        <v>234.52019095962723</v>
      </c>
      <c r="S104" s="124"/>
      <c r="T104" s="173">
        <v>140</v>
      </c>
      <c r="U104" s="199">
        <f t="shared" si="43"/>
        <v>2.4434609527920612</v>
      </c>
      <c r="V104" s="200">
        <f t="shared" si="44"/>
        <v>-0.7660444431189779</v>
      </c>
      <c r="W104" s="174">
        <v>1190</v>
      </c>
      <c r="X104" s="199">
        <f t="shared" si="45"/>
        <v>20.769418098732523</v>
      </c>
      <c r="Y104" s="199">
        <f t="shared" si="46"/>
        <v>-0.34202014332566927</v>
      </c>
      <c r="AA104" s="457">
        <f t="shared" si="33"/>
        <v>1.1653164161649266E-57</v>
      </c>
      <c r="AB104" s="55">
        <f t="shared" si="34"/>
        <v>0.2475469586787728</v>
      </c>
      <c r="AC104" s="55">
        <f t="shared" si="35"/>
        <v>0.90870116081205254</v>
      </c>
      <c r="AD104" s="55">
        <f t="shared" si="32"/>
        <v>1.1562481194908254</v>
      </c>
      <c r="AE104" s="54">
        <f t="shared" si="36"/>
        <v>5781.2405974541271</v>
      </c>
      <c r="AF104" s="54">
        <f t="shared" si="37"/>
        <v>123.7734793393864</v>
      </c>
      <c r="AG104" s="54">
        <f t="shared" si="38"/>
        <v>454.35058040602627</v>
      </c>
    </row>
    <row r="105" spans="2:33" ht="11.1" customHeight="1" x14ac:dyDescent="0.15">
      <c r="B105" s="190">
        <v>40</v>
      </c>
      <c r="C105" s="191">
        <v>42158</v>
      </c>
      <c r="D105" s="192">
        <v>5245.7</v>
      </c>
      <c r="E105" s="193">
        <v>42156</v>
      </c>
      <c r="F105" s="190">
        <v>58</v>
      </c>
      <c r="G105" s="190">
        <v>240</v>
      </c>
      <c r="H105" s="194">
        <f t="shared" si="30"/>
        <v>298</v>
      </c>
      <c r="I105" s="205">
        <v>1.9146768924114306</v>
      </c>
      <c r="J105" s="190">
        <v>18</v>
      </c>
      <c r="K105" s="197">
        <f t="shared" si="29"/>
        <v>19.914676892411432</v>
      </c>
      <c r="L105" s="186"/>
      <c r="M105" s="472">
        <f t="shared" si="0"/>
        <v>19.46282640507086</v>
      </c>
      <c r="N105" s="197">
        <f t="shared" si="39"/>
        <v>20.470500000000001</v>
      </c>
      <c r="O105" s="194">
        <f t="shared" si="40"/>
        <v>59.899989607606287</v>
      </c>
      <c r="P105" s="461">
        <f t="shared" si="3"/>
        <v>64.312998260180336</v>
      </c>
      <c r="Q105" s="197">
        <f t="shared" si="41"/>
        <v>101.35307692307693</v>
      </c>
      <c r="R105" s="187">
        <f t="shared" si="42"/>
        <v>248.49911277488587</v>
      </c>
      <c r="S105" s="124"/>
      <c r="T105" s="173">
        <v>180</v>
      </c>
      <c r="U105" s="199">
        <f t="shared" si="43"/>
        <v>3.1415926535897931</v>
      </c>
      <c r="V105" s="200">
        <f t="shared" si="44"/>
        <v>-1</v>
      </c>
      <c r="W105" s="174">
        <v>1220</v>
      </c>
      <c r="X105" s="199">
        <f t="shared" si="45"/>
        <v>21.293016874330821</v>
      </c>
      <c r="Y105" s="199">
        <f t="shared" si="46"/>
        <v>-0.76604444311897801</v>
      </c>
      <c r="AA105" s="457">
        <f t="shared" si="33"/>
        <v>1.1301189160730041E-58</v>
      </c>
      <c r="AB105" s="55">
        <f t="shared" si="34"/>
        <v>0.2414714218906194</v>
      </c>
      <c r="AC105" s="55">
        <f t="shared" si="35"/>
        <v>0.90715406159783218</v>
      </c>
      <c r="AD105" s="55">
        <f t="shared" si="32"/>
        <v>1.1486254834884515</v>
      </c>
      <c r="AE105" s="54">
        <f t="shared" si="36"/>
        <v>5743.1274174422579</v>
      </c>
      <c r="AF105" s="54">
        <f t="shared" si="37"/>
        <v>120.73571094530971</v>
      </c>
      <c r="AG105" s="54">
        <f t="shared" si="38"/>
        <v>453.5770307989161</v>
      </c>
    </row>
    <row r="106" spans="2:33" ht="11.1" customHeight="1" x14ac:dyDescent="0.15">
      <c r="B106" s="190">
        <v>41</v>
      </c>
      <c r="C106" s="191">
        <v>42193</v>
      </c>
      <c r="D106" s="192">
        <v>5444.63</v>
      </c>
      <c r="E106" s="193">
        <v>42186</v>
      </c>
      <c r="F106" s="190">
        <v>56</v>
      </c>
      <c r="G106" s="190">
        <v>230</v>
      </c>
      <c r="H106" s="194">
        <f t="shared" si="30"/>
        <v>286</v>
      </c>
      <c r="I106" s="205">
        <v>1.8539843060561512</v>
      </c>
      <c r="J106" s="197">
        <v>6.033969061324183</v>
      </c>
      <c r="K106" s="197">
        <f t="shared" si="29"/>
        <v>7.8879533673803337</v>
      </c>
      <c r="L106" s="186"/>
      <c r="M106" s="472">
        <f t="shared" si="0"/>
        <v>17.963108212449608</v>
      </c>
      <c r="N106" s="197">
        <f t="shared" si="39"/>
        <v>20.471499999999999</v>
      </c>
      <c r="O106" s="194">
        <f t="shared" si="40"/>
        <v>55.077281760691285</v>
      </c>
      <c r="P106" s="461">
        <f t="shared" si="3"/>
        <v>60.753795713694004</v>
      </c>
      <c r="Q106" s="197">
        <f t="shared" si="41"/>
        <v>101.36076923076924</v>
      </c>
      <c r="R106" s="187">
        <f t="shared" si="42"/>
        <v>232.3122307271469</v>
      </c>
      <c r="S106" s="124"/>
      <c r="T106" s="173">
        <v>210</v>
      </c>
      <c r="U106" s="199">
        <f t="shared" si="43"/>
        <v>3.6651914291880923</v>
      </c>
      <c r="V106" s="200">
        <f t="shared" si="44"/>
        <v>-0.8660254037844386</v>
      </c>
      <c r="W106" s="174">
        <v>1250</v>
      </c>
      <c r="X106" s="199">
        <f t="shared" si="45"/>
        <v>21.816615649929119</v>
      </c>
      <c r="Y106" s="199">
        <f t="shared" si="46"/>
        <v>-0.98480775301220791</v>
      </c>
      <c r="AA106" s="457">
        <f t="shared" si="33"/>
        <v>5.4898634699038621E-60</v>
      </c>
      <c r="AB106" s="55">
        <f t="shared" si="34"/>
        <v>0.23381711468948604</v>
      </c>
      <c r="AC106" s="55">
        <f t="shared" si="35"/>
        <v>0.90515248224038469</v>
      </c>
      <c r="AD106" s="55">
        <f t="shared" si="32"/>
        <v>1.1389695969298708</v>
      </c>
      <c r="AE106" s="54">
        <f t="shared" si="36"/>
        <v>5694.8479846493537</v>
      </c>
      <c r="AF106" s="54">
        <f t="shared" si="37"/>
        <v>116.90855734474302</v>
      </c>
      <c r="AG106" s="54">
        <f t="shared" si="38"/>
        <v>452.57624112019232</v>
      </c>
    </row>
    <row r="107" spans="2:33" ht="11.1" customHeight="1" x14ac:dyDescent="0.15">
      <c r="B107" s="190">
        <v>42</v>
      </c>
      <c r="C107" s="191">
        <v>42221</v>
      </c>
      <c r="D107" s="192">
        <v>5507.05</v>
      </c>
      <c r="E107" s="193">
        <v>42217</v>
      </c>
      <c r="F107" s="190">
        <v>39</v>
      </c>
      <c r="G107" s="190">
        <v>170</v>
      </c>
      <c r="H107" s="194">
        <f t="shared" si="30"/>
        <v>209</v>
      </c>
      <c r="I107" s="205">
        <v>1.8068183790635559</v>
      </c>
      <c r="J107" s="190">
        <v>17</v>
      </c>
      <c r="K107" s="197">
        <f t="shared" si="29"/>
        <v>18.806818379063557</v>
      </c>
      <c r="L107" s="186"/>
      <c r="M107" s="472">
        <f t="shared" si="0"/>
        <v>16.534697317151174</v>
      </c>
      <c r="N107" s="197">
        <f t="shared" si="39"/>
        <v>20.48</v>
      </c>
      <c r="O107" s="194">
        <f t="shared" si="40"/>
        <v>46.268371646438979</v>
      </c>
      <c r="P107" s="461">
        <f t="shared" si="3"/>
        <v>57.282755154427697</v>
      </c>
      <c r="Q107" s="197">
        <f t="shared" si="41"/>
        <v>101.40692307692308</v>
      </c>
      <c r="R107" s="187">
        <f t="shared" si="42"/>
        <v>198.36209778918848</v>
      </c>
      <c r="S107" s="124"/>
      <c r="T107" s="173">
        <v>240</v>
      </c>
      <c r="U107" s="199">
        <f t="shared" si="43"/>
        <v>4.1887902047863905</v>
      </c>
      <c r="V107" s="200">
        <f t="shared" si="44"/>
        <v>-0.50000000000000044</v>
      </c>
      <c r="W107" s="174">
        <v>1280</v>
      </c>
      <c r="X107" s="199">
        <f t="shared" si="45"/>
        <v>22.340214425527417</v>
      </c>
      <c r="Y107" s="199">
        <f t="shared" si="46"/>
        <v>-0.93969262078590887</v>
      </c>
      <c r="AA107" s="457">
        <f t="shared" si="33"/>
        <v>4.8832781651850157E-61</v>
      </c>
      <c r="AB107" s="55">
        <f t="shared" si="34"/>
        <v>0.22786873587902942</v>
      </c>
      <c r="AC107" s="55">
        <f t="shared" si="35"/>
        <v>0.90355439900247314</v>
      </c>
      <c r="AD107" s="55">
        <f t="shared" si="32"/>
        <v>1.1314231348815025</v>
      </c>
      <c r="AE107" s="54">
        <f t="shared" si="36"/>
        <v>5657.1156744075124</v>
      </c>
      <c r="AF107" s="54">
        <f t="shared" si="37"/>
        <v>113.93436793951471</v>
      </c>
      <c r="AG107" s="54">
        <f t="shared" si="38"/>
        <v>451.77719950123657</v>
      </c>
    </row>
    <row r="108" spans="2:33" ht="11.1" customHeight="1" x14ac:dyDescent="0.15">
      <c r="B108" s="190">
        <v>43</v>
      </c>
      <c r="C108" s="191">
        <v>42249</v>
      </c>
      <c r="D108" s="192">
        <v>5124.37</v>
      </c>
      <c r="E108" s="193">
        <v>42248</v>
      </c>
      <c r="F108" s="190">
        <v>35</v>
      </c>
      <c r="G108" s="190">
        <v>160</v>
      </c>
      <c r="H108" s="194">
        <f t="shared" si="30"/>
        <v>195</v>
      </c>
      <c r="I108" s="205">
        <v>1.760852367659137</v>
      </c>
      <c r="J108" s="197">
        <v>6.0126814382084532</v>
      </c>
      <c r="K108" s="197">
        <f t="shared" si="29"/>
        <v>7.77353380586759</v>
      </c>
      <c r="L108" s="186"/>
      <c r="M108" s="472">
        <f t="shared" si="0"/>
        <v>15.219872426105235</v>
      </c>
      <c r="N108" s="197">
        <f t="shared" si="39"/>
        <v>20.481999999999999</v>
      </c>
      <c r="O108" s="194">
        <f t="shared" si="40"/>
        <v>41.807252188190851</v>
      </c>
      <c r="P108" s="461">
        <f t="shared" si="3"/>
        <v>54.010025209708829</v>
      </c>
      <c r="Q108" s="197">
        <f t="shared" si="41"/>
        <v>101.41461538461539</v>
      </c>
      <c r="R108" s="187">
        <f t="shared" si="42"/>
        <v>182.00381952052985</v>
      </c>
      <c r="S108" s="124"/>
      <c r="T108" s="173">
        <v>250</v>
      </c>
      <c r="U108" s="199">
        <f t="shared" si="43"/>
        <v>4.3633231299858242</v>
      </c>
      <c r="V108" s="200">
        <f t="shared" si="44"/>
        <v>-0.34202014332566855</v>
      </c>
      <c r="W108" s="174">
        <v>1310</v>
      </c>
      <c r="X108" s="199">
        <f t="shared" si="45"/>
        <v>22.863813201125716</v>
      </c>
      <c r="Y108" s="199">
        <f t="shared" si="46"/>
        <v>-0.64278760968654081</v>
      </c>
      <c r="AA108" s="457">
        <f t="shared" si="33"/>
        <v>4.3437156077379918E-62</v>
      </c>
      <c r="AB108" s="55">
        <f t="shared" si="34"/>
        <v>0.22207168564227309</v>
      </c>
      <c r="AC108" s="55">
        <f t="shared" si="35"/>
        <v>0.90195913724501398</v>
      </c>
      <c r="AD108" s="55">
        <f t="shared" si="32"/>
        <v>1.1240308228872871</v>
      </c>
      <c r="AE108" s="54">
        <f t="shared" si="36"/>
        <v>5620.1541144364355</v>
      </c>
      <c r="AF108" s="54">
        <f t="shared" si="37"/>
        <v>111.03584282113654</v>
      </c>
      <c r="AG108" s="54">
        <f t="shared" si="38"/>
        <v>450.97956862250697</v>
      </c>
    </row>
    <row r="109" spans="2:33" ht="11.1" customHeight="1" x14ac:dyDescent="0.15">
      <c r="B109" s="190">
        <v>44</v>
      </c>
      <c r="C109" s="191">
        <v>42284</v>
      </c>
      <c r="D109" s="192">
        <v>5005.3</v>
      </c>
      <c r="E109" s="193">
        <v>42278</v>
      </c>
      <c r="F109" s="190">
        <v>34</v>
      </c>
      <c r="G109" s="190">
        <v>160</v>
      </c>
      <c r="H109" s="194">
        <f t="shared" si="30"/>
        <v>194</v>
      </c>
      <c r="I109" s="205">
        <v>1.7050358041404479</v>
      </c>
      <c r="J109" s="190">
        <v>11</v>
      </c>
      <c r="K109" s="197">
        <f t="shared" si="29"/>
        <v>12.705035804140447</v>
      </c>
      <c r="L109" s="186"/>
      <c r="M109" s="472">
        <f t="shared" si="0"/>
        <v>14.047097255030502</v>
      </c>
      <c r="N109" s="197">
        <f t="shared" si="39"/>
        <v>20.482500000000002</v>
      </c>
      <c r="O109" s="194">
        <f t="shared" si="40"/>
        <v>37.527598074485049</v>
      </c>
      <c r="P109" s="461">
        <f t="shared" si="3"/>
        <v>51.021008611780928</v>
      </c>
      <c r="Q109" s="197">
        <f t="shared" si="41"/>
        <v>101.41461538461539</v>
      </c>
      <c r="R109" s="187">
        <f t="shared" si="42"/>
        <v>165.67070815564415</v>
      </c>
      <c r="S109" s="124"/>
      <c r="T109" s="173">
        <v>260</v>
      </c>
      <c r="U109" s="199">
        <f t="shared" si="43"/>
        <v>4.5378560551852569</v>
      </c>
      <c r="V109" s="200">
        <f t="shared" si="44"/>
        <v>-0.17364817766693033</v>
      </c>
      <c r="W109" s="174">
        <v>1340</v>
      </c>
      <c r="X109" s="199">
        <f t="shared" si="45"/>
        <v>23.387411976724017</v>
      </c>
      <c r="Y109" s="199">
        <f t="shared" si="46"/>
        <v>-0.1736481776669293</v>
      </c>
      <c r="AA109" s="457">
        <f t="shared" si="33"/>
        <v>2.1100793287696467E-63</v>
      </c>
      <c r="AB109" s="55">
        <f t="shared" si="34"/>
        <v>0.21503232301596023</v>
      </c>
      <c r="AC109" s="55">
        <f t="shared" si="35"/>
        <v>0.89996902016700542</v>
      </c>
      <c r="AD109" s="55">
        <f t="shared" si="32"/>
        <v>1.1150013431829657</v>
      </c>
      <c r="AE109" s="54">
        <f t="shared" si="36"/>
        <v>5575.0067159148275</v>
      </c>
      <c r="AF109" s="54">
        <f t="shared" si="37"/>
        <v>107.51616150798012</v>
      </c>
      <c r="AG109" s="54">
        <f t="shared" si="38"/>
        <v>449.9845100835027</v>
      </c>
    </row>
    <row r="110" spans="2:33" ht="11.1" customHeight="1" x14ac:dyDescent="0.15">
      <c r="B110" s="190">
        <v>45</v>
      </c>
      <c r="C110" s="191">
        <v>42312</v>
      </c>
      <c r="D110" s="192">
        <v>4810.2299999999996</v>
      </c>
      <c r="E110" s="193">
        <v>42309</v>
      </c>
      <c r="F110" s="190">
        <v>39</v>
      </c>
      <c r="G110" s="190">
        <v>170</v>
      </c>
      <c r="H110" s="194">
        <f t="shared" si="30"/>
        <v>209</v>
      </c>
      <c r="I110" s="205">
        <v>1.6616591725286518</v>
      </c>
      <c r="J110" s="190">
        <v>10</v>
      </c>
      <c r="K110" s="197">
        <f t="shared" si="29"/>
        <v>11.661659172528651</v>
      </c>
      <c r="L110" s="186"/>
      <c r="M110" s="472">
        <f t="shared" si="0"/>
        <v>12.930084178613377</v>
      </c>
      <c r="N110" s="197">
        <f t="shared" si="39"/>
        <v>20.48</v>
      </c>
      <c r="O110" s="194">
        <f t="shared" si="40"/>
        <v>30.509284061955903</v>
      </c>
      <c r="P110" s="461">
        <f t="shared" si="3"/>
        <v>48.106030408596013</v>
      </c>
      <c r="Q110" s="197">
        <f t="shared" si="41"/>
        <v>101.40692307692308</v>
      </c>
      <c r="R110" s="187">
        <f t="shared" si="42"/>
        <v>136.53162753033865</v>
      </c>
      <c r="S110" s="124"/>
      <c r="T110" s="173">
        <v>280</v>
      </c>
      <c r="U110" s="199">
        <f t="shared" si="43"/>
        <v>4.8869219055841224</v>
      </c>
      <c r="V110" s="200">
        <f t="shared" si="44"/>
        <v>0.17364817766692997</v>
      </c>
      <c r="W110" s="174">
        <v>1370</v>
      </c>
      <c r="X110" s="199">
        <f t="shared" si="45"/>
        <v>23.911010752322316</v>
      </c>
      <c r="Y110" s="199">
        <f t="shared" si="46"/>
        <v>0.34202014332566916</v>
      </c>
      <c r="AA110" s="457">
        <f t="shared" si="33"/>
        <v>1.8769327087053251E-64</v>
      </c>
      <c r="AB110" s="55">
        <f t="shared" si="34"/>
        <v>0.20956183504295589</v>
      </c>
      <c r="AC110" s="55">
        <f t="shared" si="35"/>
        <v>0.8983800885405806</v>
      </c>
      <c r="AD110" s="55">
        <f t="shared" si="32"/>
        <v>1.1079419235835366</v>
      </c>
      <c r="AE110" s="54">
        <f t="shared" si="36"/>
        <v>5539.7096179176824</v>
      </c>
      <c r="AF110" s="54">
        <f t="shared" si="37"/>
        <v>104.78091752147795</v>
      </c>
      <c r="AG110" s="54">
        <f t="shared" si="38"/>
        <v>449.19004427029029</v>
      </c>
    </row>
    <row r="111" spans="2:33" ht="11.1" customHeight="1" x14ac:dyDescent="0.15">
      <c r="B111" s="190">
        <v>46</v>
      </c>
      <c r="C111" s="191">
        <v>42340</v>
      </c>
      <c r="D111" s="192">
        <v>5090.9399999999996</v>
      </c>
      <c r="E111" s="193">
        <v>42339</v>
      </c>
      <c r="F111" s="190">
        <v>33</v>
      </c>
      <c r="G111" s="190">
        <v>140</v>
      </c>
      <c r="H111" s="194">
        <f t="shared" si="30"/>
        <v>173</v>
      </c>
      <c r="I111" s="205">
        <v>1.6193860556732116</v>
      </c>
      <c r="J111" s="197">
        <v>5</v>
      </c>
      <c r="K111" s="197">
        <f t="shared" si="29"/>
        <v>6.6193860556732114</v>
      </c>
      <c r="L111" s="186"/>
      <c r="M111" s="472">
        <f t="shared" si="0"/>
        <v>11.933749829675319</v>
      </c>
      <c r="N111" s="197">
        <f t="shared" si="39"/>
        <v>20.483000000000001</v>
      </c>
      <c r="O111" s="194">
        <f t="shared" si="40"/>
        <v>21.998207261263556</v>
      </c>
      <c r="P111" s="461">
        <f t="shared" si="3"/>
        <v>45.44375201132781</v>
      </c>
      <c r="Q111" s="197">
        <f t="shared" si="41"/>
        <v>101.43</v>
      </c>
      <c r="R111" s="187">
        <f t="shared" si="42"/>
        <v>99.669438020800342</v>
      </c>
      <c r="S111" s="124"/>
      <c r="T111" s="173">
        <v>310</v>
      </c>
      <c r="U111" s="199">
        <f t="shared" si="43"/>
        <v>5.4105206811824216</v>
      </c>
      <c r="V111" s="200">
        <f t="shared" si="44"/>
        <v>0.64278760968653925</v>
      </c>
      <c r="W111" s="174">
        <v>1400</v>
      </c>
      <c r="X111" s="199">
        <f t="shared" si="45"/>
        <v>24.434609527920614</v>
      </c>
      <c r="Y111" s="199">
        <f t="shared" si="46"/>
        <v>0.7660444431189779</v>
      </c>
      <c r="AA111" s="457">
        <f t="shared" si="33"/>
        <v>1.6695468956903817E-65</v>
      </c>
      <c r="AB111" s="55">
        <f t="shared" si="34"/>
        <v>0.20423051795478903</v>
      </c>
      <c r="AC111" s="55">
        <f t="shared" si="35"/>
        <v>0.89679396223706898</v>
      </c>
      <c r="AD111" s="55">
        <f t="shared" si="32"/>
        <v>1.1010244801918581</v>
      </c>
      <c r="AE111" s="54">
        <f t="shared" si="36"/>
        <v>5505.1224009592897</v>
      </c>
      <c r="AF111" s="54">
        <f t="shared" si="37"/>
        <v>102.11525897739452</v>
      </c>
      <c r="AG111" s="54">
        <f t="shared" si="38"/>
        <v>448.39698111853448</v>
      </c>
    </row>
    <row r="112" spans="2:33" ht="11.1" customHeight="1" x14ac:dyDescent="0.15">
      <c r="B112" s="190">
        <v>47</v>
      </c>
      <c r="C112" s="191">
        <v>42375</v>
      </c>
      <c r="D112" s="192">
        <v>4515.71</v>
      </c>
      <c r="E112" s="193">
        <v>42370</v>
      </c>
      <c r="F112" s="190">
        <v>23</v>
      </c>
      <c r="G112" s="190">
        <v>110</v>
      </c>
      <c r="H112" s="194">
        <f t="shared" si="30"/>
        <v>133</v>
      </c>
      <c r="I112" s="205">
        <v>1.5680537768871574</v>
      </c>
      <c r="J112" s="197">
        <v>4.5885065185998704</v>
      </c>
      <c r="K112" s="197">
        <f t="shared" si="29"/>
        <v>6.1565602954870275</v>
      </c>
      <c r="L112" s="186"/>
      <c r="M112" s="472">
        <f t="shared" si="0"/>
        <v>10.984788320516241</v>
      </c>
      <c r="N112" s="197">
        <f t="shared" si="39"/>
        <v>20.488</v>
      </c>
      <c r="O112" s="194">
        <f t="shared" si="40"/>
        <v>19.418011019320573</v>
      </c>
      <c r="P112" s="461">
        <f t="shared" si="3"/>
        <v>42.847418653986558</v>
      </c>
      <c r="Q112" s="197">
        <f t="shared" si="41"/>
        <v>101.45307692307692</v>
      </c>
      <c r="R112" s="187">
        <f t="shared" si="42"/>
        <v>89.030199189001422</v>
      </c>
      <c r="S112" s="124"/>
      <c r="T112" s="173">
        <v>320</v>
      </c>
      <c r="U112" s="199">
        <f t="shared" si="43"/>
        <v>5.5850536063818543</v>
      </c>
      <c r="V112" s="200">
        <f t="shared" si="44"/>
        <v>0.76604444311897779</v>
      </c>
      <c r="W112" s="174">
        <v>1430</v>
      </c>
      <c r="X112" s="199">
        <f t="shared" si="45"/>
        <v>24.958208303518912</v>
      </c>
      <c r="Y112" s="199">
        <f t="shared" si="46"/>
        <v>0.98480775301220791</v>
      </c>
      <c r="AA112" s="457">
        <f t="shared" si="33"/>
        <v>8.1102832485906255E-67</v>
      </c>
      <c r="AB112" s="55">
        <f t="shared" si="34"/>
        <v>0.19775669545425045</v>
      </c>
      <c r="AC112" s="55">
        <f t="shared" si="35"/>
        <v>0.89481524179840877</v>
      </c>
      <c r="AD112" s="55">
        <f t="shared" si="32"/>
        <v>1.0925719372526592</v>
      </c>
      <c r="AE112" s="54">
        <f t="shared" si="36"/>
        <v>5462.8596862632958</v>
      </c>
      <c r="AF112" s="54">
        <f t="shared" si="37"/>
        <v>98.878347727125231</v>
      </c>
      <c r="AG112" s="54">
        <f t="shared" si="38"/>
        <v>447.4076208992044</v>
      </c>
    </row>
    <row r="113" spans="2:33" ht="11.1" customHeight="1" x14ac:dyDescent="0.15">
      <c r="B113" s="190">
        <v>48</v>
      </c>
      <c r="C113" s="191">
        <v>42403</v>
      </c>
      <c r="D113" s="192">
        <v>4193.24</v>
      </c>
      <c r="E113" s="193">
        <v>42401</v>
      </c>
      <c r="F113" s="190">
        <v>24</v>
      </c>
      <c r="G113" s="190">
        <v>120</v>
      </c>
      <c r="H113" s="194">
        <f t="shared" si="30"/>
        <v>144</v>
      </c>
      <c r="I113" s="205">
        <v>1.5281620098859308</v>
      </c>
      <c r="J113" s="197">
        <v>4.5804053251564492</v>
      </c>
      <c r="K113" s="197">
        <f t="shared" si="29"/>
        <v>6.1085673350423804</v>
      </c>
      <c r="L113" s="186"/>
      <c r="M113" s="472">
        <f t="shared" si="0"/>
        <v>10.11128741332371</v>
      </c>
      <c r="N113" s="197">
        <f t="shared" si="39"/>
        <v>20.487500000000001</v>
      </c>
      <c r="O113" s="194">
        <f t="shared" si="40"/>
        <v>17.349123800854784</v>
      </c>
      <c r="P113" s="461">
        <f t="shared" si="3"/>
        <v>40.39942135174843</v>
      </c>
      <c r="Q113" s="197">
        <f t="shared" si="41"/>
        <v>101.44538461538461</v>
      </c>
      <c r="R113" s="187">
        <f t="shared" si="42"/>
        <v>80.424203285927177</v>
      </c>
      <c r="S113" s="124"/>
      <c r="T113" s="173">
        <v>330</v>
      </c>
      <c r="U113" s="199">
        <f t="shared" si="43"/>
        <v>5.7595865315812871</v>
      </c>
      <c r="V113" s="200">
        <f t="shared" si="44"/>
        <v>0.86602540378443837</v>
      </c>
      <c r="W113" s="174">
        <v>1460</v>
      </c>
      <c r="X113" s="199">
        <f t="shared" si="45"/>
        <v>25.48180707911721</v>
      </c>
      <c r="Y113" s="199">
        <f t="shared" si="46"/>
        <v>0.93969262078590887</v>
      </c>
      <c r="AA113" s="457">
        <f t="shared" si="33"/>
        <v>7.2141628509389567E-68</v>
      </c>
      <c r="AB113" s="55">
        <f t="shared" si="34"/>
        <v>0.19272570472276279</v>
      </c>
      <c r="AC113" s="55">
        <f t="shared" si="35"/>
        <v>0.89323540937569212</v>
      </c>
      <c r="AD113" s="55">
        <f t="shared" si="32"/>
        <v>1.0859611140984549</v>
      </c>
      <c r="AE113" s="54">
        <f t="shared" si="36"/>
        <v>5429.8055704922745</v>
      </c>
      <c r="AF113" s="54">
        <f t="shared" si="37"/>
        <v>96.3628523613814</v>
      </c>
      <c r="AG113" s="54">
        <f t="shared" si="38"/>
        <v>446.61770468784607</v>
      </c>
    </row>
    <row r="114" spans="2:33" ht="11.1" customHeight="1" x14ac:dyDescent="0.15">
      <c r="B114" s="190">
        <v>49</v>
      </c>
      <c r="C114" s="191">
        <v>42431</v>
      </c>
      <c r="D114" s="192">
        <v>4900.29</v>
      </c>
      <c r="E114" s="193">
        <v>42430</v>
      </c>
      <c r="F114" s="190">
        <v>17</v>
      </c>
      <c r="G114" s="190">
        <v>75</v>
      </c>
      <c r="H114" s="194">
        <f t="shared" si="30"/>
        <v>92</v>
      </c>
      <c r="I114" s="205">
        <v>1.489285101621016</v>
      </c>
      <c r="J114" s="197">
        <v>4.5723184346970021</v>
      </c>
      <c r="K114" s="197">
        <f t="shared" si="29"/>
        <v>6.0616035363180183</v>
      </c>
      <c r="L114" s="186"/>
      <c r="M114" s="469">
        <f t="shared" si="0"/>
        <v>9.3571339502823587</v>
      </c>
      <c r="N114" s="197">
        <f t="shared" si="39"/>
        <v>20.491</v>
      </c>
      <c r="O114" s="194">
        <f t="shared" si="40"/>
        <v>15.82409834162752</v>
      </c>
      <c r="P114" s="461">
        <f t="shared" si="3"/>
        <v>38.236134659234203</v>
      </c>
      <c r="Q114" s="197">
        <f t="shared" si="41"/>
        <v>101.48</v>
      </c>
      <c r="R114" s="187">
        <f t="shared" si="42"/>
        <v>74.071024287227857</v>
      </c>
      <c r="S114" s="124"/>
      <c r="T114" s="173">
        <v>340</v>
      </c>
      <c r="U114" s="199">
        <f t="shared" si="43"/>
        <v>5.9341194567807207</v>
      </c>
      <c r="V114" s="200">
        <f t="shared" si="44"/>
        <v>0.93969262078590843</v>
      </c>
      <c r="W114" s="174">
        <v>1490</v>
      </c>
      <c r="X114" s="199">
        <f t="shared" si="45"/>
        <v>26.005405854715509</v>
      </c>
      <c r="Y114" s="199">
        <f t="shared" si="46"/>
        <v>0.64278760968654081</v>
      </c>
      <c r="AA114" s="457">
        <f t="shared" si="33"/>
        <v>6.417056475667874E-69</v>
      </c>
      <c r="AB114" s="55">
        <f t="shared" si="34"/>
        <v>0.18782270393205655</v>
      </c>
      <c r="AC114" s="55">
        <f t="shared" si="35"/>
        <v>0.89165836621087702</v>
      </c>
      <c r="AD114" s="55">
        <f t="shared" si="32"/>
        <v>1.0794810701429336</v>
      </c>
      <c r="AE114" s="54">
        <f t="shared" si="36"/>
        <v>5397.4053507146682</v>
      </c>
      <c r="AF114" s="54">
        <f t="shared" si="37"/>
        <v>93.911351966028278</v>
      </c>
      <c r="AG114" s="54">
        <f t="shared" si="38"/>
        <v>445.82918310543852</v>
      </c>
    </row>
    <row r="115" spans="2:33" ht="11.1" customHeight="1" x14ac:dyDescent="0.15">
      <c r="B115" s="190">
        <v>50</v>
      </c>
      <c r="C115" s="191">
        <v>42461</v>
      </c>
      <c r="D115" s="192">
        <v>4802.12</v>
      </c>
      <c r="E115" s="193">
        <v>42461</v>
      </c>
      <c r="F115" s="190">
        <v>22</v>
      </c>
      <c r="G115" s="190">
        <v>120</v>
      </c>
      <c r="H115" s="194">
        <f t="shared" si="30"/>
        <v>142</v>
      </c>
      <c r="I115" s="205">
        <v>1.44872813467199</v>
      </c>
      <c r="J115" s="197">
        <v>4.5636697524496483</v>
      </c>
      <c r="K115" s="197">
        <f t="shared" si="29"/>
        <v>6.0123978871216384</v>
      </c>
      <c r="L115" s="186"/>
      <c r="M115" s="469">
        <f t="shared" si="0"/>
        <v>8.6130627168815153</v>
      </c>
      <c r="N115" s="197">
        <f t="shared" si="39"/>
        <v>20.488499999999998</v>
      </c>
      <c r="O115" s="194">
        <f t="shared" si="40"/>
        <v>26.574846050358332</v>
      </c>
      <c r="P115" s="461">
        <f t="shared" si="3"/>
        <v>36.051593386171731</v>
      </c>
      <c r="Q115" s="197">
        <f t="shared" si="41"/>
        <v>101.44538461538461</v>
      </c>
      <c r="R115" s="187">
        <f t="shared" si="42"/>
        <v>125.55892816921619</v>
      </c>
      <c r="S115" s="124"/>
      <c r="T115" s="198">
        <v>80</v>
      </c>
      <c r="U115" s="199">
        <f t="shared" si="43"/>
        <v>1.3962634015954636</v>
      </c>
      <c r="V115" s="200">
        <f t="shared" si="44"/>
        <v>0.17364817766693041</v>
      </c>
      <c r="W115" s="201">
        <v>1520</v>
      </c>
      <c r="X115" s="199">
        <f t="shared" si="45"/>
        <v>26.529004630313811</v>
      </c>
      <c r="Y115" s="199">
        <f t="shared" si="46"/>
        <v>0.17364817766692942</v>
      </c>
      <c r="AA115" s="457">
        <f t="shared" si="33"/>
        <v>4.8020321257037284E-70</v>
      </c>
      <c r="AB115" s="55">
        <f t="shared" si="34"/>
        <v>0.18270782083320755</v>
      </c>
      <c r="AC115" s="55">
        <f t="shared" si="35"/>
        <v>0.88997176673345824</v>
      </c>
      <c r="AD115" s="55">
        <f t="shared" si="32"/>
        <v>1.0726795875666657</v>
      </c>
      <c r="AE115" s="54">
        <f t="shared" si="36"/>
        <v>5363.3979378333288</v>
      </c>
      <c r="AF115" s="54">
        <f t="shared" si="37"/>
        <v>91.353910416603782</v>
      </c>
      <c r="AG115" s="54">
        <f t="shared" si="38"/>
        <v>444.98588336672913</v>
      </c>
    </row>
    <row r="116" spans="2:33" ht="11.1" customHeight="1" x14ac:dyDescent="0.15">
      <c r="B116" s="190">
        <v>51</v>
      </c>
      <c r="C116" s="191">
        <v>42492</v>
      </c>
      <c r="D116" s="192">
        <v>5502.55</v>
      </c>
      <c r="E116" s="193">
        <v>42491</v>
      </c>
      <c r="F116" s="190">
        <v>33</v>
      </c>
      <c r="G116" s="190">
        <v>180</v>
      </c>
      <c r="H116" s="194">
        <f t="shared" si="30"/>
        <v>213</v>
      </c>
      <c r="I116" s="205">
        <v>1.4079792202737438</v>
      </c>
      <c r="J116" s="197">
        <v>4.5547499667346312</v>
      </c>
      <c r="K116" s="197">
        <f t="shared" si="29"/>
        <v>5.9627291870083745</v>
      </c>
      <c r="L116" s="186"/>
      <c r="M116" s="469">
        <f t="shared" si="0"/>
        <v>7.9493786978261127</v>
      </c>
      <c r="N116" s="197">
        <f t="shared" si="39"/>
        <v>20.483000000000001</v>
      </c>
      <c r="O116" s="194">
        <f t="shared" si="40"/>
        <v>39.322611550888162</v>
      </c>
      <c r="P116" s="461">
        <f t="shared" si="3"/>
        <v>34.056430254982452</v>
      </c>
      <c r="Q116" s="197">
        <f t="shared" si="41"/>
        <v>101.39923076923077</v>
      </c>
      <c r="R116" s="187">
        <f t="shared" si="42"/>
        <v>187.33818923251644</v>
      </c>
      <c r="S116" s="124"/>
      <c r="T116" s="198">
        <v>140</v>
      </c>
      <c r="U116" s="199">
        <f t="shared" si="43"/>
        <v>2.4434609527920612</v>
      </c>
      <c r="V116" s="200">
        <f t="shared" si="44"/>
        <v>-0.7660444431189779</v>
      </c>
      <c r="W116" s="201">
        <v>1550</v>
      </c>
      <c r="X116" s="199">
        <f t="shared" si="45"/>
        <v>27.052603405912109</v>
      </c>
      <c r="Y116" s="199">
        <f t="shared" si="46"/>
        <v>-0.34202014332566905</v>
      </c>
      <c r="AA116" s="457">
        <f t="shared" si="33"/>
        <v>3.2959749388654117E-71</v>
      </c>
      <c r="AB116" s="55">
        <f t="shared" si="34"/>
        <v>0.17756873008675209</v>
      </c>
      <c r="AC116" s="55">
        <f t="shared" si="35"/>
        <v>0.88823229874337928</v>
      </c>
      <c r="AD116" s="55">
        <f t="shared" si="32"/>
        <v>1.0658010288301314</v>
      </c>
      <c r="AE116" s="54">
        <f t="shared" si="36"/>
        <v>5329.0051441506566</v>
      </c>
      <c r="AF116" s="54">
        <f t="shared" si="37"/>
        <v>88.784365043376042</v>
      </c>
      <c r="AG116" s="54">
        <f t="shared" si="38"/>
        <v>444.11614937168963</v>
      </c>
    </row>
    <row r="117" spans="2:33" ht="11.1" customHeight="1" x14ac:dyDescent="0.15">
      <c r="B117" s="190">
        <v>52</v>
      </c>
      <c r="C117" s="191">
        <v>42522</v>
      </c>
      <c r="D117" s="192">
        <v>4991.43</v>
      </c>
      <c r="E117" s="193">
        <v>42522</v>
      </c>
      <c r="F117" s="190">
        <v>42</v>
      </c>
      <c r="G117" s="190">
        <v>210</v>
      </c>
      <c r="H117" s="194">
        <f t="shared" si="30"/>
        <v>252</v>
      </c>
      <c r="I117" s="205">
        <v>1.3696364163073285</v>
      </c>
      <c r="J117" s="190">
        <v>14</v>
      </c>
      <c r="K117" s="197">
        <f t="shared" si="29"/>
        <v>15.369636416307328</v>
      </c>
      <c r="L117" s="186"/>
      <c r="M117" s="469">
        <f t="shared" si="0"/>
        <v>7.3172509497475078</v>
      </c>
      <c r="N117" s="197">
        <f t="shared" si="39"/>
        <v>20.4785</v>
      </c>
      <c r="O117" s="194">
        <f t="shared" si="40"/>
        <v>41.693626424621257</v>
      </c>
      <c r="P117" s="461">
        <f t="shared" si="3"/>
        <v>32.110687617338115</v>
      </c>
      <c r="Q117" s="197">
        <f t="shared" si="41"/>
        <v>101.37615384615384</v>
      </c>
      <c r="R117" s="187">
        <f t="shared" si="42"/>
        <v>200.23026219523791</v>
      </c>
      <c r="S117" s="124"/>
      <c r="T117" s="198">
        <v>180</v>
      </c>
      <c r="U117" s="199">
        <f t="shared" si="43"/>
        <v>3.1415926535897931</v>
      </c>
      <c r="V117" s="200">
        <f t="shared" si="44"/>
        <v>-1</v>
      </c>
      <c r="W117" s="201">
        <v>1580</v>
      </c>
      <c r="X117" s="199">
        <f t="shared" si="45"/>
        <v>27.576202181510407</v>
      </c>
      <c r="Y117" s="199">
        <f t="shared" si="46"/>
        <v>-0.7660444431189779</v>
      </c>
      <c r="AA117" s="457">
        <f t="shared" si="33"/>
        <v>2.4664544564879116E-72</v>
      </c>
      <c r="AB117" s="55">
        <f t="shared" si="34"/>
        <v>0.17273308840238269</v>
      </c>
      <c r="AC117" s="55">
        <f t="shared" si="35"/>
        <v>0.88655217977892287</v>
      </c>
      <c r="AD117" s="55">
        <f t="shared" si="32"/>
        <v>1.0592852681813056</v>
      </c>
      <c r="AE117" s="54">
        <f t="shared" si="36"/>
        <v>5296.4263409065279</v>
      </c>
      <c r="AF117" s="54">
        <f t="shared" si="37"/>
        <v>86.366544201191346</v>
      </c>
      <c r="AG117" s="54">
        <f t="shared" si="38"/>
        <v>443.27608988946145</v>
      </c>
    </row>
    <row r="118" spans="2:33" ht="11.1" customHeight="1" x14ac:dyDescent="0.15">
      <c r="B118" s="190">
        <v>53</v>
      </c>
      <c r="C118" s="191">
        <v>42552</v>
      </c>
      <c r="D118" s="192">
        <v>5226.55</v>
      </c>
      <c r="E118" s="193">
        <v>42552</v>
      </c>
      <c r="F118" s="190">
        <v>33</v>
      </c>
      <c r="G118" s="190">
        <v>180</v>
      </c>
      <c r="H118" s="194">
        <f t="shared" si="30"/>
        <v>213</v>
      </c>
      <c r="I118" s="205">
        <v>1.3323377830181777</v>
      </c>
      <c r="J118" s="190">
        <v>11</v>
      </c>
      <c r="K118" s="197">
        <f t="shared" si="29"/>
        <v>12.332337783018177</v>
      </c>
      <c r="L118" s="186"/>
      <c r="M118" s="469">
        <f t="shared" si="0"/>
        <v>6.7534163791194484</v>
      </c>
      <c r="N118" s="197">
        <f t="shared" si="39"/>
        <v>20.483000000000001</v>
      </c>
      <c r="O118" s="194">
        <f t="shared" si="40"/>
        <v>39.03013062530345</v>
      </c>
      <c r="P118" s="461">
        <f t="shared" si="3"/>
        <v>30.333621639560175</v>
      </c>
      <c r="Q118" s="197">
        <f t="shared" si="41"/>
        <v>101.39923076923077</v>
      </c>
      <c r="R118" s="187">
        <f t="shared" si="42"/>
        <v>188.77485075829043</v>
      </c>
      <c r="S118" s="124"/>
      <c r="T118" s="198">
        <v>210</v>
      </c>
      <c r="U118" s="199">
        <f t="shared" si="43"/>
        <v>3.6651914291880923</v>
      </c>
      <c r="V118" s="200">
        <f t="shared" si="44"/>
        <v>-0.8660254037844386</v>
      </c>
      <c r="W118" s="201">
        <v>1610</v>
      </c>
      <c r="X118" s="199">
        <f t="shared" si="45"/>
        <v>28.099800957108705</v>
      </c>
      <c r="Y118" s="199">
        <f t="shared" si="46"/>
        <v>-0.98480775301220791</v>
      </c>
      <c r="AA118" s="457">
        <f t="shared" si="33"/>
        <v>1.845705048965935E-73</v>
      </c>
      <c r="AB118" s="55">
        <f t="shared" si="34"/>
        <v>0.1680291333640134</v>
      </c>
      <c r="AC118" s="55">
        <f t="shared" si="35"/>
        <v>0.88487523881163987</v>
      </c>
      <c r="AD118" s="55">
        <f t="shared" si="32"/>
        <v>1.0529043721756532</v>
      </c>
      <c r="AE118" s="54">
        <f t="shared" si="36"/>
        <v>5264.5218608782661</v>
      </c>
      <c r="AF118" s="54">
        <f t="shared" si="37"/>
        <v>84.014566682006702</v>
      </c>
      <c r="AG118" s="54">
        <f t="shared" si="38"/>
        <v>442.43761940581993</v>
      </c>
    </row>
    <row r="119" spans="2:33" ht="11.1" customHeight="1" x14ac:dyDescent="0.15">
      <c r="B119" s="190">
        <v>54</v>
      </c>
      <c r="C119" s="191">
        <v>42585</v>
      </c>
      <c r="D119" s="192">
        <v>5805.25</v>
      </c>
      <c r="E119" s="193">
        <v>42583</v>
      </c>
      <c r="F119" s="190">
        <v>24</v>
      </c>
      <c r="G119" s="190">
        <v>150</v>
      </c>
      <c r="H119" s="194">
        <f t="shared" si="30"/>
        <v>174</v>
      </c>
      <c r="I119" s="205">
        <v>1.2924813891194442</v>
      </c>
      <c r="J119" s="190">
        <v>14</v>
      </c>
      <c r="K119" s="197">
        <f t="shared" si="29"/>
        <v>15.292481389119445</v>
      </c>
      <c r="L119" s="186"/>
      <c r="M119" s="469">
        <f t="shared" si="0"/>
        <v>6.2163905246665285</v>
      </c>
      <c r="N119" s="197">
        <f t="shared" si="39"/>
        <v>20.487500000000001</v>
      </c>
      <c r="O119" s="194">
        <f t="shared" si="40"/>
        <v>33.379863155833171</v>
      </c>
      <c r="P119" s="461">
        <f t="shared" si="3"/>
        <v>28.600573855738844</v>
      </c>
      <c r="Q119" s="197">
        <f t="shared" si="41"/>
        <v>101.4223076923077</v>
      </c>
      <c r="R119" s="187">
        <f t="shared" si="42"/>
        <v>162.52860193505822</v>
      </c>
      <c r="S119" s="124"/>
      <c r="T119" s="198">
        <v>240</v>
      </c>
      <c r="U119" s="199">
        <f t="shared" si="43"/>
        <v>4.1887902047863905</v>
      </c>
      <c r="V119" s="200">
        <f t="shared" si="44"/>
        <v>-0.50000000000000044</v>
      </c>
      <c r="W119" s="201">
        <v>1640</v>
      </c>
      <c r="X119" s="199">
        <f t="shared" si="45"/>
        <v>28.623399732707004</v>
      </c>
      <c r="Y119" s="199">
        <f t="shared" si="46"/>
        <v>-0.93969262078590887</v>
      </c>
      <c r="AA119" s="457">
        <f t="shared" si="33"/>
        <v>1.0657624628249565E-74</v>
      </c>
      <c r="AB119" s="55">
        <f t="shared" si="34"/>
        <v>0.16300260374729109</v>
      </c>
      <c r="AC119" s="55">
        <f t="shared" si="35"/>
        <v>0.88303426716024025</v>
      </c>
      <c r="AD119" s="55">
        <f t="shared" si="32"/>
        <v>1.0460368709075314</v>
      </c>
      <c r="AE119" s="54">
        <f t="shared" si="36"/>
        <v>5230.1843545376569</v>
      </c>
      <c r="AF119" s="54">
        <f t="shared" si="37"/>
        <v>81.501301873645545</v>
      </c>
      <c r="AG119" s="54">
        <f t="shared" si="38"/>
        <v>441.51713358012012</v>
      </c>
    </row>
    <row r="120" spans="2:33" ht="11.1" customHeight="1" x14ac:dyDescent="0.15">
      <c r="B120" s="190">
        <v>55</v>
      </c>
      <c r="C120" s="191">
        <v>42614</v>
      </c>
      <c r="D120" s="192">
        <v>5310.79</v>
      </c>
      <c r="E120" s="193">
        <v>42614</v>
      </c>
      <c r="F120" s="190">
        <v>19</v>
      </c>
      <c r="G120" s="190">
        <v>110</v>
      </c>
      <c r="H120" s="194">
        <f t="shared" si="30"/>
        <v>129</v>
      </c>
      <c r="I120" s="205">
        <v>1.2584415412727514</v>
      </c>
      <c r="J120" s="190">
        <v>12</v>
      </c>
      <c r="K120" s="197">
        <f t="shared" si="29"/>
        <v>13.258441541272752</v>
      </c>
      <c r="L120" s="186"/>
      <c r="M120" s="469">
        <f t="shared" si="0"/>
        <v>5.7220685036752235</v>
      </c>
      <c r="N120" s="197">
        <f t="shared" si="39"/>
        <v>20.49</v>
      </c>
      <c r="O120" s="194">
        <f t="shared" si="40"/>
        <v>30.694596216919841</v>
      </c>
      <c r="P120" s="461">
        <f t="shared" si="3"/>
        <v>26.966540118334276</v>
      </c>
      <c r="Q120" s="197">
        <f t="shared" si="41"/>
        <v>101.45307692307692</v>
      </c>
      <c r="R120" s="187">
        <f t="shared" si="42"/>
        <v>150.38066495457664</v>
      </c>
      <c r="S120" s="124"/>
      <c r="T120" s="198">
        <v>250</v>
      </c>
      <c r="U120" s="199">
        <f t="shared" si="43"/>
        <v>4.3633231299858242</v>
      </c>
      <c r="V120" s="200">
        <f t="shared" si="44"/>
        <v>-0.34202014332566855</v>
      </c>
      <c r="W120" s="201">
        <v>1670</v>
      </c>
      <c r="X120" s="199">
        <f t="shared" si="45"/>
        <v>29.146998508305302</v>
      </c>
      <c r="Y120" s="199">
        <f t="shared" si="46"/>
        <v>-0.64278760968654092</v>
      </c>
      <c r="AA120" s="457">
        <f t="shared" si="33"/>
        <v>8.6952080859565727E-76</v>
      </c>
      <c r="AB120" s="55">
        <f t="shared" si="34"/>
        <v>0.15870963374642111</v>
      </c>
      <c r="AC120" s="55">
        <f t="shared" si="35"/>
        <v>0.88141960572345923</v>
      </c>
      <c r="AD120" s="55">
        <f t="shared" si="32"/>
        <v>1.0401292394698802</v>
      </c>
      <c r="AE120" s="54">
        <f t="shared" si="36"/>
        <v>5200.6461973494015</v>
      </c>
      <c r="AF120" s="54">
        <f t="shared" si="37"/>
        <v>79.354816873210552</v>
      </c>
      <c r="AG120" s="54">
        <f t="shared" si="38"/>
        <v>440.7098028617296</v>
      </c>
    </row>
    <row r="121" spans="2:33" ht="11.1" customHeight="1" x14ac:dyDescent="0.15">
      <c r="B121" s="190">
        <v>56</v>
      </c>
      <c r="C121" s="191">
        <v>42647</v>
      </c>
      <c r="D121" s="192">
        <v>4948.62</v>
      </c>
      <c r="E121" s="193">
        <v>42644</v>
      </c>
      <c r="F121" s="190">
        <v>21</v>
      </c>
      <c r="G121" s="190">
        <v>120</v>
      </c>
      <c r="H121" s="194">
        <f t="shared" si="30"/>
        <v>141</v>
      </c>
      <c r="I121" s="205">
        <v>1.220795726219849</v>
      </c>
      <c r="J121" s="197">
        <v>4.5104118662090134</v>
      </c>
      <c r="K121" s="197">
        <f t="shared" si="29"/>
        <v>5.7312075924288628</v>
      </c>
      <c r="L121" s="186"/>
      <c r="M121" s="469">
        <f t="shared" si="0"/>
        <v>5.2811515445561223</v>
      </c>
      <c r="N121" s="197">
        <f t="shared" si="39"/>
        <v>20.489000000000001</v>
      </c>
      <c r="O121" s="194">
        <f t="shared" si="40"/>
        <v>28.007621471512525</v>
      </c>
      <c r="P121" s="461">
        <f t="shared" si="3"/>
        <v>25.474160959290661</v>
      </c>
      <c r="Q121" s="197">
        <f t="shared" si="41"/>
        <v>101.44538461538461</v>
      </c>
      <c r="R121" s="187">
        <f t="shared" si="42"/>
        <v>137.93921947435391</v>
      </c>
      <c r="S121" s="124"/>
      <c r="T121" s="198">
        <v>260</v>
      </c>
      <c r="U121" s="199">
        <f t="shared" si="43"/>
        <v>4.5378560551852569</v>
      </c>
      <c r="V121" s="200">
        <f t="shared" si="44"/>
        <v>-0.17364817766693033</v>
      </c>
      <c r="W121" s="201">
        <v>1700</v>
      </c>
      <c r="X121" s="199">
        <f t="shared" si="45"/>
        <v>29.670597283903604</v>
      </c>
      <c r="Y121" s="199">
        <f t="shared" si="46"/>
        <v>-0.17364817766692955</v>
      </c>
      <c r="AA121" s="457">
        <f t="shared" si="33"/>
        <v>5.0208598549678609E-77</v>
      </c>
      <c r="AB121" s="55">
        <f t="shared" si="34"/>
        <v>0.15396189352712658</v>
      </c>
      <c r="AC121" s="55">
        <f t="shared" si="35"/>
        <v>0.87958582347263714</v>
      </c>
      <c r="AD121" s="55">
        <f t="shared" si="32"/>
        <v>1.0335477169997638</v>
      </c>
      <c r="AE121" s="54">
        <f t="shared" si="36"/>
        <v>5167.7385849988186</v>
      </c>
      <c r="AF121" s="54">
        <f t="shared" si="37"/>
        <v>76.980946763563296</v>
      </c>
      <c r="AG121" s="54">
        <f t="shared" si="38"/>
        <v>439.79291173631856</v>
      </c>
    </row>
    <row r="122" spans="2:33" ht="11.1" customHeight="1" x14ac:dyDescent="0.15">
      <c r="B122" s="190">
        <v>57</v>
      </c>
      <c r="C122" s="191">
        <v>42678</v>
      </c>
      <c r="D122" s="192">
        <v>4702.2700000000004</v>
      </c>
      <c r="E122" s="193">
        <v>42675</v>
      </c>
      <c r="F122" s="190">
        <v>21</v>
      </c>
      <c r="G122" s="190">
        <v>110</v>
      </c>
      <c r="H122" s="194">
        <f t="shared" si="30"/>
        <v>131</v>
      </c>
      <c r="I122" s="205">
        <v>1.1864579513434461</v>
      </c>
      <c r="J122" s="190">
        <v>10</v>
      </c>
      <c r="K122" s="197">
        <f t="shared" si="29"/>
        <v>11.186457951343446</v>
      </c>
      <c r="L122" s="186"/>
      <c r="M122" s="469">
        <f t="shared" si="0"/>
        <v>4.8611989218391995</v>
      </c>
      <c r="N122" s="197">
        <f t="shared" si="39"/>
        <v>20.489000000000001</v>
      </c>
      <c r="O122" s="194">
        <f t="shared" si="40"/>
        <v>23.149190998703425</v>
      </c>
      <c r="P122" s="461">
        <f t="shared" si="3"/>
        <v>24.018748258499592</v>
      </c>
      <c r="Q122" s="197">
        <f t="shared" si="41"/>
        <v>101.45307692307692</v>
      </c>
      <c r="R122" s="187">
        <f t="shared" si="42"/>
        <v>114.57784828591433</v>
      </c>
      <c r="S122" s="124"/>
      <c r="T122" s="198">
        <v>280</v>
      </c>
      <c r="U122" s="199">
        <f t="shared" si="43"/>
        <v>4.8869219055841224</v>
      </c>
      <c r="V122" s="200">
        <f t="shared" si="44"/>
        <v>0.17364817766692997</v>
      </c>
      <c r="W122" s="201">
        <v>1730</v>
      </c>
      <c r="X122" s="199">
        <f t="shared" si="45"/>
        <v>30.194196059501902</v>
      </c>
      <c r="Y122" s="199">
        <f t="shared" si="46"/>
        <v>0.34202014332566893</v>
      </c>
      <c r="AA122" s="457">
        <f t="shared" si="33"/>
        <v>3.4461719164581379E-78</v>
      </c>
      <c r="AB122" s="55">
        <f t="shared" si="34"/>
        <v>0.14963135015616533</v>
      </c>
      <c r="AC122" s="55">
        <f t="shared" si="35"/>
        <v>0.87786665502072814</v>
      </c>
      <c r="AD122" s="55">
        <f t="shared" si="32"/>
        <v>1.0274980051768934</v>
      </c>
      <c r="AE122" s="54">
        <f t="shared" si="36"/>
        <v>5137.4900258844673</v>
      </c>
      <c r="AF122" s="54">
        <f t="shared" si="37"/>
        <v>74.815675078082663</v>
      </c>
      <c r="AG122" s="54">
        <f t="shared" si="38"/>
        <v>438.93332751036405</v>
      </c>
    </row>
    <row r="123" spans="2:33" ht="11.1" customHeight="1" x14ac:dyDescent="0.15">
      <c r="B123" s="190">
        <v>58</v>
      </c>
      <c r="C123" s="191">
        <v>42705</v>
      </c>
      <c r="D123" s="192">
        <v>5076.05</v>
      </c>
      <c r="E123" s="193">
        <v>42705</v>
      </c>
      <c r="F123" s="190">
        <v>18</v>
      </c>
      <c r="G123" s="190">
        <v>120</v>
      </c>
      <c r="H123" s="194">
        <f t="shared" si="30"/>
        <v>138</v>
      </c>
      <c r="I123" s="205">
        <v>1.1573387532347019</v>
      </c>
      <c r="J123" s="197">
        <v>4.4939320308306936</v>
      </c>
      <c r="K123" s="197">
        <f t="shared" si="29"/>
        <v>5.651270784065396</v>
      </c>
      <c r="L123" s="186"/>
      <c r="M123" s="469">
        <f t="shared" si="0"/>
        <v>4.4866167152623699</v>
      </c>
      <c r="N123" s="197">
        <f t="shared" si="39"/>
        <v>20.490500000000001</v>
      </c>
      <c r="O123" s="194">
        <f t="shared" si="40"/>
        <v>16.949626140129766</v>
      </c>
      <c r="P123" s="461">
        <f t="shared" si="3"/>
        <v>22.689505457235327</v>
      </c>
      <c r="Q123" s="197">
        <f t="shared" si="41"/>
        <v>101.44538461538461</v>
      </c>
      <c r="R123" s="187">
        <f t="shared" si="42"/>
        <v>84.238705438379597</v>
      </c>
      <c r="S123" s="124"/>
      <c r="T123" s="198">
        <v>310</v>
      </c>
      <c r="U123" s="199">
        <f t="shared" si="43"/>
        <v>5.4105206811824216</v>
      </c>
      <c r="V123" s="200">
        <f t="shared" si="44"/>
        <v>0.64278760968653925</v>
      </c>
      <c r="W123" s="201">
        <v>1760</v>
      </c>
      <c r="X123" s="199">
        <f t="shared" si="45"/>
        <v>30.7177948351002</v>
      </c>
      <c r="Y123" s="199">
        <f t="shared" si="46"/>
        <v>0.76604444311897779</v>
      </c>
      <c r="AA123" s="457">
        <f t="shared" si="33"/>
        <v>3.3420829028102358E-79</v>
      </c>
      <c r="AB123" s="55">
        <f t="shared" si="34"/>
        <v>0.1459589528971284</v>
      </c>
      <c r="AC123" s="55">
        <f t="shared" si="35"/>
        <v>0.87637205275681196</v>
      </c>
      <c r="AD123" s="55">
        <f t="shared" si="32"/>
        <v>1.0223310056539403</v>
      </c>
      <c r="AE123" s="54">
        <f t="shared" si="36"/>
        <v>5111.6550282697017</v>
      </c>
      <c r="AF123" s="54">
        <f t="shared" si="37"/>
        <v>72.979476448564199</v>
      </c>
      <c r="AG123" s="54">
        <f t="shared" si="38"/>
        <v>438.18602637840598</v>
      </c>
    </row>
    <row r="124" spans="2:33" ht="11.1" customHeight="1" x14ac:dyDescent="0.15">
      <c r="B124" s="190">
        <v>59</v>
      </c>
      <c r="C124" s="191">
        <v>42741</v>
      </c>
      <c r="D124" s="192">
        <v>4597.87</v>
      </c>
      <c r="E124" s="193">
        <v>42736</v>
      </c>
      <c r="F124" s="190">
        <v>15</v>
      </c>
      <c r="G124" s="190">
        <v>93</v>
      </c>
      <c r="H124" s="194">
        <f t="shared" si="30"/>
        <v>108</v>
      </c>
      <c r="I124" s="205">
        <v>1.119621822861999</v>
      </c>
      <c r="J124" s="197">
        <v>4.4837334669423967</v>
      </c>
      <c r="K124" s="197">
        <f t="shared" si="29"/>
        <v>5.6033552898043961</v>
      </c>
      <c r="L124" s="186"/>
      <c r="M124" s="469">
        <f t="shared" si="0"/>
        <v>4.1298448179207341</v>
      </c>
      <c r="N124" s="197">
        <f t="shared" si="39"/>
        <v>20.492000000000001</v>
      </c>
      <c r="O124" s="194">
        <f t="shared" si="40"/>
        <v>15.191131116867744</v>
      </c>
      <c r="P124" s="461">
        <f t="shared" si="3"/>
        <v>21.393188201883877</v>
      </c>
      <c r="Q124" s="197">
        <f t="shared" si="41"/>
        <v>101.46615384615384</v>
      </c>
      <c r="R124" s="187">
        <f t="shared" si="42"/>
        <v>75.801483917461184</v>
      </c>
      <c r="S124" s="124"/>
      <c r="T124" s="198">
        <v>320</v>
      </c>
      <c r="U124" s="199">
        <f t="shared" si="43"/>
        <v>5.5850536063818543</v>
      </c>
      <c r="V124" s="200">
        <f t="shared" si="44"/>
        <v>0.76604444311897779</v>
      </c>
      <c r="W124" s="201">
        <v>1790</v>
      </c>
      <c r="X124" s="199">
        <f t="shared" si="45"/>
        <v>31.241393610698498</v>
      </c>
      <c r="Y124" s="199">
        <f t="shared" si="46"/>
        <v>0.98480775301220791</v>
      </c>
      <c r="AA124" s="457">
        <f t="shared" si="33"/>
        <v>1.4891013532974295E-80</v>
      </c>
      <c r="AB124" s="55">
        <f t="shared" si="34"/>
        <v>0.14120224389701319</v>
      </c>
      <c r="AC124" s="55">
        <f t="shared" si="35"/>
        <v>0.87438320728504237</v>
      </c>
      <c r="AD124" s="55">
        <f t="shared" si="32"/>
        <v>1.0155854511820555</v>
      </c>
      <c r="AE124" s="54">
        <f t="shared" si="36"/>
        <v>5077.9272559102783</v>
      </c>
      <c r="AF124" s="54">
        <f t="shared" si="37"/>
        <v>70.601121948506602</v>
      </c>
      <c r="AG124" s="54">
        <f t="shared" si="38"/>
        <v>437.19160364252116</v>
      </c>
    </row>
    <row r="125" spans="2:33" ht="11.1" customHeight="1" x14ac:dyDescent="0.15">
      <c r="B125" s="190">
        <v>60</v>
      </c>
      <c r="C125" s="191">
        <v>42767</v>
      </c>
      <c r="D125" s="192">
        <v>3936.52</v>
      </c>
      <c r="E125" s="193">
        <v>42767</v>
      </c>
      <c r="F125" s="190">
        <v>11</v>
      </c>
      <c r="G125" s="190">
        <v>70</v>
      </c>
      <c r="H125" s="194">
        <f t="shared" si="30"/>
        <v>81</v>
      </c>
      <c r="I125" s="205">
        <v>1.093148586611457</v>
      </c>
      <c r="J125" s="197">
        <v>4.4763822344971125</v>
      </c>
      <c r="K125" s="197">
        <f t="shared" si="29"/>
        <v>5.5695308211085699</v>
      </c>
      <c r="L125" s="186"/>
      <c r="M125" s="469">
        <f t="shared" ref="M125:M150" si="47">事故日の濃度1*2.71828^(-0.69315/半1*(E125-事故日)/365.25)</f>
        <v>3.8014431146052017</v>
      </c>
      <c r="N125" s="197">
        <f t="shared" si="39"/>
        <v>20.494</v>
      </c>
      <c r="O125" s="194">
        <f t="shared" si="40"/>
        <v>13.77520764788129</v>
      </c>
      <c r="P125" s="471">
        <f t="shared" ref="P125:P150" si="48">事故日の濃度2*2.71828^(-0.69315/半2*(E125-事故日)/365.25)</f>
        <v>20.170933311165683</v>
      </c>
      <c r="Q125" s="197">
        <f t="shared" si="41"/>
        <v>101.48384615384616</v>
      </c>
      <c r="R125" s="187">
        <f t="shared" si="42"/>
        <v>68.976714710764995</v>
      </c>
      <c r="S125" s="124"/>
      <c r="T125" s="198">
        <v>330</v>
      </c>
      <c r="U125" s="199">
        <f t="shared" si="43"/>
        <v>5.7595865315812871</v>
      </c>
      <c r="V125" s="200">
        <f t="shared" si="44"/>
        <v>0.86602540378443837</v>
      </c>
      <c r="W125" s="201">
        <v>1820</v>
      </c>
      <c r="X125" s="199">
        <f t="shared" si="45"/>
        <v>31.764992386296797</v>
      </c>
      <c r="Y125" s="199">
        <f t="shared" si="46"/>
        <v>0.93969262078590898</v>
      </c>
      <c r="AA125" s="457">
        <f t="shared" ref="AA125:AA150" si="49">1*2.71828^(-0.69315/半I131*(C125-事故日)/365.25)</f>
        <v>1.5744718418976539E-81</v>
      </c>
      <c r="AB125" s="55">
        <f t="shared" ref="AB125:AB150" si="50">1*2.71828^(-0.69315/半Cs134*(C125-事故日)/365.25)</f>
        <v>0.13786354480642476</v>
      </c>
      <c r="AC125" s="55">
        <f t="shared" ref="AC125:AC150" si="51">1*2.71828^(-0.69315/半Cs137*(C125-事故日)/365.25)</f>
        <v>0.87294962648671959</v>
      </c>
      <c r="AD125" s="55">
        <f t="shared" si="32"/>
        <v>1.0108131712931443</v>
      </c>
      <c r="AE125" s="54">
        <f t="shared" ref="AE125:AE150" si="52">5000*2.71828^(-0.69315/半Cs134*(C125-事故日)/365.25)+5000*2.71828^(-0.69315/半Cs137*(C125-事故日)/365.25)</f>
        <v>5054.0658564657215</v>
      </c>
      <c r="AF125" s="54">
        <f t="shared" ref="AF125:AF150" si="53">500*2.71828^(-0.69315/半Cs134*(C125-事故日)/365.25)</f>
        <v>68.931772403212378</v>
      </c>
      <c r="AG125" s="54">
        <f t="shared" ref="AG125:AG150" si="54">500*2.71828^(-0.69315/半Cs137*(C125-事故日)/365.25)</f>
        <v>436.47481324335979</v>
      </c>
    </row>
    <row r="126" spans="2:33" ht="11.1" customHeight="1" x14ac:dyDescent="0.15">
      <c r="B126" s="190">
        <v>61</v>
      </c>
      <c r="C126" s="191">
        <v>42797</v>
      </c>
      <c r="D126" s="192">
        <v>4818.8599999999997</v>
      </c>
      <c r="E126" s="193">
        <v>42795</v>
      </c>
      <c r="F126" s="190">
        <v>12</v>
      </c>
      <c r="G126" s="190">
        <v>72</v>
      </c>
      <c r="H126" s="194">
        <f t="shared" si="30"/>
        <v>84</v>
      </c>
      <c r="I126" s="205">
        <v>1.0633794100788247</v>
      </c>
      <c r="J126" s="197">
        <v>4.467915018550368</v>
      </c>
      <c r="K126" s="197">
        <f t="shared" si="29"/>
        <v>5.5312944286291925</v>
      </c>
      <c r="L126" s="186"/>
      <c r="M126" s="469">
        <f t="shared" si="47"/>
        <v>3.5273268263169122</v>
      </c>
      <c r="N126" s="197">
        <f t="shared" si="39"/>
        <v>20.493500000000001</v>
      </c>
      <c r="O126" s="194">
        <f t="shared" si="40"/>
        <v>12.734729969383816</v>
      </c>
      <c r="P126" s="471">
        <f t="shared" si="48"/>
        <v>19.127094752086979</v>
      </c>
      <c r="Q126" s="197">
        <f t="shared" si="41"/>
        <v>101.4823076923077</v>
      </c>
      <c r="R126" s="187">
        <f t="shared" si="42"/>
        <v>63.941519707196882</v>
      </c>
      <c r="S126" s="124"/>
      <c r="T126" s="198">
        <v>340</v>
      </c>
      <c r="U126" s="199">
        <f t="shared" si="43"/>
        <v>5.9341194567807207</v>
      </c>
      <c r="V126" s="200">
        <f t="shared" si="44"/>
        <v>0.93969262078590843</v>
      </c>
      <c r="W126" s="201">
        <v>1850</v>
      </c>
      <c r="X126" s="199">
        <f t="shared" si="45"/>
        <v>32.288591161895098</v>
      </c>
      <c r="Y126" s="199">
        <f t="shared" si="46"/>
        <v>0.64278760968653836</v>
      </c>
      <c r="AA126" s="457">
        <f t="shared" si="49"/>
        <v>1.1782137798656889E-82</v>
      </c>
      <c r="AB126" s="55">
        <f t="shared" si="50"/>
        <v>0.13410917485798191</v>
      </c>
      <c r="AC126" s="55">
        <f t="shared" si="51"/>
        <v>0.8712984151712222</v>
      </c>
      <c r="AD126" s="55">
        <f t="shared" si="32"/>
        <v>1.0054075900292041</v>
      </c>
      <c r="AE126" s="54">
        <f t="shared" si="52"/>
        <v>5027.0379501460211</v>
      </c>
      <c r="AF126" s="54">
        <f t="shared" si="53"/>
        <v>67.054587428990956</v>
      </c>
      <c r="AG126" s="54">
        <f t="shared" si="54"/>
        <v>435.64920758561112</v>
      </c>
    </row>
    <row r="127" spans="2:33" ht="11.1" customHeight="1" x14ac:dyDescent="0.15">
      <c r="B127" s="190">
        <v>62</v>
      </c>
      <c r="C127" s="191">
        <v>42828</v>
      </c>
      <c r="D127" s="192">
        <v>4574.25</v>
      </c>
      <c r="E127" s="193">
        <v>42826</v>
      </c>
      <c r="F127" s="190">
        <v>17</v>
      </c>
      <c r="G127" s="190">
        <v>120</v>
      </c>
      <c r="H127" s="194">
        <f t="shared" si="30"/>
        <v>137</v>
      </c>
      <c r="I127" s="205">
        <v>1.0334693424014472</v>
      </c>
      <c r="J127" s="197">
        <v>4.4591823874179362</v>
      </c>
      <c r="K127" s="197">
        <f t="shared" si="29"/>
        <v>5.4926517298193831</v>
      </c>
      <c r="L127" s="186"/>
      <c r="M127" s="469">
        <f t="shared" si="47"/>
        <v>3.2468368348076768</v>
      </c>
      <c r="N127" s="197">
        <f t="shared" si="39"/>
        <v>20.491</v>
      </c>
      <c r="O127" s="194">
        <f t="shared" si="40"/>
        <v>21.676820780748031</v>
      </c>
      <c r="P127" s="471">
        <f t="shared" si="48"/>
        <v>18.034308352726946</v>
      </c>
      <c r="Q127" s="197">
        <f t="shared" si="41"/>
        <v>101.44538461538461</v>
      </c>
      <c r="R127" s="187">
        <f t="shared" si="42"/>
        <v>109.10597749205307</v>
      </c>
      <c r="S127" s="124"/>
      <c r="T127" s="173">
        <v>80</v>
      </c>
      <c r="U127" s="199">
        <f t="shared" si="43"/>
        <v>1.3962634015954636</v>
      </c>
      <c r="V127" s="200">
        <f t="shared" si="44"/>
        <v>0.17364817766693041</v>
      </c>
      <c r="W127" s="174">
        <v>1880</v>
      </c>
      <c r="X127" s="199">
        <f t="shared" si="45"/>
        <v>32.812189937493393</v>
      </c>
      <c r="Y127" s="199">
        <f t="shared" si="46"/>
        <v>0.17364817766693316</v>
      </c>
      <c r="AA127" s="457">
        <f t="shared" si="49"/>
        <v>8.0869161001168855E-84</v>
      </c>
      <c r="AB127" s="55">
        <f t="shared" si="50"/>
        <v>0.13033703627965243</v>
      </c>
      <c r="AC127" s="55">
        <f t="shared" si="51"/>
        <v>0.86959544462805571</v>
      </c>
      <c r="AD127" s="55">
        <f t="shared" si="32"/>
        <v>0.99993248090770814</v>
      </c>
      <c r="AE127" s="54">
        <f t="shared" si="52"/>
        <v>4999.6624045385406</v>
      </c>
      <c r="AF127" s="54">
        <f t="shared" si="53"/>
        <v>65.168518139826219</v>
      </c>
      <c r="AG127" s="54">
        <f t="shared" si="54"/>
        <v>434.79772231402785</v>
      </c>
    </row>
    <row r="128" spans="2:33" ht="11.1" customHeight="1" x14ac:dyDescent="0.15">
      <c r="B128" s="190">
        <v>63</v>
      </c>
      <c r="C128" s="191">
        <v>42857</v>
      </c>
      <c r="D128" s="192">
        <v>5535.09</v>
      </c>
      <c r="E128" s="193">
        <v>42856</v>
      </c>
      <c r="F128" s="190">
        <v>25</v>
      </c>
      <c r="G128" s="190">
        <v>170</v>
      </c>
      <c r="H128" s="194">
        <f t="shared" si="30"/>
        <v>195</v>
      </c>
      <c r="I128" s="205">
        <v>1.0062510478358797</v>
      </c>
      <c r="J128" s="190">
        <v>12</v>
      </c>
      <c r="K128" s="197">
        <f t="shared" si="29"/>
        <v>13.00625104783588</v>
      </c>
      <c r="L128" s="186"/>
      <c r="M128" s="469">
        <f t="shared" si="47"/>
        <v>2.9966501369308864</v>
      </c>
      <c r="N128" s="197">
        <f t="shared" si="39"/>
        <v>20.486999999999998</v>
      </c>
      <c r="O128" s="194">
        <f t="shared" si="40"/>
        <v>32.478409982703944</v>
      </c>
      <c r="P128" s="471">
        <f t="shared" si="48"/>
        <v>17.036255735844243</v>
      </c>
      <c r="Q128" s="197">
        <f t="shared" si="41"/>
        <v>101.40692307692308</v>
      </c>
      <c r="R128" s="187">
        <f t="shared" si="42"/>
        <v>163.80954829020123</v>
      </c>
      <c r="S128" s="124"/>
      <c r="T128" s="173">
        <v>140</v>
      </c>
      <c r="U128" s="199">
        <f t="shared" si="43"/>
        <v>2.4434609527920612</v>
      </c>
      <c r="V128" s="200">
        <f t="shared" si="44"/>
        <v>-0.7660444431189779</v>
      </c>
      <c r="W128" s="174">
        <v>1910</v>
      </c>
      <c r="X128" s="199">
        <f t="shared" si="45"/>
        <v>33.335788713091695</v>
      </c>
      <c r="Y128" s="199">
        <f t="shared" si="46"/>
        <v>-0.34202014332566882</v>
      </c>
      <c r="AA128" s="457">
        <f t="shared" si="49"/>
        <v>6.5978509017668276E-85</v>
      </c>
      <c r="AB128" s="55">
        <f t="shared" si="50"/>
        <v>0.12690437340257157</v>
      </c>
      <c r="AC128" s="55">
        <f t="shared" si="51"/>
        <v>0.86800535658474931</v>
      </c>
      <c r="AD128" s="55">
        <f t="shared" si="32"/>
        <v>0.99490972998732086</v>
      </c>
      <c r="AE128" s="54">
        <f t="shared" si="52"/>
        <v>4974.5486499366043</v>
      </c>
      <c r="AF128" s="54">
        <f t="shared" si="53"/>
        <v>63.45218670128579</v>
      </c>
      <c r="AG128" s="54">
        <f t="shared" si="54"/>
        <v>434.00267829237464</v>
      </c>
    </row>
    <row r="129" spans="2:33" ht="11.1" customHeight="1" x14ac:dyDescent="0.15">
      <c r="B129" s="190">
        <v>64</v>
      </c>
      <c r="C129" s="191">
        <v>42887</v>
      </c>
      <c r="D129" s="192">
        <v>5442.01</v>
      </c>
      <c r="E129" s="193">
        <v>42887</v>
      </c>
      <c r="F129" s="190">
        <v>22</v>
      </c>
      <c r="G129" s="190">
        <v>150</v>
      </c>
      <c r="H129" s="194">
        <f t="shared" si="30"/>
        <v>172</v>
      </c>
      <c r="I129" s="205">
        <v>0.97884830913589449</v>
      </c>
      <c r="J129" s="197">
        <v>4.442609345599128</v>
      </c>
      <c r="K129" s="197">
        <f t="shared" si="29"/>
        <v>5.4214576547350228</v>
      </c>
      <c r="L129" s="186"/>
      <c r="M129" s="469">
        <f t="shared" si="47"/>
        <v>2.7583590987450242</v>
      </c>
      <c r="N129" s="197">
        <f t="shared" si="39"/>
        <v>20.488499999999998</v>
      </c>
      <c r="O129" s="194">
        <f t="shared" si="40"/>
        <v>34.870288648117537</v>
      </c>
      <c r="P129" s="471">
        <f t="shared" si="48"/>
        <v>16.062925033745909</v>
      </c>
      <c r="Q129" s="197">
        <f t="shared" si="41"/>
        <v>101.4223076923077</v>
      </c>
      <c r="R129" s="187">
        <f t="shared" si="42"/>
        <v>176.22784908908042</v>
      </c>
      <c r="S129" s="124"/>
      <c r="T129" s="173">
        <v>180</v>
      </c>
      <c r="U129" s="199">
        <f t="shared" si="43"/>
        <v>3.1415926535897931</v>
      </c>
      <c r="V129" s="200">
        <f t="shared" si="44"/>
        <v>-1</v>
      </c>
      <c r="W129" s="174">
        <v>1940</v>
      </c>
      <c r="X129" s="199">
        <f t="shared" si="45"/>
        <v>33.85938748868999</v>
      </c>
      <c r="Y129" s="199">
        <f t="shared" si="46"/>
        <v>-0.76604444311897546</v>
      </c>
      <c r="AA129" s="457">
        <f t="shared" si="49"/>
        <v>4.9373247860637389E-86</v>
      </c>
      <c r="AB129" s="55">
        <f t="shared" si="50"/>
        <v>0.12344844916605523</v>
      </c>
      <c r="AC129" s="55">
        <f t="shared" si="51"/>
        <v>0.86636349750924513</v>
      </c>
      <c r="AD129" s="55">
        <f t="shared" si="32"/>
        <v>0.98981194667530037</v>
      </c>
      <c r="AE129" s="54">
        <f t="shared" si="52"/>
        <v>4949.0597333765018</v>
      </c>
      <c r="AF129" s="54">
        <f t="shared" si="53"/>
        <v>61.724224583027613</v>
      </c>
      <c r="AG129" s="54">
        <f t="shared" si="54"/>
        <v>433.18174875462256</v>
      </c>
    </row>
    <row r="130" spans="2:33" ht="11.1" customHeight="1" x14ac:dyDescent="0.15">
      <c r="B130" s="190">
        <v>65</v>
      </c>
      <c r="C130" s="191">
        <v>42919</v>
      </c>
      <c r="D130" s="192">
        <v>5365.97</v>
      </c>
      <c r="E130" s="193">
        <v>42917</v>
      </c>
      <c r="F130" s="190">
        <v>20</v>
      </c>
      <c r="G130" s="190">
        <v>140</v>
      </c>
      <c r="H130" s="194">
        <f t="shared" si="30"/>
        <v>160</v>
      </c>
      <c r="I130" s="205">
        <v>0.95044074834934622</v>
      </c>
      <c r="J130" s="197">
        <v>4.4336463553824812</v>
      </c>
      <c r="K130" s="197">
        <f t="shared" si="29"/>
        <v>5.3840871037318276</v>
      </c>
      <c r="L130" s="186"/>
      <c r="M130" s="469">
        <f t="shared" si="47"/>
        <v>2.5458123064100464</v>
      </c>
      <c r="N130" s="197">
        <f t="shared" si="39"/>
        <v>20.4895</v>
      </c>
      <c r="O130" s="194">
        <f t="shared" si="40"/>
        <v>33.009895127139742</v>
      </c>
      <c r="P130" s="471">
        <f t="shared" si="48"/>
        <v>15.173972485571428</v>
      </c>
      <c r="Q130" s="197">
        <f t="shared" si="41"/>
        <v>101.43</v>
      </c>
      <c r="R130" s="187">
        <f t="shared" si="42"/>
        <v>167.0949736629147</v>
      </c>
      <c r="S130" s="124"/>
      <c r="T130" s="173">
        <v>210</v>
      </c>
      <c r="U130" s="199">
        <f t="shared" si="43"/>
        <v>3.6651914291880923</v>
      </c>
      <c r="V130" s="200">
        <f t="shared" si="44"/>
        <v>-0.8660254037844386</v>
      </c>
      <c r="W130" s="174">
        <v>1970</v>
      </c>
      <c r="X130" s="199">
        <f t="shared" si="45"/>
        <v>34.382986264288292</v>
      </c>
      <c r="Y130" s="199">
        <f t="shared" si="46"/>
        <v>-0.98480775301220791</v>
      </c>
      <c r="AA130" s="457">
        <f t="shared" si="49"/>
        <v>3.1082803042185513E-87</v>
      </c>
      <c r="AB130" s="55">
        <f t="shared" si="50"/>
        <v>0.11986580077103916</v>
      </c>
      <c r="AC130" s="55">
        <f t="shared" si="51"/>
        <v>0.86461560410963134</v>
      </c>
      <c r="AD130" s="55">
        <f t="shared" si="32"/>
        <v>0.98448140488067049</v>
      </c>
      <c r="AE130" s="54">
        <f t="shared" si="52"/>
        <v>4922.4070244033528</v>
      </c>
      <c r="AF130" s="54">
        <f t="shared" si="53"/>
        <v>59.932900385519581</v>
      </c>
      <c r="AG130" s="54">
        <f t="shared" si="54"/>
        <v>432.30780205481568</v>
      </c>
    </row>
    <row r="131" spans="2:33" ht="11.1" customHeight="1" x14ac:dyDescent="0.15">
      <c r="B131" s="190">
        <v>66</v>
      </c>
      <c r="C131" s="206">
        <v>42948</v>
      </c>
      <c r="D131" s="207">
        <v>5947.22</v>
      </c>
      <c r="E131" s="193">
        <v>42948</v>
      </c>
      <c r="F131" s="190">
        <v>14</v>
      </c>
      <c r="G131" s="190">
        <v>120</v>
      </c>
      <c r="H131" s="194">
        <f t="shared" si="30"/>
        <v>134</v>
      </c>
      <c r="I131" s="205">
        <v>0.92540916280121643</v>
      </c>
      <c r="J131" s="197">
        <v>4.4255392659289967</v>
      </c>
      <c r="K131" s="197">
        <f t="shared" si="29"/>
        <v>5.3509484287302129</v>
      </c>
      <c r="L131" s="186"/>
      <c r="M131" s="469">
        <f t="shared" si="47"/>
        <v>2.3433715042474987</v>
      </c>
      <c r="N131" s="197">
        <f t="shared" ref="N131:N150" si="55">下駄1-(F131-40999)/除数11</f>
        <v>20.4925</v>
      </c>
      <c r="O131" s="194">
        <f t="shared" ref="O131:O150" si="56">(M131+N131)*(1-V131/除数12)</f>
        <v>28.54483938030938</v>
      </c>
      <c r="P131" s="471">
        <f t="shared" si="48"/>
        <v>14.307039426922424</v>
      </c>
      <c r="Q131" s="197">
        <f t="shared" ref="Q131:Q150" si="57">下駄2-(G131-40999)/除数21</f>
        <v>101.44538461538461</v>
      </c>
      <c r="R131" s="187">
        <f t="shared" ref="R131:R150" si="58">(P131+Q131)*(1-V131/除数22)</f>
        <v>144.69053005288382</v>
      </c>
      <c r="S131" s="124"/>
      <c r="T131" s="173">
        <v>240</v>
      </c>
      <c r="U131" s="199">
        <f t="shared" ref="U131:U150" si="59">PI()/180*T131</f>
        <v>4.1887902047863905</v>
      </c>
      <c r="V131" s="200">
        <f t="shared" ref="V131:V150" si="60">COS(U131)</f>
        <v>-0.50000000000000044</v>
      </c>
      <c r="W131" s="174">
        <v>2000</v>
      </c>
      <c r="X131" s="199">
        <f t="shared" ref="X131:X150" si="61">PI()/180*W131</f>
        <v>34.906585039886593</v>
      </c>
      <c r="Y131" s="199">
        <f t="shared" ref="Y131:Y150" si="62">COS(X131)</f>
        <v>-0.93969262078590776</v>
      </c>
      <c r="AA131" s="457">
        <f t="shared" si="49"/>
        <v>2.5359444507945399E-88</v>
      </c>
      <c r="AB131" s="55">
        <f t="shared" si="50"/>
        <v>0.11670891692372283</v>
      </c>
      <c r="AC131" s="55">
        <f t="shared" si="51"/>
        <v>0.86303462189239022</v>
      </c>
      <c r="AD131" s="55">
        <f t="shared" si="32"/>
        <v>0.97974353881611309</v>
      </c>
      <c r="AE131" s="54">
        <f t="shared" si="52"/>
        <v>4898.7176940805648</v>
      </c>
      <c r="AF131" s="54">
        <f t="shared" si="53"/>
        <v>58.354458461861412</v>
      </c>
      <c r="AG131" s="54">
        <f t="shared" si="54"/>
        <v>431.5173109461951</v>
      </c>
    </row>
    <row r="132" spans="2:33" ht="11.1" customHeight="1" x14ac:dyDescent="0.15">
      <c r="B132" s="190">
        <v>67</v>
      </c>
      <c r="C132" s="191">
        <v>42979</v>
      </c>
      <c r="D132" s="192">
        <v>5135.9799999999996</v>
      </c>
      <c r="E132" s="193">
        <v>42979</v>
      </c>
      <c r="F132" s="190">
        <v>15</v>
      </c>
      <c r="G132" s="190">
        <v>130</v>
      </c>
      <c r="H132" s="194">
        <f t="shared" si="30"/>
        <v>145</v>
      </c>
      <c r="I132" s="205">
        <v>0.8993798355203757</v>
      </c>
      <c r="J132" s="197">
        <v>4.416889459070318</v>
      </c>
      <c r="K132" s="197">
        <f t="shared" ref="K132:K150" si="63">J132+I132</f>
        <v>5.3162692945906933</v>
      </c>
      <c r="L132" s="186"/>
      <c r="M132" s="469">
        <f t="shared" si="47"/>
        <v>2.1570286203317237</v>
      </c>
      <c r="N132" s="197">
        <f t="shared" si="55"/>
        <v>20.492000000000001</v>
      </c>
      <c r="O132" s="194">
        <f t="shared" si="56"/>
        <v>26.522240627788236</v>
      </c>
      <c r="P132" s="471">
        <f t="shared" si="48"/>
        <v>13.489636768364312</v>
      </c>
      <c r="Q132" s="197">
        <f t="shared" si="57"/>
        <v>101.43769230769232</v>
      </c>
      <c r="R132" s="187">
        <f t="shared" si="58"/>
        <v>134.5810598573712</v>
      </c>
      <c r="S132" s="124"/>
      <c r="T132" s="173">
        <v>250</v>
      </c>
      <c r="U132" s="199">
        <f t="shared" si="59"/>
        <v>4.3633231299858242</v>
      </c>
      <c r="V132" s="200">
        <f t="shared" si="60"/>
        <v>-0.34202014332566855</v>
      </c>
      <c r="W132" s="174">
        <v>2030</v>
      </c>
      <c r="X132" s="199">
        <f t="shared" si="61"/>
        <v>35.430183815484888</v>
      </c>
      <c r="Y132" s="199">
        <f t="shared" si="62"/>
        <v>-0.64278760968654114</v>
      </c>
      <c r="AA132" s="457">
        <f t="shared" si="49"/>
        <v>1.7405983836371574E-89</v>
      </c>
      <c r="AB132" s="55">
        <f t="shared" si="50"/>
        <v>0.11342620186392756</v>
      </c>
      <c r="AC132" s="55">
        <f t="shared" si="51"/>
        <v>0.8613478031019226</v>
      </c>
      <c r="AD132" s="55">
        <f t="shared" si="32"/>
        <v>0.9747740049658502</v>
      </c>
      <c r="AE132" s="54">
        <f t="shared" si="52"/>
        <v>4873.8700248292507</v>
      </c>
      <c r="AF132" s="54">
        <f t="shared" si="53"/>
        <v>56.71310093196378</v>
      </c>
      <c r="AG132" s="54">
        <f t="shared" si="54"/>
        <v>430.67390155096132</v>
      </c>
    </row>
    <row r="133" spans="2:33" ht="11.1" customHeight="1" x14ac:dyDescent="0.15">
      <c r="B133" s="190">
        <v>68</v>
      </c>
      <c r="C133" s="191">
        <v>43010</v>
      </c>
      <c r="D133" s="192">
        <v>5397.84</v>
      </c>
      <c r="E133" s="193">
        <v>43009</v>
      </c>
      <c r="F133" s="190">
        <v>15</v>
      </c>
      <c r="G133" s="190">
        <v>120</v>
      </c>
      <c r="H133" s="194">
        <f t="shared" si="30"/>
        <v>135</v>
      </c>
      <c r="I133" s="205">
        <v>0.8740826447969916</v>
      </c>
      <c r="J133" s="197">
        <v>4.4082565584357623</v>
      </c>
      <c r="K133" s="197">
        <f t="shared" si="63"/>
        <v>5.2823392032327536</v>
      </c>
      <c r="L133" s="186"/>
      <c r="M133" s="469">
        <f t="shared" si="47"/>
        <v>1.9908176601870362</v>
      </c>
      <c r="N133" s="197">
        <f t="shared" si="55"/>
        <v>20.492000000000001</v>
      </c>
      <c r="O133" s="194">
        <f t="shared" si="56"/>
        <v>24.434867817941718</v>
      </c>
      <c r="P133" s="471">
        <f t="shared" si="48"/>
        <v>12.743094843155014</v>
      </c>
      <c r="Q133" s="197">
        <f t="shared" si="57"/>
        <v>101.44538461538461</v>
      </c>
      <c r="R133" s="187">
        <f t="shared" si="58"/>
        <v>124.1027901428062</v>
      </c>
      <c r="S133" s="124"/>
      <c r="T133" s="173">
        <v>260</v>
      </c>
      <c r="U133" s="199">
        <f t="shared" si="59"/>
        <v>4.5378560551852569</v>
      </c>
      <c r="V133" s="200">
        <f t="shared" si="60"/>
        <v>-0.17364817766693033</v>
      </c>
      <c r="W133" s="174">
        <v>2060</v>
      </c>
      <c r="X133" s="199">
        <f t="shared" si="61"/>
        <v>35.95378259108319</v>
      </c>
      <c r="Y133" s="199">
        <f t="shared" si="62"/>
        <v>-0.17364817766692978</v>
      </c>
      <c r="AA133" s="457">
        <f t="shared" si="49"/>
        <v>1.1946960163780945E-90</v>
      </c>
      <c r="AB133" s="55">
        <f t="shared" si="50"/>
        <v>0.11023582095003863</v>
      </c>
      <c r="AC133" s="55">
        <f t="shared" si="51"/>
        <v>0.85966428123322347</v>
      </c>
      <c r="AD133" s="55">
        <f t="shared" si="32"/>
        <v>0.96990010218326206</v>
      </c>
      <c r="AE133" s="54">
        <f t="shared" si="52"/>
        <v>4849.5005109163103</v>
      </c>
      <c r="AF133" s="54">
        <f t="shared" si="53"/>
        <v>55.117910475019315</v>
      </c>
      <c r="AG133" s="54">
        <f t="shared" si="54"/>
        <v>429.83214061661175</v>
      </c>
    </row>
    <row r="134" spans="2:33" ht="11.1" customHeight="1" x14ac:dyDescent="0.15">
      <c r="B134" s="190">
        <v>69</v>
      </c>
      <c r="C134" s="191">
        <v>43055</v>
      </c>
      <c r="D134" s="192">
        <v>4808.5200000000004</v>
      </c>
      <c r="E134" s="193">
        <v>43040</v>
      </c>
      <c r="F134" s="190">
        <v>14</v>
      </c>
      <c r="G134" s="190">
        <v>120</v>
      </c>
      <c r="H134" s="194">
        <f t="shared" si="30"/>
        <v>134</v>
      </c>
      <c r="I134" s="205">
        <v>0.83862165239206243</v>
      </c>
      <c r="J134" s="197">
        <v>4.3957549437238512</v>
      </c>
      <c r="K134" s="197">
        <f t="shared" si="63"/>
        <v>5.2343765961159132</v>
      </c>
      <c r="L134" s="186"/>
      <c r="M134" s="469">
        <f t="shared" si="47"/>
        <v>1.8325095543330157</v>
      </c>
      <c r="N134" s="197">
        <f t="shared" si="55"/>
        <v>20.4925</v>
      </c>
      <c r="O134" s="194">
        <f t="shared" si="56"/>
        <v>20.386660941579649</v>
      </c>
      <c r="P134" s="471">
        <f t="shared" si="48"/>
        <v>12.015044874728128</v>
      </c>
      <c r="Q134" s="197">
        <f t="shared" si="57"/>
        <v>101.44538461538461</v>
      </c>
      <c r="R134" s="187">
        <f t="shared" si="58"/>
        <v>103.6093310809801</v>
      </c>
      <c r="S134" s="124"/>
      <c r="T134" s="173">
        <v>280</v>
      </c>
      <c r="U134" s="199">
        <f t="shared" si="59"/>
        <v>4.8869219055841224</v>
      </c>
      <c r="V134" s="200">
        <f t="shared" si="60"/>
        <v>0.17364817766692997</v>
      </c>
      <c r="W134" s="174">
        <v>2090</v>
      </c>
      <c r="X134" s="199">
        <f t="shared" si="61"/>
        <v>36.477381366681485</v>
      </c>
      <c r="Y134" s="199">
        <f t="shared" si="62"/>
        <v>0.34202014332566538</v>
      </c>
      <c r="AA134" s="457">
        <f t="shared" si="49"/>
        <v>2.445632601482224E-92</v>
      </c>
      <c r="AB134" s="55">
        <f t="shared" si="50"/>
        <v>0.10576362185910672</v>
      </c>
      <c r="AC134" s="55">
        <f t="shared" si="51"/>
        <v>0.85722631250724179</v>
      </c>
      <c r="AD134" s="55">
        <f t="shared" si="32"/>
        <v>0.9629899343663485</v>
      </c>
      <c r="AE134" s="54">
        <f t="shared" si="52"/>
        <v>4814.9496718317423</v>
      </c>
      <c r="AF134" s="54">
        <f t="shared" si="53"/>
        <v>52.88181092955336</v>
      </c>
      <c r="AG134" s="54">
        <f t="shared" si="54"/>
        <v>428.6131562536209</v>
      </c>
    </row>
    <row r="135" spans="2:33" ht="11.1" customHeight="1" x14ac:dyDescent="0.15">
      <c r="B135" s="190">
        <v>70</v>
      </c>
      <c r="C135" s="191">
        <v>43070</v>
      </c>
      <c r="D135" s="192">
        <v>4770.28</v>
      </c>
      <c r="E135" s="193">
        <v>43070</v>
      </c>
      <c r="F135" s="190">
        <v>13</v>
      </c>
      <c r="G135" s="190">
        <v>120</v>
      </c>
      <c r="H135" s="194">
        <f t="shared" ref="H135:H150" si="64">G135+F135</f>
        <v>133</v>
      </c>
      <c r="I135" s="205">
        <v>0.82712394925620403</v>
      </c>
      <c r="J135" s="197">
        <v>4.3915956224597927</v>
      </c>
      <c r="K135" s="197">
        <f t="shared" si="63"/>
        <v>5.2187195717159964</v>
      </c>
      <c r="L135" s="186"/>
      <c r="M135" s="469">
        <f t="shared" si="47"/>
        <v>1.6913045792904673</v>
      </c>
      <c r="N135" s="197">
        <f t="shared" si="55"/>
        <v>20.492999999999999</v>
      </c>
      <c r="O135" s="194">
        <f t="shared" si="56"/>
        <v>15.054406522750332</v>
      </c>
      <c r="P135" s="471">
        <f t="shared" si="48"/>
        <v>11.350109644352496</v>
      </c>
      <c r="Q135" s="197">
        <f t="shared" si="57"/>
        <v>101.44538461538461</v>
      </c>
      <c r="R135" s="187">
        <f t="shared" si="58"/>
        <v>76.543721190423028</v>
      </c>
      <c r="S135" s="124"/>
      <c r="T135" s="173">
        <v>310</v>
      </c>
      <c r="U135" s="199">
        <f t="shared" si="59"/>
        <v>5.4105206811824216</v>
      </c>
      <c r="V135" s="200">
        <f t="shared" si="60"/>
        <v>0.64278760968653925</v>
      </c>
      <c r="W135" s="174">
        <v>2120</v>
      </c>
      <c r="X135" s="199">
        <f t="shared" si="61"/>
        <v>37.000980142279786</v>
      </c>
      <c r="Y135" s="199">
        <f t="shared" si="62"/>
        <v>0.76604444311897757</v>
      </c>
      <c r="AA135" s="457">
        <f t="shared" si="49"/>
        <v>6.6901493801027867E-93</v>
      </c>
      <c r="AB135" s="55">
        <f t="shared" si="50"/>
        <v>0.1043135773447055</v>
      </c>
      <c r="AC135" s="55">
        <f t="shared" si="51"/>
        <v>0.85641519367205443</v>
      </c>
      <c r="AD135" s="55">
        <f t="shared" si="32"/>
        <v>0.96072877101675991</v>
      </c>
      <c r="AE135" s="54">
        <f t="shared" si="52"/>
        <v>4803.6438550837993</v>
      </c>
      <c r="AF135" s="54">
        <f t="shared" si="53"/>
        <v>52.156788672352754</v>
      </c>
      <c r="AG135" s="54">
        <f t="shared" si="54"/>
        <v>428.20759683602722</v>
      </c>
    </row>
    <row r="136" spans="2:33" ht="11.1" customHeight="1" x14ac:dyDescent="0.15">
      <c r="B136" s="190">
        <v>71</v>
      </c>
      <c r="C136" s="191">
        <v>43105</v>
      </c>
      <c r="D136" s="192">
        <v>4593.75</v>
      </c>
      <c r="E136" s="193">
        <v>43101</v>
      </c>
      <c r="F136" s="190">
        <v>11</v>
      </c>
      <c r="G136" s="190">
        <v>81</v>
      </c>
      <c r="H136" s="194">
        <f t="shared" si="64"/>
        <v>92</v>
      </c>
      <c r="I136" s="205">
        <v>0.80090527397176614</v>
      </c>
      <c r="J136" s="197">
        <v>4.3819058382034246</v>
      </c>
      <c r="K136" s="197">
        <f t="shared" si="63"/>
        <v>5.182811112175191</v>
      </c>
      <c r="L136" s="186"/>
      <c r="M136" s="469">
        <f t="shared" si="47"/>
        <v>1.556813495689898</v>
      </c>
      <c r="N136" s="197">
        <f t="shared" si="55"/>
        <v>20.494</v>
      </c>
      <c r="O136" s="194">
        <f t="shared" si="56"/>
        <v>13.604861923376793</v>
      </c>
      <c r="P136" s="471">
        <f t="shared" si="48"/>
        <v>10.701644960543659</v>
      </c>
      <c r="Q136" s="197">
        <f t="shared" si="57"/>
        <v>101.47538461538461</v>
      </c>
      <c r="R136" s="187">
        <f t="shared" si="58"/>
        <v>69.210734499811736</v>
      </c>
      <c r="S136" s="124"/>
      <c r="T136" s="173">
        <v>320</v>
      </c>
      <c r="U136" s="199">
        <f t="shared" si="59"/>
        <v>5.5850536063818543</v>
      </c>
      <c r="V136" s="200">
        <f t="shared" si="60"/>
        <v>0.76604444311897779</v>
      </c>
      <c r="W136" s="174">
        <v>2150</v>
      </c>
      <c r="X136" s="199">
        <f t="shared" si="61"/>
        <v>37.524578917878088</v>
      </c>
      <c r="Y136" s="199">
        <f t="shared" si="62"/>
        <v>0.98480775301220846</v>
      </c>
      <c r="AA136" s="457">
        <f t="shared" si="49"/>
        <v>3.249924071499541E-94</v>
      </c>
      <c r="AB136" s="55">
        <f t="shared" si="50"/>
        <v>0.10100698246903017</v>
      </c>
      <c r="AC136" s="55">
        <f t="shared" si="51"/>
        <v>0.85452556649005296</v>
      </c>
      <c r="AD136" s="55">
        <f t="shared" si="32"/>
        <v>0.95553254895908313</v>
      </c>
      <c r="AE136" s="54">
        <f t="shared" si="52"/>
        <v>4777.6627447954152</v>
      </c>
      <c r="AF136" s="54">
        <f t="shared" si="53"/>
        <v>50.503491234515089</v>
      </c>
      <c r="AG136" s="54">
        <f t="shared" si="54"/>
        <v>427.26278324502647</v>
      </c>
    </row>
    <row r="137" spans="2:33" ht="11.1" customHeight="1" x14ac:dyDescent="0.15">
      <c r="B137" s="190">
        <v>72</v>
      </c>
      <c r="C137" s="191">
        <v>43132</v>
      </c>
      <c r="D137" s="192">
        <v>3827.41</v>
      </c>
      <c r="E137" s="193">
        <v>43132</v>
      </c>
      <c r="F137" s="204">
        <v>5.5</v>
      </c>
      <c r="G137" s="190">
        <v>48</v>
      </c>
      <c r="H137" s="194">
        <f t="shared" si="64"/>
        <v>53.5</v>
      </c>
      <c r="I137" s="205">
        <v>0.78124868242318757</v>
      </c>
      <c r="J137" s="197">
        <v>4.3744454723852337</v>
      </c>
      <c r="K137" s="197">
        <f t="shared" si="63"/>
        <v>5.1556941548084216</v>
      </c>
      <c r="L137" s="186"/>
      <c r="M137" s="469">
        <f t="shared" si="47"/>
        <v>1.433017027234073</v>
      </c>
      <c r="N137" s="197">
        <f t="shared" si="55"/>
        <v>20.496749999999999</v>
      </c>
      <c r="O137" s="194">
        <f t="shared" si="56"/>
        <v>12.433899354904547</v>
      </c>
      <c r="P137" s="471">
        <f t="shared" si="48"/>
        <v>10.09022894492602</v>
      </c>
      <c r="Q137" s="197">
        <f t="shared" si="57"/>
        <v>101.50076923076924</v>
      </c>
      <c r="R137" s="187">
        <f t="shared" si="58"/>
        <v>63.270678548787757</v>
      </c>
      <c r="S137" s="124"/>
      <c r="T137" s="173">
        <v>330</v>
      </c>
      <c r="U137" s="199">
        <f t="shared" si="59"/>
        <v>5.7595865315812871</v>
      </c>
      <c r="V137" s="200">
        <f t="shared" si="60"/>
        <v>0.86602540378443837</v>
      </c>
      <c r="W137" s="174">
        <v>2180</v>
      </c>
      <c r="X137" s="199">
        <f t="shared" si="61"/>
        <v>38.048177693476383</v>
      </c>
      <c r="Y137" s="199">
        <f t="shared" si="62"/>
        <v>0.93969262078590898</v>
      </c>
      <c r="AA137" s="457">
        <f t="shared" si="49"/>
        <v>3.1517625754299171E-95</v>
      </c>
      <c r="AB137" s="55">
        <f t="shared" si="50"/>
        <v>9.8527971451781993E-2</v>
      </c>
      <c r="AC137" s="55">
        <f t="shared" si="51"/>
        <v>0.85307070334091117</v>
      </c>
      <c r="AD137" s="55">
        <f t="shared" si="32"/>
        <v>0.95159867479269322</v>
      </c>
      <c r="AE137" s="54">
        <f t="shared" si="52"/>
        <v>4757.9933739634653</v>
      </c>
      <c r="AF137" s="54">
        <f t="shared" si="53"/>
        <v>49.263985725890997</v>
      </c>
      <c r="AG137" s="54">
        <f t="shared" si="54"/>
        <v>426.53535167045561</v>
      </c>
    </row>
    <row r="138" spans="2:33" ht="11.1" customHeight="1" x14ac:dyDescent="0.15">
      <c r="B138" s="190">
        <v>73</v>
      </c>
      <c r="C138" s="191">
        <v>43160</v>
      </c>
      <c r="D138" s="192">
        <v>4817.8999999999996</v>
      </c>
      <c r="E138" s="193">
        <v>43160</v>
      </c>
      <c r="F138" s="197">
        <v>5.383998161135243</v>
      </c>
      <c r="G138" s="190">
        <v>51</v>
      </c>
      <c r="H138" s="194">
        <f t="shared" si="64"/>
        <v>56.383998161135246</v>
      </c>
      <c r="I138" s="205">
        <v>0.76137347733225669</v>
      </c>
      <c r="J138" s="197">
        <v>4.3667222123580673</v>
      </c>
      <c r="K138" s="197">
        <f t="shared" si="63"/>
        <v>5.1280956896903245</v>
      </c>
      <c r="L138" s="186"/>
      <c r="M138" s="469">
        <f t="shared" si="47"/>
        <v>1.3296843462713819</v>
      </c>
      <c r="N138" s="197">
        <f t="shared" si="55"/>
        <v>20.49680800091943</v>
      </c>
      <c r="O138" s="194">
        <f t="shared" si="56"/>
        <v>11.571395449043157</v>
      </c>
      <c r="P138" s="470">
        <f t="shared" si="48"/>
        <v>9.5680632186224521</v>
      </c>
      <c r="Q138" s="197">
        <f t="shared" si="57"/>
        <v>101.49846153846154</v>
      </c>
      <c r="R138" s="187">
        <f t="shared" si="58"/>
        <v>58.882327891800372</v>
      </c>
      <c r="S138" s="124"/>
      <c r="T138" s="173">
        <v>340</v>
      </c>
      <c r="U138" s="199">
        <f t="shared" si="59"/>
        <v>5.9341194567807207</v>
      </c>
      <c r="V138" s="200">
        <f t="shared" si="60"/>
        <v>0.93969262078590843</v>
      </c>
      <c r="W138" s="174">
        <v>2210</v>
      </c>
      <c r="X138" s="199">
        <f t="shared" si="61"/>
        <v>38.571776469074685</v>
      </c>
      <c r="Y138" s="199">
        <f t="shared" si="62"/>
        <v>0.64278760968653847</v>
      </c>
      <c r="AA138" s="457">
        <f t="shared" si="49"/>
        <v>2.803518420962351E-96</v>
      </c>
      <c r="AB138" s="55">
        <f t="shared" si="50"/>
        <v>9.6021389765495305E-2</v>
      </c>
      <c r="AC138" s="55">
        <f t="shared" si="51"/>
        <v>0.85156457258558427</v>
      </c>
      <c r="AD138" s="55">
        <f t="shared" si="32"/>
        <v>0.94758596235107961</v>
      </c>
      <c r="AE138" s="54">
        <f t="shared" si="52"/>
        <v>4737.9298117553972</v>
      </c>
      <c r="AF138" s="54">
        <f t="shared" si="53"/>
        <v>48.01069488274765</v>
      </c>
      <c r="AG138" s="54">
        <f t="shared" si="54"/>
        <v>425.78228629279215</v>
      </c>
    </row>
    <row r="139" spans="2:33" ht="11.1" customHeight="1" x14ac:dyDescent="0.15">
      <c r="B139" s="190">
        <v>74</v>
      </c>
      <c r="C139" s="206">
        <v>43192</v>
      </c>
      <c r="D139" s="207">
        <v>4824.92</v>
      </c>
      <c r="E139" s="193">
        <v>43191</v>
      </c>
      <c r="F139" s="208">
        <v>11</v>
      </c>
      <c r="G139" s="208">
        <v>100</v>
      </c>
      <c r="H139" s="194">
        <f t="shared" si="64"/>
        <v>111</v>
      </c>
      <c r="I139" s="205">
        <v>0.73927734339943607</v>
      </c>
      <c r="J139" s="197">
        <v>4.3579123248744986</v>
      </c>
      <c r="K139" s="197">
        <f t="shared" si="63"/>
        <v>5.097189668273935</v>
      </c>
      <c r="L139" s="186"/>
      <c r="M139" s="469">
        <f t="shared" si="47"/>
        <v>1.2239489921746196</v>
      </c>
      <c r="N139" s="197">
        <f t="shared" si="55"/>
        <v>20.494</v>
      </c>
      <c r="O139" s="194">
        <f t="shared" si="56"/>
        <v>19.832307859597382</v>
      </c>
      <c r="P139" s="470">
        <f t="shared" si="48"/>
        <v>9.0214120157581537</v>
      </c>
      <c r="Q139" s="197">
        <f t="shared" si="57"/>
        <v>101.46076923076923</v>
      </c>
      <c r="R139" s="187">
        <f t="shared" si="58"/>
        <v>100.88966652746389</v>
      </c>
      <c r="S139" s="124"/>
      <c r="T139" s="198">
        <v>80</v>
      </c>
      <c r="U139" s="199">
        <f t="shared" si="59"/>
        <v>1.3962634015954636</v>
      </c>
      <c r="V139" s="200">
        <f t="shared" si="60"/>
        <v>0.17364817766693041</v>
      </c>
      <c r="W139" s="201">
        <v>2240</v>
      </c>
      <c r="X139" s="199">
        <f t="shared" si="61"/>
        <v>39.095375244672979</v>
      </c>
      <c r="Y139" s="199">
        <f t="shared" si="62"/>
        <v>0.17364817766693341</v>
      </c>
      <c r="AA139" s="457">
        <f t="shared" si="49"/>
        <v>1.7649479157190437E-97</v>
      </c>
      <c r="AB139" s="55">
        <f t="shared" si="50"/>
        <v>9.323471338151082E-2</v>
      </c>
      <c r="AC139" s="55">
        <f t="shared" si="51"/>
        <v>0.84984653610315353</v>
      </c>
      <c r="AD139" s="55">
        <f t="shared" si="32"/>
        <v>0.94308124948466432</v>
      </c>
      <c r="AE139" s="54">
        <f t="shared" si="52"/>
        <v>4715.4062474233215</v>
      </c>
      <c r="AF139" s="54">
        <f t="shared" si="53"/>
        <v>46.617356690755408</v>
      </c>
      <c r="AG139" s="54">
        <f t="shared" si="54"/>
        <v>424.92326805157677</v>
      </c>
    </row>
    <row r="140" spans="2:33" ht="11.1" customHeight="1" x14ac:dyDescent="0.15">
      <c r="B140" s="190">
        <v>75</v>
      </c>
      <c r="C140" s="206">
        <v>43221</v>
      </c>
      <c r="D140" s="207">
        <v>5632.88</v>
      </c>
      <c r="E140" s="193">
        <v>43221</v>
      </c>
      <c r="F140" s="208">
        <v>14</v>
      </c>
      <c r="G140" s="208">
        <v>130</v>
      </c>
      <c r="H140" s="194">
        <f t="shared" si="64"/>
        <v>144</v>
      </c>
      <c r="I140" s="205">
        <v>0.7198071301354998</v>
      </c>
      <c r="J140" s="197">
        <v>4.3499437179500173</v>
      </c>
      <c r="K140" s="197">
        <f t="shared" si="63"/>
        <v>5.0697508480855173</v>
      </c>
      <c r="L140" s="186"/>
      <c r="M140" s="469">
        <f t="shared" si="47"/>
        <v>1.1296369671787794</v>
      </c>
      <c r="N140" s="197">
        <f t="shared" si="55"/>
        <v>20.4925</v>
      </c>
      <c r="O140" s="194">
        <f t="shared" si="56"/>
        <v>29.903895903211147</v>
      </c>
      <c r="P140" s="470">
        <f t="shared" si="48"/>
        <v>8.5221500704591477</v>
      </c>
      <c r="Q140" s="197">
        <f t="shared" si="57"/>
        <v>101.43769230769232</v>
      </c>
      <c r="R140" s="187">
        <f t="shared" si="58"/>
        <v>152.07690548816228</v>
      </c>
      <c r="S140" s="124"/>
      <c r="T140" s="198">
        <v>140</v>
      </c>
      <c r="U140" s="199">
        <f t="shared" si="59"/>
        <v>2.4434609527920612</v>
      </c>
      <c r="V140" s="200">
        <f t="shared" si="60"/>
        <v>-0.7660444431189779</v>
      </c>
      <c r="W140" s="201">
        <v>2270</v>
      </c>
      <c r="X140" s="199">
        <f t="shared" si="61"/>
        <v>39.618974020271281</v>
      </c>
      <c r="Y140" s="199">
        <f t="shared" si="62"/>
        <v>-0.3420201433256686</v>
      </c>
      <c r="AA140" s="457">
        <f t="shared" si="49"/>
        <v>1.4399633992900869E-98</v>
      </c>
      <c r="AB140" s="55">
        <f t="shared" si="50"/>
        <v>9.0779207651019156E-2</v>
      </c>
      <c r="AC140" s="55">
        <f t="shared" si="51"/>
        <v>0.84829255968337014</v>
      </c>
      <c r="AD140" s="55">
        <f t="shared" si="32"/>
        <v>0.93907176733438935</v>
      </c>
      <c r="AE140" s="54">
        <f t="shared" si="52"/>
        <v>4695.3588366719468</v>
      </c>
      <c r="AF140" s="54">
        <f t="shared" si="53"/>
        <v>45.389603825509575</v>
      </c>
      <c r="AG140" s="54">
        <f t="shared" si="54"/>
        <v>424.14627984168504</v>
      </c>
    </row>
    <row r="141" spans="2:33" ht="11.1" customHeight="1" x14ac:dyDescent="0.15">
      <c r="B141" s="190">
        <v>76</v>
      </c>
      <c r="C141" s="206">
        <v>43252</v>
      </c>
      <c r="D141" s="207">
        <v>5064.37</v>
      </c>
      <c r="E141" s="193">
        <v>43252</v>
      </c>
      <c r="F141" s="208">
        <v>16</v>
      </c>
      <c r="G141" s="208">
        <v>170</v>
      </c>
      <c r="H141" s="194">
        <f t="shared" si="64"/>
        <v>186</v>
      </c>
      <c r="I141" s="205">
        <v>0.69956084760176518</v>
      </c>
      <c r="J141" s="197">
        <v>4.3414416641334208</v>
      </c>
      <c r="K141" s="197">
        <f t="shared" si="63"/>
        <v>5.0410025117351864</v>
      </c>
      <c r="L141" s="186"/>
      <c r="M141" s="469">
        <f t="shared" si="47"/>
        <v>1.0398092083874737</v>
      </c>
      <c r="N141" s="197">
        <f t="shared" si="55"/>
        <v>20.491499999999998</v>
      </c>
      <c r="O141" s="194">
        <f t="shared" si="56"/>
        <v>32.296963812581211</v>
      </c>
      <c r="P141" s="470">
        <f t="shared" si="48"/>
        <v>8.0352549193130525</v>
      </c>
      <c r="Q141" s="197">
        <f t="shared" si="57"/>
        <v>101.40692307692308</v>
      </c>
      <c r="R141" s="187">
        <f t="shared" si="58"/>
        <v>164.16326699435419</v>
      </c>
      <c r="S141" s="124"/>
      <c r="T141" s="198">
        <v>180</v>
      </c>
      <c r="U141" s="199">
        <f t="shared" si="59"/>
        <v>3.1415926535897931</v>
      </c>
      <c r="V141" s="200">
        <f t="shared" si="60"/>
        <v>-1</v>
      </c>
      <c r="W141" s="201">
        <v>2300</v>
      </c>
      <c r="X141" s="199">
        <f t="shared" si="61"/>
        <v>40.142572795869583</v>
      </c>
      <c r="Y141" s="199">
        <f t="shared" si="62"/>
        <v>-0.76604444311897979</v>
      </c>
      <c r="AA141" s="457">
        <f t="shared" si="49"/>
        <v>9.8834892243628632E-100</v>
      </c>
      <c r="AB141" s="55">
        <f t="shared" si="50"/>
        <v>8.8225827155961931E-2</v>
      </c>
      <c r="AC141" s="55">
        <f t="shared" si="51"/>
        <v>0.84663455455450265</v>
      </c>
      <c r="AD141" s="55">
        <f t="shared" si="32"/>
        <v>0.93486038171046459</v>
      </c>
      <c r="AE141" s="54">
        <f t="shared" si="52"/>
        <v>4674.3019085523229</v>
      </c>
      <c r="AF141" s="54">
        <f t="shared" si="53"/>
        <v>44.112913577980969</v>
      </c>
      <c r="AG141" s="54">
        <f t="shared" si="54"/>
        <v>423.31727727725132</v>
      </c>
    </row>
    <row r="142" spans="2:33" ht="11.1" customHeight="1" x14ac:dyDescent="0.15">
      <c r="B142" s="190">
        <v>77</v>
      </c>
      <c r="C142" s="206">
        <v>43283</v>
      </c>
      <c r="D142" s="207">
        <v>5485.96</v>
      </c>
      <c r="E142" s="193">
        <v>43282</v>
      </c>
      <c r="F142" s="208">
        <v>12</v>
      </c>
      <c r="G142" s="208">
        <v>130</v>
      </c>
      <c r="H142" s="194">
        <f t="shared" si="64"/>
        <v>142</v>
      </c>
      <c r="I142" s="205">
        <v>0.6798840397776782</v>
      </c>
      <c r="J142" s="197">
        <v>4.3329562277546092</v>
      </c>
      <c r="K142" s="197">
        <f t="shared" si="63"/>
        <v>5.0128402675322876</v>
      </c>
      <c r="L142" s="186"/>
      <c r="M142" s="469">
        <f t="shared" si="47"/>
        <v>0.95968617002612333</v>
      </c>
      <c r="N142" s="197">
        <f t="shared" si="55"/>
        <v>20.493500000000001</v>
      </c>
      <c r="O142" s="194">
        <f t="shared" si="56"/>
        <v>30.742688277705927</v>
      </c>
      <c r="P142" s="470">
        <f t="shared" si="48"/>
        <v>7.5905687665265305</v>
      </c>
      <c r="Q142" s="197">
        <f t="shared" si="57"/>
        <v>101.43769230769232</v>
      </c>
      <c r="R142" s="187">
        <f t="shared" si="58"/>
        <v>156.23888298457661</v>
      </c>
      <c r="S142" s="124"/>
      <c r="T142" s="198">
        <v>210</v>
      </c>
      <c r="U142" s="199">
        <f t="shared" si="59"/>
        <v>3.6651914291880923</v>
      </c>
      <c r="V142" s="200">
        <f t="shared" si="60"/>
        <v>-0.8660254037844386</v>
      </c>
      <c r="W142" s="201">
        <v>2330</v>
      </c>
      <c r="X142" s="199">
        <f t="shared" si="61"/>
        <v>40.666171571467878</v>
      </c>
      <c r="Y142" s="199">
        <f t="shared" si="62"/>
        <v>-0.9848077530122078</v>
      </c>
      <c r="AA142" s="457">
        <f t="shared" si="49"/>
        <v>6.7837390378292048E-101</v>
      </c>
      <c r="AB142" s="55">
        <f t="shared" si="50"/>
        <v>8.5744266542585199E-2</v>
      </c>
      <c r="AC142" s="55">
        <f t="shared" si="51"/>
        <v>0.84497979003051371</v>
      </c>
      <c r="AD142" s="55">
        <f t="shared" si="32"/>
        <v>0.93072405657309887</v>
      </c>
      <c r="AE142" s="54">
        <f t="shared" si="52"/>
        <v>4653.6202828654941</v>
      </c>
      <c r="AF142" s="54">
        <f t="shared" si="53"/>
        <v>42.872133271292597</v>
      </c>
      <c r="AG142" s="54">
        <f t="shared" si="54"/>
        <v>422.48989501525688</v>
      </c>
    </row>
    <row r="143" spans="2:33" ht="11.1" customHeight="1" x14ac:dyDescent="0.15">
      <c r="B143" s="190">
        <v>78</v>
      </c>
      <c r="C143" s="206">
        <v>43313</v>
      </c>
      <c r="D143" s="207">
        <v>5456.73</v>
      </c>
      <c r="E143" s="193">
        <v>43313</v>
      </c>
      <c r="F143" s="208">
        <v>10</v>
      </c>
      <c r="G143" s="208">
        <v>120</v>
      </c>
      <c r="H143" s="194">
        <f t="shared" si="64"/>
        <v>130</v>
      </c>
      <c r="I143" s="205">
        <v>0.66136909290792134</v>
      </c>
      <c r="J143" s="197">
        <v>4.3247603065516662</v>
      </c>
      <c r="K143" s="197">
        <f t="shared" si="63"/>
        <v>4.9861293994595872</v>
      </c>
      <c r="L143" s="186"/>
      <c r="M143" s="469">
        <f t="shared" si="47"/>
        <v>0.88337275226346323</v>
      </c>
      <c r="N143" s="197">
        <f t="shared" si="55"/>
        <v>20.494499999999999</v>
      </c>
      <c r="O143" s="194">
        <f t="shared" si="56"/>
        <v>26.722340940329332</v>
      </c>
      <c r="P143" s="470">
        <f t="shared" si="48"/>
        <v>7.156897557229974</v>
      </c>
      <c r="Q143" s="197">
        <f t="shared" si="57"/>
        <v>101.44538461538461</v>
      </c>
      <c r="R143" s="187">
        <f t="shared" si="58"/>
        <v>135.75285271576826</v>
      </c>
      <c r="S143" s="124"/>
      <c r="T143" s="198">
        <v>240</v>
      </c>
      <c r="U143" s="199">
        <f t="shared" si="59"/>
        <v>4.1887902047863905</v>
      </c>
      <c r="V143" s="200">
        <f t="shared" si="60"/>
        <v>-0.50000000000000044</v>
      </c>
      <c r="W143" s="201">
        <v>2360</v>
      </c>
      <c r="X143" s="199">
        <f t="shared" si="61"/>
        <v>41.18977034706618</v>
      </c>
      <c r="Y143" s="199">
        <f t="shared" si="62"/>
        <v>-0.93969262078590787</v>
      </c>
      <c r="AA143" s="457">
        <f t="shared" si="49"/>
        <v>5.0764291876759592E-102</v>
      </c>
      <c r="AB143" s="55">
        <f t="shared" si="50"/>
        <v>8.3409235204091992E-2</v>
      </c>
      <c r="AC143" s="55">
        <f t="shared" si="51"/>
        <v>0.8433814845288774</v>
      </c>
      <c r="AD143" s="55">
        <f t="shared" si="32"/>
        <v>0.92679071973296945</v>
      </c>
      <c r="AE143" s="54">
        <f t="shared" si="52"/>
        <v>4633.953598664847</v>
      </c>
      <c r="AF143" s="54">
        <f t="shared" si="53"/>
        <v>41.704617602045992</v>
      </c>
      <c r="AG143" s="54">
        <f t="shared" si="54"/>
        <v>421.69074226443871</v>
      </c>
    </row>
    <row r="144" spans="2:33" ht="11.1" customHeight="1" x14ac:dyDescent="0.15">
      <c r="B144" s="190">
        <v>79</v>
      </c>
      <c r="C144" s="209">
        <v>43346</v>
      </c>
      <c r="D144" s="210">
        <v>4753.95</v>
      </c>
      <c r="E144" s="193">
        <v>43344</v>
      </c>
      <c r="F144" s="190">
        <v>10</v>
      </c>
      <c r="G144" s="190">
        <v>110</v>
      </c>
      <c r="H144" s="194">
        <f t="shared" si="64"/>
        <v>120</v>
      </c>
      <c r="I144" s="205">
        <v>0.64158448016529346</v>
      </c>
      <c r="J144" s="197">
        <v>4.3157626978784345</v>
      </c>
      <c r="K144" s="197">
        <f t="shared" si="63"/>
        <v>4.9573471780437277</v>
      </c>
      <c r="L144" s="186"/>
      <c r="M144" s="469">
        <f t="shared" si="47"/>
        <v>0.81312771176048626</v>
      </c>
      <c r="N144" s="197">
        <f t="shared" si="55"/>
        <v>20.494499999999999</v>
      </c>
      <c r="O144" s="194">
        <f t="shared" si="56"/>
        <v>24.951446653713639</v>
      </c>
      <c r="P144" s="470">
        <f t="shared" si="48"/>
        <v>6.7480032419393199</v>
      </c>
      <c r="Q144" s="197">
        <f t="shared" si="57"/>
        <v>101.45307692307692</v>
      </c>
      <c r="R144" s="187">
        <f t="shared" si="58"/>
        <v>126.70455463803174</v>
      </c>
      <c r="S144" s="124"/>
      <c r="T144" s="198">
        <v>250</v>
      </c>
      <c r="U144" s="199">
        <f t="shared" si="59"/>
        <v>4.3633231299858242</v>
      </c>
      <c r="V144" s="200">
        <f t="shared" si="60"/>
        <v>-0.34202014332566855</v>
      </c>
      <c r="W144" s="201">
        <v>2390</v>
      </c>
      <c r="X144" s="199">
        <f t="shared" si="61"/>
        <v>41.713369122664474</v>
      </c>
      <c r="Y144" s="199">
        <f t="shared" si="62"/>
        <v>-0.64278760968654136</v>
      </c>
      <c r="AA144" s="457">
        <f t="shared" si="49"/>
        <v>2.9312742447366145E-103</v>
      </c>
      <c r="AB144" s="55">
        <f t="shared" si="50"/>
        <v>8.0914078663867225E-2</v>
      </c>
      <c r="AC144" s="55">
        <f t="shared" si="51"/>
        <v>0.84162684010418065</v>
      </c>
      <c r="AD144" s="55">
        <f t="shared" si="32"/>
        <v>0.92254091876804789</v>
      </c>
      <c r="AE144" s="54">
        <f t="shared" si="52"/>
        <v>4612.7045938402398</v>
      </c>
      <c r="AF144" s="54">
        <f t="shared" si="53"/>
        <v>40.457039331933615</v>
      </c>
      <c r="AG144" s="54">
        <f t="shared" si="54"/>
        <v>420.81342005209035</v>
      </c>
    </row>
    <row r="145" spans="2:33" ht="11.1" customHeight="1" x14ac:dyDescent="0.15">
      <c r="B145" s="211">
        <v>80</v>
      </c>
      <c r="C145" s="212">
        <v>43374</v>
      </c>
      <c r="D145" s="213">
        <v>5340.29</v>
      </c>
      <c r="E145" s="193">
        <v>43374</v>
      </c>
      <c r="F145" s="211">
        <v>10</v>
      </c>
      <c r="G145" s="211">
        <v>100</v>
      </c>
      <c r="H145" s="194">
        <f t="shared" si="64"/>
        <v>110</v>
      </c>
      <c r="I145" s="205">
        <v>0.62526237503624293</v>
      </c>
      <c r="J145" s="208">
        <v>10</v>
      </c>
      <c r="K145" s="197">
        <f t="shared" si="63"/>
        <v>10.625262375036243</v>
      </c>
      <c r="L145" s="186"/>
      <c r="M145" s="469">
        <f t="shared" si="47"/>
        <v>0.75047173380170507</v>
      </c>
      <c r="N145" s="197">
        <f t="shared" si="55"/>
        <v>20.494499999999999</v>
      </c>
      <c r="O145" s="194">
        <f t="shared" si="56"/>
        <v>23.089547046881762</v>
      </c>
      <c r="P145" s="470">
        <f t="shared" si="48"/>
        <v>6.3745560233032865</v>
      </c>
      <c r="Q145" s="197">
        <f t="shared" si="57"/>
        <v>101.46076923076923</v>
      </c>
      <c r="R145" s="187">
        <f t="shared" si="58"/>
        <v>117.19802911331773</v>
      </c>
      <c r="S145" s="124"/>
      <c r="T145" s="198">
        <v>260</v>
      </c>
      <c r="U145" s="199">
        <f t="shared" si="59"/>
        <v>4.5378560551852569</v>
      </c>
      <c r="V145" s="200">
        <f t="shared" si="60"/>
        <v>-0.17364817766693033</v>
      </c>
      <c r="W145" s="201">
        <v>2420</v>
      </c>
      <c r="X145" s="199">
        <f t="shared" si="61"/>
        <v>42.236967898262776</v>
      </c>
      <c r="Y145" s="199">
        <f t="shared" si="62"/>
        <v>-0.17364817766693003</v>
      </c>
      <c r="AA145" s="457">
        <f t="shared" si="49"/>
        <v>2.6073922591998772E-104</v>
      </c>
      <c r="AB145" s="55">
        <f t="shared" si="50"/>
        <v>7.8855599789765293E-2</v>
      </c>
      <c r="AC145" s="55">
        <f t="shared" si="51"/>
        <v>0.84014091395125434</v>
      </c>
      <c r="AD145" s="55">
        <f t="shared" si="32"/>
        <v>0.91899651374101965</v>
      </c>
      <c r="AE145" s="54">
        <f t="shared" si="52"/>
        <v>4594.9825687050979</v>
      </c>
      <c r="AF145" s="54">
        <f t="shared" si="53"/>
        <v>39.427799894882646</v>
      </c>
      <c r="AG145" s="54">
        <f t="shared" si="54"/>
        <v>420.07045697562717</v>
      </c>
    </row>
    <row r="146" spans="2:33" ht="11.1" customHeight="1" x14ac:dyDescent="0.15">
      <c r="B146" s="211">
        <v>81</v>
      </c>
      <c r="C146" s="212">
        <v>43405</v>
      </c>
      <c r="D146" s="213">
        <v>4995.25</v>
      </c>
      <c r="E146" s="193">
        <v>43405</v>
      </c>
      <c r="F146" s="197">
        <v>4.2971331004994537</v>
      </c>
      <c r="G146" s="211">
        <v>80</v>
      </c>
      <c r="H146" s="194">
        <f t="shared" si="64"/>
        <v>84.297133100499451</v>
      </c>
      <c r="I146" s="205">
        <v>0.60767538794941778</v>
      </c>
      <c r="J146" s="197">
        <v>4.2997226911108672</v>
      </c>
      <c r="K146" s="197">
        <f t="shared" si="63"/>
        <v>4.9073980790602851</v>
      </c>
      <c r="L146" s="186"/>
      <c r="M146" s="469">
        <f t="shared" si="47"/>
        <v>0.69079486783299171</v>
      </c>
      <c r="N146" s="197">
        <f t="shared" si="55"/>
        <v>20.497351433449747</v>
      </c>
      <c r="O146" s="194">
        <f t="shared" si="56"/>
        <v>19.348504804603714</v>
      </c>
      <c r="P146" s="470">
        <f t="shared" si="48"/>
        <v>6.0103591489471091</v>
      </c>
      <c r="Q146" s="197">
        <f t="shared" si="57"/>
        <v>101.47615384615385</v>
      </c>
      <c r="R146" s="187">
        <f t="shared" si="58"/>
        <v>98.154094442414916</v>
      </c>
      <c r="S146" s="124"/>
      <c r="T146" s="198">
        <v>280</v>
      </c>
      <c r="U146" s="199">
        <f t="shared" si="59"/>
        <v>4.8869219055841224</v>
      </c>
      <c r="V146" s="200">
        <f t="shared" si="60"/>
        <v>0.17364817766692997</v>
      </c>
      <c r="W146" s="201">
        <v>2450</v>
      </c>
      <c r="X146" s="199">
        <f t="shared" si="61"/>
        <v>42.760566673861071</v>
      </c>
      <c r="Y146" s="199">
        <f t="shared" si="62"/>
        <v>0.3420201433256651</v>
      </c>
      <c r="AA146" s="457">
        <f t="shared" si="49"/>
        <v>1.7896380776200657E-105</v>
      </c>
      <c r="AB146" s="55">
        <f t="shared" si="50"/>
        <v>7.6637599042245416E-2</v>
      </c>
      <c r="AC146" s="55">
        <f t="shared" si="51"/>
        <v>0.83849884138041575</v>
      </c>
      <c r="AD146" s="55">
        <f t="shared" si="32"/>
        <v>0.91513644042266118</v>
      </c>
      <c r="AE146" s="54">
        <f t="shared" si="52"/>
        <v>4575.6822021133057</v>
      </c>
      <c r="AF146" s="54">
        <f t="shared" si="53"/>
        <v>38.318799521122706</v>
      </c>
      <c r="AG146" s="54">
        <f t="shared" si="54"/>
        <v>419.2494206902079</v>
      </c>
    </row>
    <row r="147" spans="2:33" ht="11.1" customHeight="1" x14ac:dyDescent="0.15">
      <c r="B147" s="211">
        <v>82</v>
      </c>
      <c r="C147" s="212">
        <v>43437</v>
      </c>
      <c r="D147" s="213">
        <v>4635.78</v>
      </c>
      <c r="E147" s="193">
        <v>43435</v>
      </c>
      <c r="F147" s="211">
        <v>20</v>
      </c>
      <c r="G147" s="211">
        <v>180</v>
      </c>
      <c r="H147" s="194">
        <f t="shared" si="64"/>
        <v>200</v>
      </c>
      <c r="I147" s="205">
        <v>0.59003978970549642</v>
      </c>
      <c r="J147" s="208">
        <v>10</v>
      </c>
      <c r="K147" s="197">
        <f t="shared" si="63"/>
        <v>10.590039789705497</v>
      </c>
      <c r="L147" s="186"/>
      <c r="M147" s="469">
        <f t="shared" si="47"/>
        <v>0.63756531067121125</v>
      </c>
      <c r="N147" s="197">
        <f t="shared" si="55"/>
        <v>20.4895</v>
      </c>
      <c r="O147" s="194">
        <f t="shared" si="56"/>
        <v>14.336957405302336</v>
      </c>
      <c r="P147" s="470">
        <f t="shared" si="48"/>
        <v>5.6777345447934104</v>
      </c>
      <c r="Q147" s="197">
        <f t="shared" si="57"/>
        <v>101.39923076923077</v>
      </c>
      <c r="R147" s="187">
        <f t="shared" si="58"/>
        <v>72.663092020679144</v>
      </c>
      <c r="S147" s="124"/>
      <c r="T147" s="198">
        <v>310</v>
      </c>
      <c r="U147" s="199">
        <f t="shared" si="59"/>
        <v>5.4105206811824216</v>
      </c>
      <c r="V147" s="200">
        <f t="shared" si="60"/>
        <v>0.64278760968653925</v>
      </c>
      <c r="W147" s="201">
        <v>2480</v>
      </c>
      <c r="X147" s="199">
        <f t="shared" si="61"/>
        <v>43.284165449459373</v>
      </c>
      <c r="Y147" s="199">
        <f t="shared" si="62"/>
        <v>0.76604444311897746</v>
      </c>
      <c r="AA147" s="457">
        <f t="shared" si="49"/>
        <v>1.1266621154937216E-106</v>
      </c>
      <c r="AB147" s="55">
        <f t="shared" si="50"/>
        <v>7.4413467649251983E-2</v>
      </c>
      <c r="AC147" s="55">
        <f t="shared" si="51"/>
        <v>0.83680716508675124</v>
      </c>
      <c r="AD147" s="55">
        <f t="shared" si="32"/>
        <v>0.91122063273600318</v>
      </c>
      <c r="AE147" s="54">
        <f t="shared" si="52"/>
        <v>4556.1031636800162</v>
      </c>
      <c r="AF147" s="54">
        <f t="shared" si="53"/>
        <v>37.206733824625992</v>
      </c>
      <c r="AG147" s="54">
        <f t="shared" si="54"/>
        <v>418.40358254337559</v>
      </c>
    </row>
    <row r="148" spans="2:33" ht="11.1" customHeight="1" x14ac:dyDescent="0.15">
      <c r="B148" s="211">
        <v>83</v>
      </c>
      <c r="C148" s="212">
        <v>43472</v>
      </c>
      <c r="D148" s="213">
        <v>4784.4399999999996</v>
      </c>
      <c r="E148" s="193">
        <v>43466</v>
      </c>
      <c r="F148" s="211">
        <v>20</v>
      </c>
      <c r="G148" s="211">
        <v>200</v>
      </c>
      <c r="H148" s="194">
        <f t="shared" si="64"/>
        <v>220</v>
      </c>
      <c r="I148" s="205">
        <v>0.57133635152661433</v>
      </c>
      <c r="J148" s="197">
        <v>4.2815800434622098</v>
      </c>
      <c r="K148" s="197">
        <f t="shared" si="63"/>
        <v>4.8529163949888243</v>
      </c>
      <c r="L148" s="186"/>
      <c r="M148" s="469">
        <f t="shared" si="47"/>
        <v>0.58686666623528294</v>
      </c>
      <c r="N148" s="197">
        <f t="shared" si="55"/>
        <v>20.4895</v>
      </c>
      <c r="O148" s="194">
        <f t="shared" si="56"/>
        <v>13.003649883331486</v>
      </c>
      <c r="P148" s="470">
        <f t="shared" si="48"/>
        <v>5.3533491025636142</v>
      </c>
      <c r="Q148" s="197">
        <f t="shared" si="57"/>
        <v>101.38384615384615</v>
      </c>
      <c r="R148" s="187">
        <f t="shared" si="58"/>
        <v>65.854477606270748</v>
      </c>
      <c r="S148" s="124"/>
      <c r="T148" s="198">
        <v>320</v>
      </c>
      <c r="U148" s="199">
        <f t="shared" si="59"/>
        <v>5.5850536063818543</v>
      </c>
      <c r="V148" s="200">
        <f t="shared" si="60"/>
        <v>0.76604444311897779</v>
      </c>
      <c r="W148" s="201">
        <v>2510</v>
      </c>
      <c r="X148" s="199">
        <f t="shared" si="61"/>
        <v>43.807764225057674</v>
      </c>
      <c r="Y148" s="199">
        <f t="shared" si="62"/>
        <v>0.98480775301220846</v>
      </c>
      <c r="AA148" s="457">
        <f t="shared" si="49"/>
        <v>5.473071110309782E-108</v>
      </c>
      <c r="AB148" s="55">
        <f t="shared" si="50"/>
        <v>7.2054664537772484E-2</v>
      </c>
      <c r="AC148" s="55">
        <f t="shared" si="51"/>
        <v>0.83496080180767218</v>
      </c>
      <c r="AD148" s="55">
        <f t="shared" si="32"/>
        <v>0.90701546634544461</v>
      </c>
      <c r="AE148" s="54">
        <f t="shared" si="52"/>
        <v>4535.0773317272233</v>
      </c>
      <c r="AF148" s="54">
        <f t="shared" si="53"/>
        <v>36.027332268886241</v>
      </c>
      <c r="AG148" s="54">
        <f t="shared" si="54"/>
        <v>417.48040090383608</v>
      </c>
    </row>
    <row r="149" spans="2:33" ht="11.1" customHeight="1" x14ac:dyDescent="0.15">
      <c r="B149" s="211">
        <v>84</v>
      </c>
      <c r="C149" s="212">
        <v>43504</v>
      </c>
      <c r="D149" s="213">
        <v>3914.93</v>
      </c>
      <c r="E149" s="193">
        <v>43497</v>
      </c>
      <c r="F149" s="211">
        <v>20</v>
      </c>
      <c r="G149" s="211">
        <v>200</v>
      </c>
      <c r="H149" s="194">
        <f t="shared" si="64"/>
        <v>220</v>
      </c>
      <c r="I149" s="205">
        <v>0.55475536345719156</v>
      </c>
      <c r="J149" s="197">
        <v>4.2729419308000285</v>
      </c>
      <c r="K149" s="197">
        <f t="shared" si="63"/>
        <v>4.8276972942572201</v>
      </c>
      <c r="L149" s="186"/>
      <c r="M149" s="469">
        <f t="shared" si="47"/>
        <v>0.5401995343434336</v>
      </c>
      <c r="N149" s="197">
        <f t="shared" si="55"/>
        <v>20.4895</v>
      </c>
      <c r="O149" s="194">
        <f t="shared" si="56"/>
        <v>11.923572518995838</v>
      </c>
      <c r="P149" s="470">
        <f t="shared" si="48"/>
        <v>5.0474967414950562</v>
      </c>
      <c r="Q149" s="197">
        <f t="shared" si="57"/>
        <v>101.38384615384615</v>
      </c>
      <c r="R149" s="187">
        <f t="shared" si="58"/>
        <v>60.345219542212263</v>
      </c>
      <c r="S149" s="124"/>
      <c r="T149" s="198">
        <v>330</v>
      </c>
      <c r="U149" s="199">
        <f t="shared" si="59"/>
        <v>5.7595865315812871</v>
      </c>
      <c r="V149" s="200">
        <f t="shared" si="60"/>
        <v>0.86602540378443837</v>
      </c>
      <c r="W149" s="201">
        <v>2540</v>
      </c>
      <c r="X149" s="199">
        <f t="shared" si="61"/>
        <v>44.331363000655969</v>
      </c>
      <c r="Y149" s="199">
        <f t="shared" si="62"/>
        <v>0.93969262078590909</v>
      </c>
      <c r="AA149" s="457">
        <f t="shared" si="49"/>
        <v>3.4455580446685724E-109</v>
      </c>
      <c r="AB149" s="55">
        <f t="shared" si="50"/>
        <v>6.9963536378580937E-2</v>
      </c>
      <c r="AC149" s="55">
        <f t="shared" si="51"/>
        <v>0.83327626352944184</v>
      </c>
      <c r="AD149" s="55">
        <f t="shared" si="32"/>
        <v>0.90323979990802283</v>
      </c>
      <c r="AE149" s="54">
        <f t="shared" si="52"/>
        <v>4516.1989995401145</v>
      </c>
      <c r="AF149" s="54">
        <f t="shared" si="53"/>
        <v>34.98176818929047</v>
      </c>
      <c r="AG149" s="54">
        <f t="shared" si="54"/>
        <v>416.63813176472092</v>
      </c>
    </row>
    <row r="150" spans="2:33" ht="11.1" customHeight="1" x14ac:dyDescent="0.15">
      <c r="B150" s="211">
        <v>85</v>
      </c>
      <c r="C150" s="212">
        <v>43525</v>
      </c>
      <c r="D150" s="213">
        <v>4555.8599999999997</v>
      </c>
      <c r="E150" s="193">
        <v>43525</v>
      </c>
      <c r="F150" s="211">
        <v>10</v>
      </c>
      <c r="G150" s="211">
        <v>190</v>
      </c>
      <c r="H150" s="194">
        <f t="shared" si="64"/>
        <v>200</v>
      </c>
      <c r="I150" s="205">
        <v>0.54413648179486407</v>
      </c>
      <c r="J150" s="197">
        <v>4.2672826426226171</v>
      </c>
      <c r="K150" s="197">
        <f t="shared" si="63"/>
        <v>4.8114191244174815</v>
      </c>
      <c r="L150" s="186"/>
      <c r="M150" s="469">
        <f t="shared" si="47"/>
        <v>0.50124656652961386</v>
      </c>
      <c r="N150" s="197">
        <f t="shared" si="55"/>
        <v>20.494499999999999</v>
      </c>
      <c r="O150" s="194">
        <f t="shared" si="56"/>
        <v>11.130972508300136</v>
      </c>
      <c r="P150" s="470">
        <f t="shared" si="48"/>
        <v>4.7862905967759062</v>
      </c>
      <c r="Q150" s="197">
        <f t="shared" si="57"/>
        <v>101.39153846153846</v>
      </c>
      <c r="R150" s="187">
        <f t="shared" si="58"/>
        <v>56.290567829731557</v>
      </c>
      <c r="S150" s="124"/>
      <c r="T150" s="198">
        <v>340</v>
      </c>
      <c r="U150" s="199">
        <f t="shared" si="59"/>
        <v>5.9341194567807207</v>
      </c>
      <c r="V150" s="200">
        <f t="shared" si="60"/>
        <v>0.93969262078590843</v>
      </c>
      <c r="W150" s="201">
        <v>2570</v>
      </c>
      <c r="X150" s="199">
        <f t="shared" si="61"/>
        <v>44.854961776254271</v>
      </c>
      <c r="Y150" s="199">
        <f t="shared" si="62"/>
        <v>0.6427876096865387</v>
      </c>
      <c r="AA150" s="457">
        <f t="shared" si="49"/>
        <v>5.6120561851825648E-110</v>
      </c>
      <c r="AB150" s="55">
        <f t="shared" si="50"/>
        <v>6.8624325327330912E-2</v>
      </c>
      <c r="AC150" s="55">
        <f t="shared" si="51"/>
        <v>0.83217263268608332</v>
      </c>
      <c r="AD150" s="55">
        <f t="shared" si="32"/>
        <v>0.9007969580134142</v>
      </c>
      <c r="AE150" s="54">
        <f t="shared" si="52"/>
        <v>4503.9847900670711</v>
      </c>
      <c r="AF150" s="54">
        <f t="shared" si="53"/>
        <v>34.312162663665454</v>
      </c>
      <c r="AG150" s="54">
        <f t="shared" si="54"/>
        <v>416.08631634304169</v>
      </c>
    </row>
    <row r="151" spans="2:33" ht="11.1" customHeight="1" x14ac:dyDescent="0.15">
      <c r="B151" s="214">
        <v>86</v>
      </c>
      <c r="C151" s="215">
        <v>43556</v>
      </c>
      <c r="D151" s="215"/>
      <c r="E151" s="216"/>
      <c r="F151" s="214"/>
      <c r="G151" s="214"/>
      <c r="H151" s="217"/>
      <c r="I151" s="218"/>
      <c r="J151" s="219"/>
      <c r="K151" s="220"/>
      <c r="L151" s="186"/>
      <c r="M151" s="221"/>
      <c r="N151" s="148"/>
      <c r="O151" s="149"/>
      <c r="P151" s="222"/>
      <c r="Q151" s="148"/>
      <c r="R151" s="148"/>
      <c r="S151" s="124"/>
      <c r="T151" s="148"/>
      <c r="U151" s="158"/>
      <c r="V151" s="181"/>
      <c r="W151" s="160"/>
      <c r="X151" s="158"/>
      <c r="Y151" s="180"/>
      <c r="AA151" s="219"/>
      <c r="AB151" s="221"/>
      <c r="AC151" s="221"/>
      <c r="AD151" s="221"/>
      <c r="AE151" s="223"/>
      <c r="AF151" s="223"/>
      <c r="AG151" s="223"/>
    </row>
    <row r="152" spans="2:33" ht="11.1" customHeight="1" x14ac:dyDescent="0.15">
      <c r="B152" s="117"/>
      <c r="C152" s="117"/>
      <c r="D152" s="117"/>
      <c r="E152" s="117"/>
      <c r="F152" s="117"/>
      <c r="G152" s="117"/>
      <c r="H152" s="117"/>
      <c r="I152" s="117"/>
      <c r="J152" s="117"/>
      <c r="K152" s="117"/>
      <c r="M152" s="117"/>
      <c r="N152" s="117"/>
      <c r="O152" s="117"/>
      <c r="P152" s="117"/>
      <c r="Q152" s="117"/>
      <c r="R152" s="117"/>
      <c r="S152" s="117"/>
      <c r="X152" s="117"/>
      <c r="Y152" s="117"/>
      <c r="Z152" s="117"/>
      <c r="AA152" s="117"/>
      <c r="AB152" s="117"/>
      <c r="AC152" s="117"/>
      <c r="AD152" s="117"/>
    </row>
    <row r="153" spans="2:33" ht="11.1" customHeight="1" x14ac:dyDescent="0.15">
      <c r="F153" s="116"/>
      <c r="G153" s="116"/>
      <c r="H153" s="116"/>
      <c r="I153" s="116"/>
      <c r="M153" s="116"/>
      <c r="N153" s="117"/>
      <c r="O153" s="117"/>
      <c r="P153" s="116"/>
      <c r="Q153" s="117"/>
      <c r="R153" s="117"/>
      <c r="S153" s="124"/>
      <c r="W153" s="116"/>
      <c r="Y153" s="224"/>
      <c r="AA153" s="116"/>
      <c r="AB153" s="116"/>
    </row>
    <row r="154" spans="2:33" ht="11.1" customHeight="1" x14ac:dyDescent="0.15">
      <c r="M154" s="124"/>
      <c r="N154" s="124"/>
      <c r="O154" s="124"/>
      <c r="P154" s="124"/>
      <c r="Q154" s="124"/>
      <c r="R154" s="124"/>
      <c r="S154" s="124"/>
      <c r="W154" s="116"/>
      <c r="Z154" s="116"/>
      <c r="AA154" s="116"/>
      <c r="AB154" s="116"/>
    </row>
    <row r="155" spans="2:33" ht="11.1" customHeight="1" x14ac:dyDescent="0.15">
      <c r="M155" s="124"/>
      <c r="N155" s="124"/>
      <c r="O155" s="124"/>
      <c r="P155" s="124"/>
      <c r="Q155" s="124"/>
      <c r="R155" s="124"/>
      <c r="S155" s="124"/>
      <c r="Z155" s="116"/>
      <c r="AA155" s="116"/>
      <c r="AB155" s="116"/>
    </row>
    <row r="156" spans="2:33" ht="11.1" customHeight="1" x14ac:dyDescent="0.15">
      <c r="M156" s="124"/>
      <c r="N156" s="124"/>
      <c r="O156" s="124"/>
      <c r="P156" s="124"/>
      <c r="Q156" s="124"/>
      <c r="R156" s="124"/>
      <c r="S156" s="124"/>
      <c r="Z156" s="116"/>
      <c r="AA156" s="116"/>
      <c r="AB156" s="116"/>
    </row>
    <row r="157" spans="2:33" ht="11.1" customHeight="1" x14ac:dyDescent="0.15">
      <c r="M157" s="124"/>
      <c r="N157" s="124"/>
      <c r="O157" s="124"/>
      <c r="P157" s="124"/>
      <c r="Q157" s="124"/>
      <c r="R157" s="124"/>
      <c r="S157" s="124"/>
      <c r="Z157" s="116"/>
      <c r="AA157" s="116"/>
      <c r="AB157" s="116"/>
    </row>
    <row r="158" spans="2:33" ht="11.1" customHeight="1" x14ac:dyDescent="0.15">
      <c r="M158" s="124"/>
      <c r="N158" s="124"/>
      <c r="O158" s="124"/>
      <c r="P158" s="124"/>
      <c r="Q158" s="124"/>
      <c r="R158" s="124"/>
      <c r="S158" s="124"/>
      <c r="Z158" s="116"/>
      <c r="AA158" s="116"/>
      <c r="AB158" s="116"/>
    </row>
    <row r="159" spans="2:33" ht="11.1" customHeight="1" x14ac:dyDescent="0.15">
      <c r="M159" s="124"/>
      <c r="N159" s="124"/>
      <c r="O159" s="124"/>
      <c r="P159" s="124"/>
      <c r="Q159" s="124"/>
      <c r="R159" s="124"/>
      <c r="S159" s="124"/>
      <c r="Z159" s="116"/>
      <c r="AA159" s="116"/>
      <c r="AB159" s="116"/>
    </row>
    <row r="160" spans="2:33" ht="11.1" customHeight="1" x14ac:dyDescent="0.15">
      <c r="M160" s="124"/>
      <c r="N160" s="124"/>
      <c r="O160" s="124"/>
      <c r="P160" s="124"/>
      <c r="Q160" s="124"/>
      <c r="R160" s="124"/>
      <c r="S160" s="124"/>
      <c r="Z160" s="116"/>
      <c r="AA160" s="116"/>
      <c r="AB160" s="116"/>
    </row>
    <row r="161" spans="6:28" ht="11.1" customHeight="1" x14ac:dyDescent="0.15">
      <c r="M161" s="124"/>
      <c r="N161" s="124"/>
      <c r="O161" s="124"/>
      <c r="P161" s="124"/>
      <c r="Q161" s="124"/>
      <c r="R161" s="124"/>
      <c r="S161" s="124"/>
      <c r="Z161" s="116"/>
      <c r="AA161" s="116"/>
      <c r="AB161" s="116"/>
    </row>
    <row r="162" spans="6:28" ht="11.1" customHeight="1" x14ac:dyDescent="0.15">
      <c r="M162" s="124"/>
      <c r="N162" s="124"/>
      <c r="O162" s="124"/>
      <c r="P162" s="124"/>
      <c r="Q162" s="124"/>
      <c r="R162" s="124"/>
      <c r="S162" s="124"/>
      <c r="Z162" s="116"/>
      <c r="AA162" s="116"/>
      <c r="AB162" s="116"/>
    </row>
    <row r="163" spans="6:28" ht="11.1" customHeight="1" x14ac:dyDescent="0.15">
      <c r="M163" s="124"/>
      <c r="N163" s="124"/>
      <c r="O163" s="124"/>
      <c r="P163" s="124"/>
      <c r="Q163" s="124"/>
      <c r="R163" s="124"/>
      <c r="S163" s="124"/>
      <c r="Z163" s="116"/>
      <c r="AA163" s="116"/>
      <c r="AB163" s="116"/>
    </row>
    <row r="164" spans="6:28" ht="11.1" customHeight="1" x14ac:dyDescent="0.15">
      <c r="M164" s="124"/>
      <c r="N164" s="124"/>
      <c r="O164" s="124"/>
      <c r="P164" s="124"/>
      <c r="Q164" s="124"/>
      <c r="R164" s="124"/>
      <c r="S164" s="124"/>
      <c r="Z164" s="116"/>
      <c r="AA164" s="116"/>
      <c r="AB164" s="116"/>
    </row>
    <row r="165" spans="6:28" ht="11.1" customHeight="1" x14ac:dyDescent="0.15">
      <c r="M165" s="124"/>
      <c r="N165" s="124"/>
      <c r="O165" s="124"/>
      <c r="P165" s="124"/>
      <c r="Q165" s="124"/>
      <c r="R165" s="124"/>
      <c r="S165" s="124"/>
      <c r="Z165" s="116"/>
      <c r="AA165" s="116"/>
      <c r="AB165" s="116"/>
    </row>
    <row r="166" spans="6:28" ht="11.1" customHeight="1" x14ac:dyDescent="0.15">
      <c r="M166" s="124"/>
      <c r="N166" s="124"/>
      <c r="O166" s="124"/>
      <c r="P166" s="124"/>
      <c r="Q166" s="124"/>
      <c r="R166" s="124"/>
      <c r="S166" s="124"/>
      <c r="Z166" s="116"/>
      <c r="AA166" s="116"/>
      <c r="AB166" s="116"/>
    </row>
    <row r="167" spans="6:28" ht="11.1" customHeight="1" x14ac:dyDescent="0.15">
      <c r="M167" s="124"/>
      <c r="N167" s="124"/>
      <c r="O167" s="124"/>
      <c r="P167" s="124"/>
      <c r="Q167" s="124"/>
      <c r="R167" s="124"/>
      <c r="S167" s="124"/>
      <c r="Z167" s="116"/>
      <c r="AA167" s="116"/>
      <c r="AB167" s="116"/>
    </row>
    <row r="168" spans="6:28" ht="11.1" customHeight="1" x14ac:dyDescent="0.15">
      <c r="M168" s="124"/>
      <c r="N168" s="124"/>
      <c r="O168" s="124"/>
      <c r="P168" s="124"/>
      <c r="Q168" s="124"/>
      <c r="R168" s="124"/>
      <c r="S168" s="124"/>
      <c r="Z168" s="116"/>
      <c r="AA168" s="116"/>
      <c r="AB168" s="116"/>
    </row>
    <row r="169" spans="6:28" ht="11.1" customHeight="1" x14ac:dyDescent="0.15">
      <c r="M169" s="124"/>
      <c r="N169" s="124"/>
      <c r="O169" s="124"/>
      <c r="P169" s="124"/>
      <c r="Q169" s="124"/>
      <c r="R169" s="124"/>
      <c r="S169" s="124"/>
      <c r="Z169" s="116"/>
      <c r="AA169" s="116"/>
      <c r="AB169" s="116"/>
    </row>
    <row r="170" spans="6:28" ht="11.1" customHeight="1" x14ac:dyDescent="0.15">
      <c r="M170" s="124"/>
      <c r="N170" s="124"/>
      <c r="O170" s="124"/>
      <c r="P170" s="124"/>
      <c r="Q170" s="124"/>
      <c r="R170" s="124"/>
      <c r="S170" s="124"/>
      <c r="Z170" s="116"/>
      <c r="AA170" s="116"/>
      <c r="AB170" s="116"/>
    </row>
    <row r="171" spans="6:28" ht="11.1" customHeight="1" x14ac:dyDescent="0.15">
      <c r="F171" s="116"/>
      <c r="G171" s="116"/>
      <c r="H171" s="116"/>
      <c r="I171" s="116"/>
      <c r="M171" s="124"/>
      <c r="N171" s="124"/>
      <c r="O171" s="124"/>
      <c r="P171" s="124"/>
      <c r="Q171" s="124"/>
      <c r="R171" s="124"/>
      <c r="S171" s="124"/>
      <c r="Z171" s="116"/>
      <c r="AA171" s="116"/>
      <c r="AB171" s="116"/>
    </row>
    <row r="172" spans="6:28" ht="11.1" customHeight="1" x14ac:dyDescent="0.15">
      <c r="F172" s="116"/>
      <c r="G172" s="116"/>
      <c r="H172" s="116"/>
      <c r="I172" s="116"/>
      <c r="M172" s="124"/>
      <c r="N172" s="124"/>
      <c r="O172" s="124"/>
      <c r="P172" s="124"/>
      <c r="Q172" s="124"/>
      <c r="R172" s="124"/>
      <c r="S172" s="124"/>
      <c r="Z172" s="116"/>
      <c r="AA172" s="116"/>
      <c r="AB172" s="116"/>
    </row>
    <row r="173" spans="6:28" ht="11.1" customHeight="1" x14ac:dyDescent="0.15">
      <c r="F173" s="116"/>
      <c r="G173" s="116"/>
      <c r="H173" s="116"/>
      <c r="I173" s="116"/>
      <c r="M173" s="124"/>
      <c r="N173" s="124"/>
      <c r="O173" s="124"/>
      <c r="P173" s="124"/>
      <c r="Q173" s="124"/>
      <c r="R173" s="124"/>
      <c r="S173" s="124"/>
      <c r="Z173" s="116"/>
      <c r="AA173" s="116"/>
      <c r="AB173" s="116"/>
    </row>
    <row r="174" spans="6:28" ht="11.1" customHeight="1" x14ac:dyDescent="0.15">
      <c r="F174" s="116"/>
      <c r="G174" s="116"/>
      <c r="H174" s="116"/>
      <c r="I174" s="116"/>
      <c r="M174" s="126"/>
      <c r="N174" s="126"/>
      <c r="O174" s="126"/>
      <c r="P174" s="126"/>
      <c r="Q174" s="126"/>
      <c r="R174" s="126"/>
      <c r="S174" s="126"/>
      <c r="Z174" s="116"/>
      <c r="AA174" s="116"/>
      <c r="AB174" s="116"/>
    </row>
    <row r="175" spans="6:28" ht="11.1" customHeight="1" x14ac:dyDescent="0.15">
      <c r="F175" s="116"/>
      <c r="G175" s="116"/>
      <c r="H175" s="116"/>
      <c r="I175" s="116"/>
      <c r="M175" s="126"/>
      <c r="N175" s="126"/>
      <c r="O175" s="126"/>
      <c r="P175" s="126"/>
      <c r="Q175" s="126"/>
      <c r="R175" s="126"/>
      <c r="S175" s="126"/>
      <c r="Z175" s="116"/>
      <c r="AA175" s="116"/>
      <c r="AB175" s="116"/>
    </row>
    <row r="176" spans="6:28" ht="11.1" customHeight="1" x14ac:dyDescent="0.15">
      <c r="F176" s="116"/>
      <c r="G176" s="116"/>
      <c r="H176" s="116"/>
      <c r="I176" s="116"/>
      <c r="M176" s="126"/>
      <c r="N176" s="126"/>
      <c r="O176" s="126"/>
      <c r="P176" s="126"/>
      <c r="Q176" s="126"/>
      <c r="R176" s="126"/>
      <c r="S176" s="126"/>
      <c r="Z176" s="116"/>
      <c r="AA176" s="116"/>
      <c r="AB176" s="116"/>
    </row>
    <row r="188" spans="3:31" ht="11.1" customHeight="1" x14ac:dyDescent="0.15">
      <c r="C188" s="126"/>
      <c r="D188" s="126"/>
      <c r="E188" s="126"/>
      <c r="F188" s="126"/>
      <c r="G188" s="126"/>
      <c r="H188" s="126"/>
      <c r="I188" s="126"/>
      <c r="J188" s="126"/>
      <c r="K188" s="126"/>
      <c r="M188" s="126"/>
      <c r="N188" s="126"/>
      <c r="O188" s="126"/>
      <c r="P188" s="126"/>
      <c r="Q188" s="126"/>
      <c r="R188" s="126"/>
      <c r="S188" s="126"/>
      <c r="X188" s="126"/>
      <c r="Y188" s="126"/>
      <c r="AC188" s="126"/>
      <c r="AD188" s="126"/>
      <c r="AE188" s="126"/>
    </row>
    <row r="189" spans="3:31" ht="11.1" customHeight="1" x14ac:dyDescent="0.15">
      <c r="C189" s="126"/>
      <c r="D189" s="126"/>
      <c r="E189" s="126"/>
      <c r="F189" s="126"/>
      <c r="G189" s="126"/>
      <c r="H189" s="126"/>
      <c r="I189" s="126"/>
      <c r="J189" s="126"/>
      <c r="K189" s="126"/>
      <c r="M189" s="126"/>
      <c r="N189" s="126"/>
      <c r="O189" s="126"/>
      <c r="P189" s="126"/>
      <c r="Q189" s="126"/>
      <c r="R189" s="126"/>
      <c r="S189" s="126"/>
      <c r="X189" s="126"/>
      <c r="Y189" s="126"/>
      <c r="AC189" s="126"/>
      <c r="AD189" s="126"/>
      <c r="AE189" s="126"/>
    </row>
    <row r="190" spans="3:31" ht="11.1" customHeight="1" x14ac:dyDescent="0.15">
      <c r="C190" s="126"/>
      <c r="D190" s="126"/>
      <c r="E190" s="126"/>
      <c r="F190" s="126"/>
      <c r="G190" s="126"/>
      <c r="H190" s="126"/>
      <c r="I190" s="126"/>
      <c r="J190" s="126"/>
      <c r="K190" s="126"/>
      <c r="M190" s="126"/>
      <c r="N190" s="126"/>
      <c r="O190" s="126"/>
      <c r="P190" s="126"/>
      <c r="Q190" s="126"/>
      <c r="R190" s="126"/>
      <c r="S190" s="126"/>
      <c r="X190" s="126"/>
      <c r="Y190" s="126"/>
      <c r="AC190" s="126"/>
      <c r="AD190" s="126"/>
      <c r="AE190" s="126"/>
    </row>
    <row r="191" spans="3:31" ht="11.1" customHeight="1" x14ac:dyDescent="0.15">
      <c r="C191" s="126"/>
      <c r="D191" s="126"/>
      <c r="E191" s="126"/>
      <c r="F191" s="126"/>
      <c r="G191" s="126"/>
      <c r="H191" s="126"/>
      <c r="I191" s="126"/>
      <c r="J191" s="126"/>
      <c r="K191" s="126"/>
      <c r="M191" s="126"/>
      <c r="N191" s="126"/>
      <c r="O191" s="126"/>
      <c r="P191" s="126"/>
      <c r="Q191" s="126"/>
      <c r="R191" s="126"/>
      <c r="S191" s="126"/>
      <c r="X191" s="126"/>
      <c r="Y191" s="126"/>
      <c r="AC191" s="126"/>
      <c r="AD191" s="126"/>
      <c r="AE191" s="126"/>
    </row>
    <row r="192" spans="3:31" ht="11.1" customHeight="1" x14ac:dyDescent="0.15">
      <c r="C192" s="126"/>
      <c r="D192" s="126"/>
      <c r="E192" s="126"/>
      <c r="F192" s="126"/>
      <c r="G192" s="126"/>
      <c r="H192" s="126"/>
      <c r="I192" s="126"/>
      <c r="J192" s="126"/>
      <c r="K192" s="126"/>
      <c r="M192" s="126"/>
      <c r="N192" s="126"/>
      <c r="O192" s="126"/>
      <c r="P192" s="126"/>
      <c r="Q192" s="126"/>
      <c r="R192" s="126"/>
      <c r="S192" s="126"/>
      <c r="X192" s="126"/>
      <c r="Y192" s="126"/>
      <c r="AC192" s="126"/>
      <c r="AD192" s="126"/>
      <c r="AE192" s="126"/>
    </row>
    <row r="193" spans="3:31" ht="11.1" customHeight="1" x14ac:dyDescent="0.15">
      <c r="C193" s="126"/>
      <c r="D193" s="126"/>
      <c r="E193" s="126"/>
      <c r="F193" s="126"/>
      <c r="G193" s="126"/>
      <c r="H193" s="126"/>
      <c r="I193" s="126"/>
      <c r="J193" s="126"/>
      <c r="K193" s="126"/>
      <c r="M193" s="126"/>
      <c r="N193" s="126"/>
      <c r="O193" s="126"/>
      <c r="P193" s="126"/>
      <c r="Q193" s="126"/>
      <c r="R193" s="126"/>
      <c r="S193" s="126"/>
      <c r="X193" s="126"/>
      <c r="Y193" s="126"/>
      <c r="AC193" s="126"/>
      <c r="AD193" s="126"/>
      <c r="AE193" s="126"/>
    </row>
    <row r="194" spans="3:31" ht="11.1" customHeight="1" x14ac:dyDescent="0.15">
      <c r="C194" s="126"/>
      <c r="D194" s="126"/>
      <c r="E194" s="126"/>
      <c r="F194" s="126"/>
      <c r="G194" s="126"/>
      <c r="H194" s="126"/>
      <c r="I194" s="126"/>
      <c r="J194" s="126"/>
      <c r="K194" s="126"/>
      <c r="M194" s="126"/>
      <c r="N194" s="126"/>
      <c r="O194" s="126"/>
      <c r="P194" s="126"/>
      <c r="Q194" s="126"/>
      <c r="R194" s="126"/>
      <c r="S194" s="126"/>
      <c r="X194" s="126"/>
      <c r="Y194" s="126"/>
      <c r="AC194" s="126"/>
      <c r="AD194" s="126"/>
      <c r="AE194" s="126"/>
    </row>
    <row r="195" spans="3:31" ht="11.1" customHeight="1" x14ac:dyDescent="0.15">
      <c r="C195" s="126"/>
      <c r="D195" s="126"/>
      <c r="E195" s="126"/>
      <c r="F195" s="126"/>
      <c r="G195" s="126"/>
      <c r="H195" s="126"/>
      <c r="I195" s="126"/>
      <c r="J195" s="126"/>
      <c r="K195" s="126"/>
      <c r="M195" s="126"/>
      <c r="N195" s="126"/>
      <c r="O195" s="126"/>
      <c r="P195" s="126"/>
      <c r="Q195" s="126"/>
      <c r="R195" s="126"/>
      <c r="S195" s="126"/>
      <c r="X195" s="126"/>
      <c r="Y195" s="126"/>
      <c r="AC195" s="126"/>
      <c r="AD195" s="126"/>
      <c r="AE195" s="126"/>
    </row>
    <row r="196" spans="3:31" ht="11.1" customHeight="1" x14ac:dyDescent="0.15">
      <c r="C196" s="126"/>
      <c r="D196" s="126"/>
      <c r="E196" s="126"/>
      <c r="F196" s="126"/>
      <c r="G196" s="126"/>
      <c r="H196" s="126"/>
      <c r="I196" s="126"/>
      <c r="J196" s="126"/>
      <c r="K196" s="126"/>
      <c r="M196" s="126"/>
      <c r="N196" s="126"/>
      <c r="O196" s="126"/>
      <c r="P196" s="126"/>
      <c r="Q196" s="126"/>
      <c r="R196" s="126"/>
      <c r="S196" s="126"/>
      <c r="X196" s="126"/>
      <c r="Y196" s="126"/>
      <c r="AC196" s="126"/>
      <c r="AD196" s="126"/>
      <c r="AE196" s="126"/>
    </row>
    <row r="197" spans="3:31" ht="11.1" customHeight="1" x14ac:dyDescent="0.15">
      <c r="C197" s="126"/>
      <c r="D197" s="126"/>
      <c r="E197" s="126"/>
      <c r="F197" s="126"/>
      <c r="G197" s="126"/>
      <c r="H197" s="126"/>
      <c r="I197" s="126"/>
      <c r="J197" s="126"/>
      <c r="K197" s="126"/>
      <c r="M197" s="126"/>
      <c r="N197" s="126"/>
      <c r="O197" s="126"/>
      <c r="P197" s="126"/>
      <c r="Q197" s="126"/>
      <c r="R197" s="126"/>
      <c r="S197" s="126"/>
      <c r="X197" s="126"/>
      <c r="Y197" s="126"/>
      <c r="AC197" s="126"/>
      <c r="AD197" s="126"/>
      <c r="AE197" s="126"/>
    </row>
    <row r="198" spans="3:31" ht="11.1" customHeight="1" x14ac:dyDescent="0.15">
      <c r="C198" s="126"/>
      <c r="D198" s="126"/>
      <c r="E198" s="126"/>
      <c r="F198" s="126"/>
      <c r="G198" s="126"/>
      <c r="H198" s="126"/>
      <c r="I198" s="126"/>
      <c r="J198" s="126"/>
      <c r="K198" s="126"/>
      <c r="M198" s="126"/>
      <c r="N198" s="126"/>
      <c r="O198" s="126"/>
      <c r="P198" s="126"/>
      <c r="Q198" s="126"/>
      <c r="R198" s="126"/>
      <c r="S198" s="126"/>
      <c r="X198" s="126"/>
      <c r="Y198" s="126"/>
      <c r="AC198" s="126"/>
      <c r="AD198" s="126"/>
      <c r="AE198" s="126"/>
    </row>
    <row r="199" spans="3:31" ht="11.1" customHeight="1" x14ac:dyDescent="0.15">
      <c r="C199" s="126"/>
      <c r="D199" s="126"/>
      <c r="E199" s="126"/>
      <c r="F199" s="126"/>
      <c r="G199" s="126"/>
      <c r="H199" s="126"/>
      <c r="I199" s="126"/>
      <c r="J199" s="126"/>
      <c r="K199" s="126"/>
      <c r="M199" s="126"/>
      <c r="N199" s="126"/>
      <c r="O199" s="126"/>
      <c r="P199" s="126"/>
      <c r="Q199" s="126"/>
      <c r="R199" s="126"/>
      <c r="S199" s="126"/>
      <c r="X199" s="126"/>
      <c r="Y199" s="126"/>
      <c r="AC199" s="126"/>
      <c r="AD199" s="126"/>
      <c r="AE199" s="126"/>
    </row>
    <row r="200" spans="3:31" ht="11.1" customHeight="1" x14ac:dyDescent="0.15">
      <c r="C200" s="126"/>
      <c r="D200" s="126"/>
      <c r="E200" s="126"/>
      <c r="F200" s="126"/>
      <c r="G200" s="126"/>
      <c r="H200" s="126"/>
      <c r="I200" s="126"/>
      <c r="J200" s="126"/>
      <c r="K200" s="126"/>
      <c r="M200" s="126"/>
      <c r="N200" s="126"/>
      <c r="O200" s="126"/>
      <c r="P200" s="126"/>
      <c r="Q200" s="126"/>
      <c r="R200" s="126"/>
      <c r="S200" s="126"/>
      <c r="X200" s="126"/>
      <c r="Y200" s="126"/>
      <c r="AC200" s="126"/>
      <c r="AD200" s="126"/>
      <c r="AE200" s="126"/>
    </row>
    <row r="201" spans="3:31" ht="11.1" customHeight="1" x14ac:dyDescent="0.15">
      <c r="C201" s="126"/>
      <c r="D201" s="126"/>
      <c r="E201" s="126"/>
      <c r="F201" s="126"/>
      <c r="G201" s="126"/>
      <c r="H201" s="126"/>
      <c r="I201" s="126"/>
      <c r="J201" s="126"/>
      <c r="K201" s="126"/>
      <c r="M201" s="126"/>
      <c r="N201" s="126"/>
      <c r="O201" s="126"/>
      <c r="P201" s="126"/>
      <c r="Q201" s="126"/>
      <c r="R201" s="126"/>
      <c r="S201" s="126"/>
      <c r="X201" s="126"/>
      <c r="Y201" s="126"/>
      <c r="AC201" s="126"/>
      <c r="AD201" s="126"/>
      <c r="AE201" s="126"/>
    </row>
    <row r="202" spans="3:31" ht="11.1" customHeight="1" x14ac:dyDescent="0.15">
      <c r="C202" s="126"/>
      <c r="D202" s="126"/>
      <c r="E202" s="126"/>
      <c r="F202" s="126"/>
      <c r="G202" s="126"/>
      <c r="H202" s="126"/>
      <c r="I202" s="126"/>
      <c r="J202" s="126"/>
      <c r="K202" s="126"/>
      <c r="M202" s="126"/>
      <c r="N202" s="126"/>
      <c r="O202" s="126"/>
      <c r="P202" s="126"/>
      <c r="Q202" s="126"/>
      <c r="R202" s="126"/>
      <c r="S202" s="126"/>
      <c r="X202" s="126"/>
      <c r="Y202" s="126"/>
      <c r="AC202" s="126"/>
      <c r="AD202" s="126"/>
      <c r="AE202" s="126"/>
    </row>
    <row r="203" spans="3:31" ht="11.1" customHeight="1" x14ac:dyDescent="0.15">
      <c r="C203" s="126"/>
      <c r="D203" s="126"/>
      <c r="E203" s="126"/>
      <c r="F203" s="126"/>
      <c r="G203" s="126"/>
      <c r="H203" s="126"/>
      <c r="I203" s="126"/>
      <c r="J203" s="126"/>
      <c r="K203" s="126"/>
      <c r="M203" s="126"/>
      <c r="N203" s="126"/>
      <c r="O203" s="126"/>
      <c r="P203" s="126"/>
      <c r="Q203" s="126"/>
      <c r="R203" s="126"/>
      <c r="S203" s="126"/>
      <c r="X203" s="126"/>
      <c r="Y203" s="126"/>
      <c r="AC203" s="126"/>
      <c r="AD203" s="126"/>
      <c r="AE203" s="126"/>
    </row>
    <row r="221" spans="3:31" ht="11.1" customHeight="1" x14ac:dyDescent="0.15">
      <c r="C221" s="126"/>
      <c r="D221" s="126"/>
      <c r="E221" s="126"/>
      <c r="F221" s="126"/>
      <c r="G221" s="126"/>
      <c r="H221" s="126"/>
      <c r="I221" s="126"/>
      <c r="J221" s="126"/>
      <c r="K221" s="126"/>
      <c r="M221" s="126"/>
      <c r="N221" s="126"/>
      <c r="O221" s="126"/>
      <c r="P221" s="126"/>
      <c r="Q221" s="126"/>
      <c r="R221" s="126"/>
      <c r="S221" s="126"/>
      <c r="X221" s="126"/>
      <c r="Y221" s="126"/>
      <c r="AC221" s="126"/>
      <c r="AD221" s="126"/>
      <c r="AE221" s="126"/>
    </row>
    <row r="222" spans="3:31" ht="11.1" customHeight="1" x14ac:dyDescent="0.15">
      <c r="C222" s="126"/>
      <c r="D222" s="126"/>
      <c r="E222" s="126"/>
      <c r="F222" s="126"/>
      <c r="G222" s="126"/>
      <c r="H222" s="126"/>
      <c r="I222" s="126"/>
      <c r="J222" s="126"/>
      <c r="K222" s="126"/>
      <c r="M222" s="126"/>
      <c r="N222" s="126"/>
      <c r="O222" s="126"/>
      <c r="P222" s="126"/>
      <c r="Q222" s="126"/>
      <c r="R222" s="126"/>
      <c r="S222" s="126"/>
      <c r="X222" s="126"/>
      <c r="Y222" s="126"/>
      <c r="AC222" s="126"/>
      <c r="AD222" s="126"/>
      <c r="AE222" s="126"/>
    </row>
    <row r="223" spans="3:31" ht="11.1" customHeight="1" x14ac:dyDescent="0.15">
      <c r="C223" s="126"/>
      <c r="D223" s="126"/>
      <c r="E223" s="126"/>
      <c r="F223" s="126"/>
      <c r="G223" s="126"/>
      <c r="H223" s="126"/>
      <c r="I223" s="126"/>
      <c r="J223" s="126"/>
      <c r="K223" s="126"/>
      <c r="M223" s="126"/>
      <c r="N223" s="126"/>
      <c r="O223" s="126"/>
      <c r="P223" s="126"/>
      <c r="Q223" s="126"/>
      <c r="R223" s="126"/>
      <c r="S223" s="126"/>
      <c r="X223" s="126"/>
      <c r="Y223" s="126"/>
      <c r="AC223" s="126"/>
      <c r="AD223" s="126"/>
      <c r="AE223" s="126"/>
    </row>
    <row r="286" spans="3:31" ht="11.1" customHeight="1" x14ac:dyDescent="0.15">
      <c r="C286" s="126"/>
      <c r="D286" s="126"/>
      <c r="E286" s="126"/>
      <c r="F286" s="126"/>
      <c r="G286" s="126"/>
      <c r="H286" s="126"/>
      <c r="I286" s="126"/>
      <c r="J286" s="126"/>
      <c r="K286" s="126"/>
      <c r="M286" s="126"/>
      <c r="N286" s="126"/>
      <c r="O286" s="126"/>
      <c r="P286" s="126"/>
      <c r="Q286" s="126"/>
      <c r="R286" s="126"/>
      <c r="S286" s="126"/>
      <c r="X286" s="126"/>
      <c r="Y286" s="126"/>
      <c r="AC286" s="126"/>
      <c r="AD286" s="126"/>
      <c r="AE286" s="126"/>
    </row>
    <row r="287" spans="3:31" ht="11.1" customHeight="1" x14ac:dyDescent="0.15">
      <c r="C287" s="126"/>
      <c r="D287" s="126"/>
      <c r="E287" s="126"/>
      <c r="F287" s="126"/>
      <c r="G287" s="126"/>
      <c r="H287" s="126"/>
      <c r="I287" s="126"/>
      <c r="J287" s="126"/>
      <c r="K287" s="126"/>
      <c r="M287" s="126"/>
      <c r="N287" s="126"/>
      <c r="O287" s="126"/>
      <c r="P287" s="126"/>
      <c r="Q287" s="126"/>
      <c r="R287" s="126"/>
      <c r="S287" s="126"/>
      <c r="X287" s="126"/>
      <c r="Y287" s="126"/>
      <c r="AC287" s="126"/>
      <c r="AD287" s="126"/>
      <c r="AE287" s="126"/>
    </row>
    <row r="288" spans="3:31" ht="11.1" customHeight="1" x14ac:dyDescent="0.15">
      <c r="C288" s="126"/>
      <c r="D288" s="126"/>
      <c r="E288" s="126"/>
      <c r="F288" s="126"/>
      <c r="G288" s="126"/>
      <c r="H288" s="126"/>
      <c r="I288" s="126"/>
      <c r="J288" s="126"/>
      <c r="K288" s="126"/>
      <c r="M288" s="126"/>
      <c r="N288" s="126"/>
      <c r="O288" s="126"/>
      <c r="P288" s="126"/>
      <c r="Q288" s="126"/>
      <c r="R288" s="126"/>
      <c r="S288" s="126"/>
      <c r="X288" s="126"/>
      <c r="Y288" s="126"/>
      <c r="AC288" s="126"/>
      <c r="AD288" s="126"/>
      <c r="AE288" s="126"/>
    </row>
    <row r="289" spans="3:31" ht="11.1" customHeight="1" x14ac:dyDescent="0.15">
      <c r="C289" s="126"/>
      <c r="D289" s="126"/>
      <c r="E289" s="126"/>
      <c r="F289" s="126"/>
      <c r="G289" s="126"/>
      <c r="H289" s="126"/>
      <c r="I289" s="126"/>
      <c r="J289" s="126"/>
      <c r="K289" s="126"/>
      <c r="M289" s="126"/>
      <c r="N289" s="126"/>
      <c r="O289" s="126"/>
      <c r="P289" s="126"/>
      <c r="Q289" s="126"/>
      <c r="R289" s="126"/>
      <c r="S289" s="126"/>
      <c r="X289" s="126"/>
      <c r="Y289" s="126"/>
      <c r="AC289" s="126"/>
      <c r="AD289" s="126"/>
      <c r="AE289" s="126"/>
    </row>
    <row r="290" spans="3:31" ht="11.1" customHeight="1" x14ac:dyDescent="0.15">
      <c r="C290" s="126"/>
      <c r="D290" s="126"/>
      <c r="E290" s="126"/>
      <c r="F290" s="126"/>
      <c r="G290" s="126"/>
      <c r="H290" s="126"/>
      <c r="I290" s="126"/>
      <c r="J290" s="126"/>
      <c r="K290" s="126"/>
      <c r="M290" s="126"/>
      <c r="N290" s="126"/>
      <c r="O290" s="126"/>
      <c r="P290" s="126"/>
      <c r="Q290" s="126"/>
      <c r="R290" s="126"/>
      <c r="S290" s="126"/>
      <c r="X290" s="126"/>
      <c r="Y290" s="126"/>
      <c r="AC290" s="126"/>
      <c r="AD290" s="126"/>
      <c r="AE290" s="126"/>
    </row>
    <row r="291" spans="3:31" ht="11.1" customHeight="1" x14ac:dyDescent="0.15">
      <c r="C291" s="126"/>
      <c r="D291" s="126"/>
      <c r="E291" s="126"/>
      <c r="F291" s="126"/>
      <c r="G291" s="126"/>
      <c r="H291" s="126"/>
      <c r="I291" s="126"/>
      <c r="J291" s="126"/>
      <c r="K291" s="126"/>
      <c r="M291" s="126"/>
      <c r="N291" s="126"/>
      <c r="O291" s="126"/>
      <c r="P291" s="126"/>
      <c r="Q291" s="126"/>
      <c r="R291" s="126"/>
      <c r="S291" s="126"/>
      <c r="X291" s="126"/>
      <c r="Y291" s="126"/>
      <c r="AC291" s="126"/>
      <c r="AD291" s="126"/>
      <c r="AE291" s="126"/>
    </row>
    <row r="292" spans="3:31" ht="11.1" customHeight="1" x14ac:dyDescent="0.15">
      <c r="C292" s="126"/>
      <c r="D292" s="126"/>
      <c r="E292" s="126"/>
      <c r="F292" s="126"/>
      <c r="G292" s="126"/>
      <c r="H292" s="126"/>
      <c r="I292" s="126"/>
      <c r="J292" s="126"/>
      <c r="K292" s="126"/>
      <c r="M292" s="126"/>
      <c r="N292" s="126"/>
      <c r="O292" s="126"/>
      <c r="P292" s="126"/>
      <c r="Q292" s="126"/>
      <c r="R292" s="126"/>
      <c r="S292" s="126"/>
      <c r="X292" s="126"/>
      <c r="Y292" s="126"/>
      <c r="AC292" s="126"/>
      <c r="AD292" s="126"/>
      <c r="AE292" s="126"/>
    </row>
    <row r="293" spans="3:31" ht="11.1" customHeight="1" x14ac:dyDescent="0.15">
      <c r="C293" s="126"/>
      <c r="D293" s="126"/>
      <c r="E293" s="126"/>
      <c r="F293" s="126"/>
      <c r="G293" s="126"/>
      <c r="H293" s="126"/>
      <c r="I293" s="126"/>
      <c r="J293" s="126"/>
      <c r="K293" s="126"/>
      <c r="M293" s="126"/>
      <c r="N293" s="126"/>
      <c r="O293" s="126"/>
      <c r="P293" s="126"/>
      <c r="Q293" s="126"/>
      <c r="R293" s="126"/>
      <c r="S293" s="126"/>
      <c r="X293" s="126"/>
      <c r="Y293" s="126"/>
      <c r="AC293" s="126"/>
      <c r="AD293" s="126"/>
      <c r="AE293" s="126"/>
    </row>
    <row r="294" spans="3:31" ht="11.1" customHeight="1" x14ac:dyDescent="0.15">
      <c r="C294" s="126"/>
      <c r="D294" s="126"/>
      <c r="E294" s="126"/>
      <c r="F294" s="126"/>
      <c r="G294" s="126"/>
      <c r="H294" s="126"/>
      <c r="I294" s="126"/>
      <c r="J294" s="126"/>
      <c r="K294" s="126"/>
      <c r="M294" s="126"/>
      <c r="N294" s="126"/>
      <c r="O294" s="126"/>
      <c r="P294" s="126"/>
      <c r="Q294" s="126"/>
      <c r="R294" s="126"/>
      <c r="S294" s="126"/>
      <c r="X294" s="126"/>
      <c r="Y294" s="126"/>
      <c r="AC294" s="126"/>
      <c r="AD294" s="126"/>
      <c r="AE294" s="126"/>
    </row>
    <row r="295" spans="3:31" ht="11.1" customHeight="1" x14ac:dyDescent="0.15">
      <c r="C295" s="126"/>
      <c r="D295" s="126"/>
      <c r="E295" s="126"/>
      <c r="F295" s="126"/>
      <c r="G295" s="126"/>
      <c r="H295" s="126"/>
      <c r="I295" s="126"/>
      <c r="J295" s="126"/>
      <c r="K295" s="126"/>
      <c r="M295" s="126"/>
      <c r="N295" s="126"/>
      <c r="O295" s="126"/>
      <c r="P295" s="126"/>
      <c r="Q295" s="126"/>
      <c r="R295" s="126"/>
      <c r="S295" s="126"/>
      <c r="X295" s="126"/>
      <c r="Y295" s="126"/>
      <c r="AC295" s="126"/>
      <c r="AD295" s="126"/>
      <c r="AE295" s="126"/>
    </row>
    <row r="296" spans="3:31" ht="11.1" customHeight="1" x14ac:dyDescent="0.15">
      <c r="C296" s="126"/>
      <c r="D296" s="126"/>
      <c r="E296" s="126"/>
      <c r="F296" s="126"/>
      <c r="G296" s="126"/>
      <c r="H296" s="126"/>
      <c r="I296" s="126"/>
      <c r="J296" s="126"/>
      <c r="K296" s="126"/>
      <c r="M296" s="126"/>
      <c r="N296" s="126"/>
      <c r="O296" s="126"/>
      <c r="P296" s="126"/>
      <c r="Q296" s="126"/>
      <c r="R296" s="126"/>
      <c r="S296" s="126"/>
      <c r="X296" s="126"/>
      <c r="Y296" s="126"/>
      <c r="AC296" s="126"/>
      <c r="AD296" s="126"/>
      <c r="AE296" s="126"/>
    </row>
    <row r="297" spans="3:31" ht="11.1" customHeight="1" x14ac:dyDescent="0.15">
      <c r="C297" s="126"/>
      <c r="D297" s="126"/>
      <c r="E297" s="126"/>
      <c r="F297" s="126"/>
      <c r="G297" s="126"/>
      <c r="H297" s="126"/>
      <c r="I297" s="126"/>
      <c r="J297" s="126"/>
      <c r="K297" s="126"/>
      <c r="M297" s="126"/>
      <c r="N297" s="126"/>
      <c r="O297" s="126"/>
      <c r="P297" s="126"/>
      <c r="Q297" s="126"/>
      <c r="R297" s="126"/>
      <c r="S297" s="126"/>
      <c r="X297" s="126"/>
      <c r="Y297" s="126"/>
      <c r="AC297" s="126"/>
      <c r="AD297" s="126"/>
      <c r="AE297" s="126"/>
    </row>
    <row r="298" spans="3:31" ht="11.1" customHeight="1" x14ac:dyDescent="0.15">
      <c r="C298" s="126"/>
      <c r="D298" s="126"/>
      <c r="E298" s="126"/>
      <c r="F298" s="126"/>
      <c r="G298" s="126"/>
      <c r="H298" s="126"/>
      <c r="I298" s="126"/>
      <c r="J298" s="126"/>
      <c r="K298" s="126"/>
      <c r="M298" s="126"/>
      <c r="N298" s="126"/>
      <c r="O298" s="126"/>
      <c r="P298" s="126"/>
      <c r="Q298" s="126"/>
      <c r="R298" s="126"/>
      <c r="S298" s="126"/>
      <c r="X298" s="126"/>
      <c r="Y298" s="126"/>
      <c r="AC298" s="126"/>
      <c r="AD298" s="126"/>
      <c r="AE298" s="126"/>
    </row>
    <row r="299" spans="3:31" ht="11.1" customHeight="1" x14ac:dyDescent="0.15">
      <c r="C299" s="126"/>
      <c r="D299" s="126"/>
      <c r="E299" s="126"/>
      <c r="F299" s="126"/>
      <c r="G299" s="126"/>
      <c r="H299" s="126"/>
      <c r="I299" s="126"/>
      <c r="J299" s="126"/>
      <c r="K299" s="126"/>
      <c r="M299" s="126"/>
      <c r="N299" s="126"/>
      <c r="O299" s="126"/>
      <c r="P299" s="126"/>
      <c r="Q299" s="126"/>
      <c r="R299" s="126"/>
      <c r="S299" s="126"/>
      <c r="X299" s="126"/>
      <c r="Y299" s="126"/>
      <c r="AC299" s="126"/>
      <c r="AD299" s="126"/>
      <c r="AE299" s="126"/>
    </row>
    <row r="300" spans="3:31" ht="11.1" customHeight="1" x14ac:dyDescent="0.15">
      <c r="C300" s="126"/>
      <c r="D300" s="126"/>
      <c r="E300" s="126"/>
      <c r="F300" s="126"/>
      <c r="G300" s="126"/>
      <c r="H300" s="126"/>
      <c r="I300" s="126"/>
      <c r="J300" s="126"/>
      <c r="K300" s="126"/>
      <c r="M300" s="126"/>
      <c r="N300" s="126"/>
      <c r="O300" s="126"/>
      <c r="P300" s="126"/>
      <c r="Q300" s="126"/>
      <c r="R300" s="126"/>
      <c r="S300" s="126"/>
      <c r="X300" s="126"/>
      <c r="Y300" s="126"/>
      <c r="AC300" s="126"/>
      <c r="AD300" s="126"/>
      <c r="AE300" s="126"/>
    </row>
    <row r="301" spans="3:31" ht="11.1" customHeight="1" x14ac:dyDescent="0.15">
      <c r="C301" s="126"/>
      <c r="D301" s="126"/>
      <c r="E301" s="126"/>
      <c r="F301" s="126"/>
      <c r="G301" s="126"/>
      <c r="H301" s="126"/>
      <c r="I301" s="126"/>
      <c r="J301" s="126"/>
      <c r="K301" s="126"/>
      <c r="M301" s="126"/>
      <c r="N301" s="126"/>
      <c r="O301" s="126"/>
      <c r="P301" s="126"/>
      <c r="Q301" s="126"/>
      <c r="R301" s="126"/>
      <c r="S301" s="126"/>
      <c r="X301" s="126"/>
      <c r="Y301" s="126"/>
      <c r="AC301" s="126"/>
      <c r="AD301" s="126"/>
      <c r="AE301" s="126"/>
    </row>
    <row r="303" spans="3:31" ht="11.1" customHeight="1" x14ac:dyDescent="0.15">
      <c r="C303" s="126"/>
      <c r="D303" s="126"/>
      <c r="E303" s="126"/>
      <c r="F303" s="126"/>
      <c r="G303" s="126"/>
      <c r="H303" s="126"/>
      <c r="I303" s="126"/>
      <c r="J303" s="126"/>
      <c r="K303" s="126"/>
      <c r="M303" s="126"/>
      <c r="N303" s="126"/>
      <c r="O303" s="126"/>
      <c r="P303" s="126"/>
      <c r="Q303" s="126"/>
      <c r="R303" s="126"/>
      <c r="S303" s="126"/>
      <c r="X303" s="126"/>
      <c r="Y303" s="126"/>
      <c r="AC303" s="126"/>
      <c r="AD303" s="126"/>
      <c r="AE303" s="126"/>
    </row>
    <row r="304" spans="3:31" ht="11.1" customHeight="1" x14ac:dyDescent="0.15">
      <c r="C304" s="126"/>
      <c r="D304" s="126"/>
      <c r="E304" s="126"/>
      <c r="F304" s="126"/>
      <c r="G304" s="126"/>
      <c r="H304" s="126"/>
      <c r="I304" s="126"/>
      <c r="J304" s="126"/>
      <c r="K304" s="126"/>
      <c r="M304" s="126"/>
      <c r="N304" s="126"/>
      <c r="O304" s="126"/>
      <c r="P304" s="126"/>
      <c r="Q304" s="126"/>
      <c r="R304" s="126"/>
      <c r="S304" s="126"/>
      <c r="X304" s="126"/>
      <c r="Y304" s="126"/>
      <c r="AC304" s="126"/>
      <c r="AD304" s="126"/>
      <c r="AE304" s="126"/>
    </row>
    <row r="305" spans="3:31" ht="11.1" customHeight="1" x14ac:dyDescent="0.15">
      <c r="C305" s="126"/>
      <c r="D305" s="126"/>
      <c r="E305" s="126"/>
      <c r="F305" s="126"/>
      <c r="G305" s="126"/>
      <c r="H305" s="126"/>
      <c r="I305" s="126"/>
      <c r="J305" s="126"/>
      <c r="K305" s="126"/>
      <c r="M305" s="126"/>
      <c r="N305" s="126"/>
      <c r="O305" s="126"/>
      <c r="P305" s="126"/>
      <c r="Q305" s="126"/>
      <c r="R305" s="126"/>
      <c r="S305" s="126"/>
      <c r="X305" s="126"/>
      <c r="Y305" s="126"/>
      <c r="AC305" s="126"/>
      <c r="AD305" s="126"/>
      <c r="AE305" s="126"/>
    </row>
    <row r="306" spans="3:31" ht="11.1" customHeight="1" x14ac:dyDescent="0.15">
      <c r="C306" s="126"/>
      <c r="D306" s="126"/>
      <c r="E306" s="126"/>
      <c r="F306" s="126"/>
      <c r="G306" s="126"/>
      <c r="H306" s="126"/>
      <c r="I306" s="126"/>
      <c r="J306" s="126"/>
      <c r="K306" s="126"/>
      <c r="M306" s="126"/>
      <c r="N306" s="126"/>
      <c r="O306" s="126"/>
      <c r="P306" s="126"/>
      <c r="Q306" s="126"/>
      <c r="R306" s="126"/>
      <c r="S306" s="126"/>
      <c r="X306" s="126"/>
      <c r="Y306" s="126"/>
      <c r="AC306" s="126"/>
      <c r="AD306" s="126"/>
      <c r="AE306" s="126"/>
    </row>
    <row r="307" spans="3:31" ht="11.1" customHeight="1" x14ac:dyDescent="0.15">
      <c r="C307" s="126"/>
      <c r="D307" s="126"/>
      <c r="E307" s="126"/>
      <c r="F307" s="126"/>
      <c r="G307" s="126"/>
      <c r="H307" s="126"/>
      <c r="I307" s="126"/>
      <c r="J307" s="126"/>
      <c r="K307" s="126"/>
      <c r="M307" s="126"/>
      <c r="N307" s="126"/>
      <c r="O307" s="126"/>
      <c r="P307" s="126"/>
      <c r="Q307" s="126"/>
      <c r="R307" s="126"/>
      <c r="S307" s="126"/>
      <c r="X307" s="126"/>
      <c r="Y307" s="126"/>
      <c r="AC307" s="126"/>
      <c r="AD307" s="126"/>
      <c r="AE307" s="126"/>
    </row>
    <row r="308" spans="3:31" ht="11.1" customHeight="1" x14ac:dyDescent="0.15">
      <c r="C308" s="126"/>
      <c r="D308" s="126"/>
      <c r="E308" s="126"/>
      <c r="F308" s="126"/>
      <c r="G308" s="126"/>
      <c r="H308" s="126"/>
      <c r="I308" s="126"/>
      <c r="J308" s="126"/>
      <c r="K308" s="126"/>
      <c r="M308" s="126"/>
      <c r="N308" s="126"/>
      <c r="O308" s="126"/>
      <c r="P308" s="126"/>
      <c r="Q308" s="126"/>
      <c r="R308" s="126"/>
      <c r="S308" s="126"/>
      <c r="X308" s="126"/>
      <c r="Y308" s="126"/>
      <c r="AC308" s="126"/>
      <c r="AD308" s="126"/>
      <c r="AE308" s="126"/>
    </row>
    <row r="309" spans="3:31" ht="11.1" customHeight="1" x14ac:dyDescent="0.15">
      <c r="C309" s="126"/>
      <c r="D309" s="126"/>
      <c r="E309" s="126"/>
      <c r="F309" s="126"/>
      <c r="G309" s="126"/>
      <c r="H309" s="126"/>
      <c r="I309" s="126"/>
      <c r="J309" s="126"/>
      <c r="K309" s="126"/>
      <c r="M309" s="126"/>
      <c r="N309" s="126"/>
      <c r="O309" s="126"/>
      <c r="P309" s="126"/>
      <c r="Q309" s="126"/>
      <c r="R309" s="126"/>
      <c r="S309" s="126"/>
      <c r="X309" s="126"/>
      <c r="Y309" s="126"/>
      <c r="AC309" s="126"/>
      <c r="AD309" s="126"/>
      <c r="AE309" s="126"/>
    </row>
    <row r="310" spans="3:31" ht="11.1" customHeight="1" x14ac:dyDescent="0.15">
      <c r="C310" s="126"/>
      <c r="D310" s="126"/>
      <c r="E310" s="126"/>
      <c r="F310" s="126"/>
      <c r="G310" s="126"/>
      <c r="H310" s="126"/>
      <c r="I310" s="126"/>
      <c r="J310" s="126"/>
      <c r="K310" s="126"/>
      <c r="M310" s="126"/>
      <c r="N310" s="126"/>
      <c r="O310" s="126"/>
      <c r="P310" s="126"/>
      <c r="Q310" s="126"/>
      <c r="R310" s="126"/>
      <c r="S310" s="126"/>
      <c r="X310" s="126"/>
      <c r="Y310" s="126"/>
      <c r="AC310" s="126"/>
      <c r="AD310" s="126"/>
      <c r="AE310" s="126"/>
    </row>
    <row r="311" spans="3:31" ht="11.1" customHeight="1" x14ac:dyDescent="0.15">
      <c r="C311" s="126"/>
      <c r="D311" s="126"/>
      <c r="E311" s="126"/>
      <c r="F311" s="126"/>
      <c r="G311" s="126"/>
      <c r="H311" s="126"/>
      <c r="I311" s="126"/>
      <c r="J311" s="126"/>
      <c r="K311" s="126"/>
      <c r="M311" s="126"/>
      <c r="N311" s="126"/>
      <c r="O311" s="126"/>
      <c r="P311" s="126"/>
      <c r="Q311" s="126"/>
      <c r="R311" s="126"/>
      <c r="S311" s="126"/>
      <c r="X311" s="126"/>
      <c r="Y311" s="126"/>
      <c r="AC311" s="126"/>
      <c r="AD311" s="126"/>
      <c r="AE311" s="126"/>
    </row>
    <row r="318" spans="3:31" ht="11.1" customHeight="1" x14ac:dyDescent="0.15">
      <c r="F318" s="116"/>
      <c r="G318" s="116"/>
      <c r="H318" s="116"/>
      <c r="I318" s="116"/>
      <c r="J318" s="126"/>
      <c r="K318" s="225"/>
      <c r="M318" s="126"/>
      <c r="N318" s="126"/>
      <c r="O318" s="126"/>
      <c r="P318" s="126"/>
      <c r="Q318" s="126"/>
      <c r="R318" s="126"/>
      <c r="S318" s="126"/>
      <c r="X318" s="126"/>
      <c r="Y318" s="126"/>
      <c r="AE318" s="126"/>
    </row>
    <row r="319" spans="3:31" ht="11.1" customHeight="1" x14ac:dyDescent="0.15">
      <c r="F319" s="116"/>
      <c r="G319" s="116"/>
      <c r="H319" s="116"/>
      <c r="I319" s="116"/>
      <c r="K319" s="226"/>
      <c r="M319" s="126"/>
      <c r="N319" s="126"/>
      <c r="O319" s="126"/>
      <c r="P319" s="126"/>
      <c r="Q319" s="126"/>
      <c r="R319" s="126"/>
      <c r="S319" s="126"/>
      <c r="X319" s="226"/>
      <c r="Y319" s="126"/>
      <c r="AC319" s="126"/>
      <c r="AE319" s="126"/>
    </row>
    <row r="320" spans="3:31" ht="11.1" customHeight="1" x14ac:dyDescent="0.15">
      <c r="F320" s="116"/>
      <c r="G320" s="116"/>
      <c r="H320" s="116"/>
      <c r="I320" s="116"/>
      <c r="K320" s="126"/>
      <c r="M320" s="126"/>
      <c r="N320" s="126"/>
      <c r="O320" s="126"/>
      <c r="P320" s="126"/>
      <c r="Q320" s="126"/>
      <c r="R320" s="126"/>
      <c r="S320" s="126"/>
      <c r="X320" s="126"/>
      <c r="Y320" s="126"/>
      <c r="AC320" s="126"/>
      <c r="AE320" s="126"/>
    </row>
    <row r="321" spans="3:31" ht="11.1" customHeight="1" x14ac:dyDescent="0.15">
      <c r="F321" s="116"/>
      <c r="G321" s="116"/>
      <c r="H321" s="116"/>
      <c r="I321" s="116"/>
      <c r="K321" s="126"/>
      <c r="M321" s="126"/>
      <c r="N321" s="126"/>
      <c r="O321" s="126"/>
      <c r="P321" s="126"/>
      <c r="Q321" s="126"/>
      <c r="R321" s="126"/>
      <c r="S321" s="126"/>
      <c r="X321" s="126"/>
      <c r="Y321" s="126"/>
      <c r="AC321" s="126"/>
      <c r="AE321" s="126"/>
    </row>
    <row r="322" spans="3:31" ht="11.1" customHeight="1" x14ac:dyDescent="0.15">
      <c r="F322" s="116"/>
      <c r="G322" s="116"/>
      <c r="H322" s="116"/>
      <c r="I322" s="116"/>
      <c r="K322" s="126"/>
      <c r="M322" s="126"/>
      <c r="N322" s="126"/>
      <c r="O322" s="126"/>
      <c r="P322" s="126"/>
      <c r="Q322" s="126"/>
      <c r="R322" s="126"/>
      <c r="S322" s="126"/>
      <c r="X322" s="126"/>
      <c r="Y322" s="126"/>
      <c r="AC322" s="126"/>
      <c r="AE322" s="126"/>
    </row>
    <row r="323" spans="3:31" ht="11.1" customHeight="1" x14ac:dyDescent="0.15">
      <c r="F323" s="116"/>
      <c r="G323" s="116"/>
      <c r="H323" s="116"/>
      <c r="I323" s="116"/>
      <c r="K323" s="126"/>
      <c r="M323" s="126"/>
      <c r="N323" s="126"/>
      <c r="O323" s="126"/>
      <c r="P323" s="126"/>
      <c r="Q323" s="126"/>
      <c r="R323" s="126"/>
      <c r="S323" s="126"/>
      <c r="X323" s="126"/>
      <c r="Y323" s="126"/>
      <c r="AC323" s="126"/>
      <c r="AE323" s="126"/>
    </row>
    <row r="324" spans="3:31" ht="11.1" customHeight="1" x14ac:dyDescent="0.15">
      <c r="F324" s="116"/>
      <c r="G324" s="116"/>
      <c r="H324" s="116"/>
      <c r="I324" s="116"/>
      <c r="K324" s="126"/>
      <c r="M324" s="126"/>
      <c r="N324" s="126"/>
      <c r="O324" s="126"/>
      <c r="P324" s="126"/>
      <c r="Q324" s="126"/>
      <c r="R324" s="126"/>
      <c r="S324" s="126"/>
      <c r="X324" s="126"/>
      <c r="Y324" s="126"/>
      <c r="AC324" s="126"/>
      <c r="AE324" s="126"/>
    </row>
    <row r="325" spans="3:31" ht="11.1" customHeight="1" x14ac:dyDescent="0.15">
      <c r="F325" s="116"/>
      <c r="G325" s="116"/>
      <c r="H325" s="116"/>
      <c r="I325" s="116"/>
      <c r="K325" s="126"/>
      <c r="M325" s="126"/>
      <c r="N325" s="126"/>
      <c r="O325" s="126"/>
      <c r="P325" s="126"/>
      <c r="Q325" s="126"/>
      <c r="R325" s="126"/>
      <c r="S325" s="126"/>
      <c r="X325" s="126"/>
      <c r="Z325" s="116"/>
      <c r="AA325" s="116"/>
      <c r="AB325" s="116"/>
    </row>
    <row r="326" spans="3:31" ht="11.1" customHeight="1" x14ac:dyDescent="0.15">
      <c r="F326" s="116"/>
      <c r="G326" s="116"/>
      <c r="H326" s="116"/>
      <c r="I326" s="116"/>
      <c r="K326" s="126"/>
      <c r="M326" s="126"/>
      <c r="N326" s="126"/>
      <c r="O326" s="126"/>
      <c r="P326" s="126"/>
      <c r="Q326" s="126"/>
      <c r="R326" s="126"/>
      <c r="S326" s="126"/>
      <c r="X326" s="126"/>
      <c r="Z326" s="116"/>
      <c r="AA326" s="116"/>
      <c r="AB326" s="116"/>
    </row>
    <row r="327" spans="3:31" ht="11.1" customHeight="1" x14ac:dyDescent="0.15">
      <c r="F327" s="116"/>
      <c r="G327" s="116"/>
      <c r="H327" s="116"/>
      <c r="I327" s="116"/>
      <c r="K327" s="126"/>
      <c r="M327" s="126"/>
      <c r="N327" s="126"/>
      <c r="O327" s="126"/>
      <c r="P327" s="126"/>
      <c r="Q327" s="126"/>
      <c r="R327" s="126"/>
      <c r="S327" s="126"/>
      <c r="X327" s="126"/>
      <c r="Z327" s="116"/>
      <c r="AA327" s="116"/>
      <c r="AB327" s="116"/>
    </row>
    <row r="328" spans="3:31" ht="11.1" customHeight="1" x14ac:dyDescent="0.15">
      <c r="F328" s="116"/>
      <c r="G328" s="116"/>
      <c r="H328" s="116"/>
      <c r="I328" s="116"/>
      <c r="K328" s="126"/>
      <c r="M328" s="126"/>
      <c r="N328" s="126"/>
      <c r="O328" s="126"/>
      <c r="P328" s="126"/>
      <c r="Q328" s="126"/>
      <c r="R328" s="126"/>
      <c r="S328" s="126"/>
      <c r="X328" s="126"/>
      <c r="Z328" s="116"/>
      <c r="AA328" s="116"/>
      <c r="AB328" s="116"/>
    </row>
    <row r="329" spans="3:31" ht="11.1" customHeight="1" x14ac:dyDescent="0.15">
      <c r="F329" s="116"/>
      <c r="G329" s="116"/>
      <c r="H329" s="116"/>
      <c r="I329" s="116"/>
      <c r="K329" s="126"/>
      <c r="M329" s="126"/>
      <c r="N329" s="126"/>
      <c r="O329" s="126"/>
      <c r="P329" s="126"/>
      <c r="Q329" s="126"/>
      <c r="R329" s="126"/>
      <c r="S329" s="126"/>
      <c r="X329" s="126"/>
      <c r="Z329" s="116"/>
      <c r="AA329" s="116"/>
      <c r="AB329" s="116"/>
    </row>
    <row r="330" spans="3:31" ht="11.1" customHeight="1" x14ac:dyDescent="0.15">
      <c r="C330" s="227"/>
      <c r="D330" s="227"/>
      <c r="E330" s="227"/>
      <c r="F330" s="116"/>
      <c r="G330" s="116"/>
      <c r="H330" s="116"/>
      <c r="I330" s="116"/>
      <c r="J330" s="126"/>
      <c r="K330" s="126"/>
      <c r="M330" s="126"/>
      <c r="N330" s="126"/>
      <c r="O330" s="126"/>
      <c r="P330" s="126"/>
      <c r="Q330" s="126"/>
      <c r="R330" s="126"/>
      <c r="S330" s="126"/>
      <c r="X330" s="126"/>
      <c r="Z330" s="116"/>
      <c r="AA330" s="116"/>
      <c r="AB330" s="116"/>
    </row>
    <row r="331" spans="3:31" ht="11.1" customHeight="1" x14ac:dyDescent="0.15">
      <c r="C331" s="227"/>
      <c r="D331" s="227"/>
      <c r="E331" s="227"/>
      <c r="F331" s="116"/>
      <c r="G331" s="116"/>
      <c r="H331" s="116"/>
      <c r="I331" s="116"/>
      <c r="J331" s="126"/>
      <c r="K331" s="126"/>
      <c r="M331" s="126"/>
      <c r="N331" s="126"/>
      <c r="O331" s="126"/>
      <c r="P331" s="126"/>
      <c r="Q331" s="126"/>
      <c r="R331" s="126"/>
      <c r="S331" s="126"/>
      <c r="X331" s="126"/>
      <c r="Z331" s="116"/>
      <c r="AA331" s="116"/>
      <c r="AB331" s="116"/>
    </row>
    <row r="332" spans="3:31" ht="11.1" customHeight="1" x14ac:dyDescent="0.15">
      <c r="C332" s="227"/>
      <c r="D332" s="227"/>
      <c r="E332" s="227"/>
      <c r="F332" s="116"/>
      <c r="G332" s="116"/>
      <c r="H332" s="116"/>
      <c r="I332" s="116"/>
      <c r="J332" s="126"/>
      <c r="K332" s="126"/>
      <c r="M332" s="126"/>
      <c r="N332" s="126"/>
      <c r="O332" s="126"/>
      <c r="P332" s="126"/>
      <c r="Q332" s="126"/>
      <c r="R332" s="126"/>
      <c r="S332" s="126"/>
      <c r="X332" s="126"/>
      <c r="Z332" s="116"/>
      <c r="AA332" s="116"/>
      <c r="AB332" s="116"/>
    </row>
  </sheetData>
  <mergeCells count="28">
    <mergeCell ref="AG53:AG57"/>
    <mergeCell ref="U53:U57"/>
    <mergeCell ref="V53:V57"/>
    <mergeCell ref="W53:W57"/>
    <mergeCell ref="X53:X57"/>
    <mergeCell ref="Y53:Y57"/>
    <mergeCell ref="AA53:AA57"/>
    <mergeCell ref="AB53:AB57"/>
    <mergeCell ref="AC53:AC57"/>
    <mergeCell ref="AD53:AD57"/>
    <mergeCell ref="AE53:AE57"/>
    <mergeCell ref="AF53:AF57"/>
    <mergeCell ref="F53:F57"/>
    <mergeCell ref="B53:B57"/>
    <mergeCell ref="C53:C57"/>
    <mergeCell ref="D53:D57"/>
    <mergeCell ref="T53:T57"/>
    <mergeCell ref="G53:G57"/>
    <mergeCell ref="H53:H57"/>
    <mergeCell ref="I53:I57"/>
    <mergeCell ref="J53:J57"/>
    <mergeCell ref="K53:K57"/>
    <mergeCell ref="M53:M57"/>
    <mergeCell ref="N53:N57"/>
    <mergeCell ref="O53:O57"/>
    <mergeCell ref="P53:P57"/>
    <mergeCell ref="Q53:Q57"/>
    <mergeCell ref="R53:R57"/>
  </mergeCells>
  <phoneticPr fontId="8"/>
  <pageMargins left="0.7" right="0.7" top="0.75" bottom="0.75" header="0.3" footer="0.3"/>
  <pageSetup paperSize="9" orientation="portrait" horizontalDpi="0" verticalDpi="0"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10"/>
  <sheetViews>
    <sheetView topLeftCell="A19" zoomScale="80" zoomScaleNormal="80" workbookViewId="0">
      <selection activeCell="B40" activeCellId="1" sqref="B75:Z75 B40:Z40"/>
    </sheetView>
  </sheetViews>
  <sheetFormatPr defaultColWidth="3.875" defaultRowHeight="9.9499999999999993" customHeight="1" x14ac:dyDescent="0.15"/>
  <cols>
    <col min="1" max="1" width="4.875" customWidth="1"/>
    <col min="2" max="2" width="5.75" customWidth="1"/>
    <col min="3" max="3" width="5.375" customWidth="1"/>
    <col min="4" max="26" width="4.625" customWidth="1"/>
    <col min="27" max="29" width="4.375" customWidth="1"/>
  </cols>
  <sheetData>
    <row r="2" spans="1:26" ht="18" customHeight="1" x14ac:dyDescent="0.2">
      <c r="A2" s="67" t="s">
        <v>65</v>
      </c>
      <c r="H2" s="107" t="s">
        <v>108</v>
      </c>
      <c r="P2" s="68"/>
    </row>
    <row r="3" spans="1:26" ht="12" customHeight="1" x14ac:dyDescent="0.2">
      <c r="A3" s="67"/>
      <c r="H3" s="107" t="s">
        <v>109</v>
      </c>
      <c r="P3" s="68"/>
    </row>
    <row r="4" spans="1:26" s="239" customFormat="1" ht="11.1" customHeight="1" x14ac:dyDescent="0.15">
      <c r="A4" s="248" t="s">
        <v>4</v>
      </c>
      <c r="B4" s="249" t="s">
        <v>191</v>
      </c>
      <c r="C4" s="250" t="s">
        <v>6</v>
      </c>
      <c r="D4" s="250" t="s">
        <v>7</v>
      </c>
      <c r="E4" s="250" t="s">
        <v>8</v>
      </c>
      <c r="F4" s="250" t="s">
        <v>9</v>
      </c>
      <c r="G4" s="250" t="s">
        <v>192</v>
      </c>
      <c r="H4" s="250" t="s">
        <v>193</v>
      </c>
      <c r="I4" s="250" t="s">
        <v>210</v>
      </c>
      <c r="J4" s="251" t="s">
        <v>211</v>
      </c>
      <c r="K4" s="250" t="s">
        <v>212</v>
      </c>
      <c r="L4" s="250" t="s">
        <v>213</v>
      </c>
      <c r="M4" s="251" t="s">
        <v>194</v>
      </c>
      <c r="N4" s="251" t="s">
        <v>195</v>
      </c>
      <c r="O4" s="252" t="s">
        <v>13</v>
      </c>
      <c r="P4" s="253" t="s">
        <v>196</v>
      </c>
      <c r="Q4" s="251" t="s">
        <v>214</v>
      </c>
      <c r="R4" s="252" t="s">
        <v>15</v>
      </c>
      <c r="S4" s="251" t="s">
        <v>197</v>
      </c>
      <c r="T4" s="251" t="s">
        <v>198</v>
      </c>
      <c r="U4" s="252" t="s">
        <v>199</v>
      </c>
      <c r="V4" s="250" t="s">
        <v>19</v>
      </c>
      <c r="W4" s="254" t="s">
        <v>200</v>
      </c>
      <c r="X4" s="250" t="s">
        <v>201</v>
      </c>
      <c r="Y4" s="255"/>
    </row>
    <row r="5" spans="1:26" s="239" customFormat="1" ht="52.5" customHeight="1" x14ac:dyDescent="0.15">
      <c r="A5" s="234" t="s">
        <v>4</v>
      </c>
      <c r="B5" s="235" t="s">
        <v>5</v>
      </c>
      <c r="C5" s="236" t="s">
        <v>6</v>
      </c>
      <c r="D5" s="236" t="s">
        <v>7</v>
      </c>
      <c r="E5" s="236" t="s">
        <v>8</v>
      </c>
      <c r="F5" s="240" t="s">
        <v>202</v>
      </c>
      <c r="G5" s="241" t="s">
        <v>37</v>
      </c>
      <c r="H5" s="236" t="s">
        <v>10</v>
      </c>
      <c r="I5" s="236" t="s">
        <v>215</v>
      </c>
      <c r="J5" s="237" t="s">
        <v>216</v>
      </c>
      <c r="K5" s="236" t="s">
        <v>217</v>
      </c>
      <c r="L5" s="240" t="s">
        <v>218</v>
      </c>
      <c r="M5" s="242" t="s">
        <v>11</v>
      </c>
      <c r="N5" s="237" t="s">
        <v>12</v>
      </c>
      <c r="O5" s="243" t="s">
        <v>13</v>
      </c>
      <c r="P5" s="244" t="s">
        <v>14</v>
      </c>
      <c r="Q5" s="242" t="s">
        <v>214</v>
      </c>
      <c r="R5" s="244" t="s">
        <v>15</v>
      </c>
      <c r="S5" s="237" t="s">
        <v>16</v>
      </c>
      <c r="T5" s="237" t="s">
        <v>17</v>
      </c>
      <c r="U5" s="244" t="s">
        <v>18</v>
      </c>
      <c r="V5" s="236" t="s">
        <v>19</v>
      </c>
      <c r="W5" s="236" t="s">
        <v>203</v>
      </c>
      <c r="X5" s="245" t="s">
        <v>204</v>
      </c>
      <c r="Y5" s="246" t="s">
        <v>205</v>
      </c>
      <c r="Z5" s="238"/>
    </row>
    <row r="6" spans="1:26" s="247" customFormat="1" ht="11.1" customHeight="1" x14ac:dyDescent="0.15">
      <c r="A6" s="256">
        <v>30407</v>
      </c>
      <c r="B6" s="106" t="s">
        <v>90</v>
      </c>
      <c r="C6" s="106" t="s">
        <v>219</v>
      </c>
      <c r="D6" s="106" t="s">
        <v>220</v>
      </c>
      <c r="E6" s="41">
        <v>10524</v>
      </c>
      <c r="F6" s="41">
        <v>10524</v>
      </c>
      <c r="G6" s="41">
        <v>3841</v>
      </c>
      <c r="H6" s="41">
        <v>1355</v>
      </c>
      <c r="I6" s="41">
        <v>2486</v>
      </c>
      <c r="J6" s="41"/>
      <c r="K6" s="41">
        <v>226</v>
      </c>
      <c r="L6" s="41">
        <v>1129</v>
      </c>
      <c r="M6" s="41">
        <v>0</v>
      </c>
      <c r="N6" s="41"/>
      <c r="O6" s="41"/>
      <c r="P6" s="41"/>
      <c r="Q6" s="41"/>
      <c r="R6" s="41"/>
      <c r="S6" s="41"/>
      <c r="T6" s="41"/>
      <c r="U6" s="41"/>
      <c r="V6" s="41" t="s">
        <v>91</v>
      </c>
      <c r="W6" s="106"/>
      <c r="X6" s="106"/>
      <c r="Y6" s="106"/>
      <c r="Z6" s="106"/>
    </row>
    <row r="7" spans="1:26" s="247" customFormat="1" ht="11.1" customHeight="1" x14ac:dyDescent="0.15">
      <c r="A7" s="256">
        <v>30773</v>
      </c>
      <c r="B7" s="106" t="s">
        <v>92</v>
      </c>
      <c r="C7" s="106" t="s">
        <v>219</v>
      </c>
      <c r="D7" s="106" t="s">
        <v>220</v>
      </c>
      <c r="E7" s="41">
        <v>10556</v>
      </c>
      <c r="F7" s="41">
        <v>10556</v>
      </c>
      <c r="G7" s="41">
        <v>3853</v>
      </c>
      <c r="H7" s="41">
        <v>986</v>
      </c>
      <c r="I7" s="41">
        <v>2867</v>
      </c>
      <c r="J7" s="41"/>
      <c r="K7" s="41">
        <v>285</v>
      </c>
      <c r="L7" s="41">
        <v>701</v>
      </c>
      <c r="M7" s="41">
        <v>0</v>
      </c>
      <c r="N7" s="41"/>
      <c r="O7" s="41"/>
      <c r="P7" s="41"/>
      <c r="Q7" s="41"/>
      <c r="R7" s="41"/>
      <c r="S7" s="41"/>
      <c r="T7" s="41"/>
      <c r="U7" s="41"/>
      <c r="V7" s="41" t="s">
        <v>91</v>
      </c>
      <c r="W7" s="106"/>
      <c r="X7" s="106"/>
      <c r="Y7" s="106"/>
      <c r="Z7" s="106"/>
    </row>
    <row r="8" spans="1:26" s="247" customFormat="1" ht="11.1" customHeight="1" x14ac:dyDescent="0.15">
      <c r="A8" s="256">
        <v>31138</v>
      </c>
      <c r="B8" s="106" t="s">
        <v>93</v>
      </c>
      <c r="C8" s="106" t="s">
        <v>219</v>
      </c>
      <c r="D8" s="106" t="s">
        <v>220</v>
      </c>
      <c r="E8" s="41">
        <v>10579</v>
      </c>
      <c r="F8" s="41">
        <v>10579</v>
      </c>
      <c r="G8" s="41">
        <v>3082</v>
      </c>
      <c r="H8" s="41">
        <v>1251</v>
      </c>
      <c r="I8" s="41">
        <v>1831</v>
      </c>
      <c r="J8" s="41"/>
      <c r="K8" s="41">
        <v>316</v>
      </c>
      <c r="L8" s="41">
        <v>935</v>
      </c>
      <c r="M8" s="41">
        <v>0</v>
      </c>
      <c r="N8" s="41"/>
      <c r="O8" s="41"/>
      <c r="P8" s="41"/>
      <c r="Q8" s="41"/>
      <c r="R8" s="41"/>
      <c r="S8" s="41"/>
      <c r="T8" s="41"/>
      <c r="U8" s="41"/>
      <c r="V8" s="41" t="s">
        <v>91</v>
      </c>
      <c r="W8" s="106"/>
      <c r="X8" s="106"/>
      <c r="Y8" s="106"/>
      <c r="Z8" s="106"/>
    </row>
    <row r="9" spans="1:26" s="247" customFormat="1" ht="11.1" customHeight="1" x14ac:dyDescent="0.15">
      <c r="A9" s="256">
        <v>31503</v>
      </c>
      <c r="B9" s="106" t="s">
        <v>94</v>
      </c>
      <c r="C9" s="106" t="s">
        <v>219</v>
      </c>
      <c r="D9" s="106" t="s">
        <v>220</v>
      </c>
      <c r="E9" s="41">
        <v>10625</v>
      </c>
      <c r="F9" s="41">
        <v>10625</v>
      </c>
      <c r="G9" s="41">
        <v>3100</v>
      </c>
      <c r="H9" s="41">
        <v>1510</v>
      </c>
      <c r="I9" s="41">
        <v>1590</v>
      </c>
      <c r="J9" s="41"/>
      <c r="K9" s="41">
        <v>381</v>
      </c>
      <c r="L9" s="41">
        <v>1129</v>
      </c>
      <c r="M9" s="41">
        <v>0</v>
      </c>
      <c r="N9" s="41"/>
      <c r="O9" s="41"/>
      <c r="P9" s="41"/>
      <c r="Q9" s="41"/>
      <c r="R9" s="41"/>
      <c r="S9" s="41"/>
      <c r="T9" s="41"/>
      <c r="U9" s="41"/>
      <c r="V9" s="41" t="s">
        <v>91</v>
      </c>
      <c r="W9" s="106"/>
      <c r="X9" s="106"/>
      <c r="Y9" s="106"/>
      <c r="Z9" s="106"/>
    </row>
    <row r="10" spans="1:26" s="247" customFormat="1" ht="11.1" customHeight="1" x14ac:dyDescent="0.15">
      <c r="A10" s="256">
        <v>31868</v>
      </c>
      <c r="B10" s="106" t="s">
        <v>95</v>
      </c>
      <c r="C10" s="106" t="s">
        <v>219</v>
      </c>
      <c r="D10" s="106" t="s">
        <v>220</v>
      </c>
      <c r="E10" s="41">
        <v>10601</v>
      </c>
      <c r="F10" s="41">
        <v>10601</v>
      </c>
      <c r="G10" s="41">
        <v>2707</v>
      </c>
      <c r="H10" s="41">
        <v>1417</v>
      </c>
      <c r="I10" s="41">
        <v>1290</v>
      </c>
      <c r="J10" s="41"/>
      <c r="K10" s="41">
        <v>441</v>
      </c>
      <c r="L10" s="41">
        <v>976</v>
      </c>
      <c r="M10" s="41">
        <v>0</v>
      </c>
      <c r="N10" s="41"/>
      <c r="O10" s="41"/>
      <c r="P10" s="41"/>
      <c r="Q10" s="41"/>
      <c r="R10" s="41"/>
      <c r="S10" s="41"/>
      <c r="T10" s="41"/>
      <c r="U10" s="41"/>
      <c r="V10" s="41" t="s">
        <v>91</v>
      </c>
      <c r="W10" s="106"/>
      <c r="X10" s="106"/>
      <c r="Y10" s="106"/>
      <c r="Z10" s="106"/>
    </row>
    <row r="11" spans="1:26" s="247" customFormat="1" ht="11.1" customHeight="1" x14ac:dyDescent="0.15">
      <c r="A11" s="256">
        <v>32234</v>
      </c>
      <c r="B11" s="106" t="s">
        <v>96</v>
      </c>
      <c r="C11" s="106" t="s">
        <v>219</v>
      </c>
      <c r="D11" s="106" t="s">
        <v>220</v>
      </c>
      <c r="E11" s="41">
        <v>10599</v>
      </c>
      <c r="F11" s="41">
        <v>10599</v>
      </c>
      <c r="G11" s="41">
        <v>2707</v>
      </c>
      <c r="H11" s="41">
        <v>1365</v>
      </c>
      <c r="I11" s="41">
        <v>1342</v>
      </c>
      <c r="J11" s="41"/>
      <c r="K11" s="41">
        <v>493</v>
      </c>
      <c r="L11" s="41">
        <v>872</v>
      </c>
      <c r="M11" s="41">
        <v>0</v>
      </c>
      <c r="N11" s="41"/>
      <c r="O11" s="41"/>
      <c r="P11" s="41"/>
      <c r="Q11" s="41"/>
      <c r="R11" s="41"/>
      <c r="S11" s="41"/>
      <c r="T11" s="41"/>
      <c r="U11" s="41"/>
      <c r="V11" s="41" t="s">
        <v>91</v>
      </c>
      <c r="W11" s="106"/>
      <c r="X11" s="106"/>
      <c r="Y11" s="106"/>
      <c r="Z11" s="106"/>
    </row>
    <row r="12" spans="1:26" s="247" customFormat="1" ht="11.1" customHeight="1" x14ac:dyDescent="0.15">
      <c r="A12" s="256">
        <v>32599</v>
      </c>
      <c r="B12" s="106" t="s">
        <v>97</v>
      </c>
      <c r="C12" s="106" t="s">
        <v>219</v>
      </c>
      <c r="D12" s="106" t="s">
        <v>220</v>
      </c>
      <c r="E12" s="41">
        <v>10587</v>
      </c>
      <c r="F12" s="41">
        <v>10587</v>
      </c>
      <c r="G12" s="41">
        <v>2705</v>
      </c>
      <c r="H12" s="41">
        <v>1412</v>
      </c>
      <c r="I12" s="41">
        <v>1293</v>
      </c>
      <c r="J12" s="41"/>
      <c r="K12" s="41">
        <v>494</v>
      </c>
      <c r="L12" s="41">
        <v>918</v>
      </c>
      <c r="M12" s="41">
        <v>0</v>
      </c>
      <c r="N12" s="41"/>
      <c r="O12" s="41"/>
      <c r="P12" s="41"/>
      <c r="Q12" s="41"/>
      <c r="R12" s="41"/>
      <c r="S12" s="41"/>
      <c r="T12" s="41"/>
      <c r="U12" s="41"/>
      <c r="V12" s="41" t="s">
        <v>91</v>
      </c>
      <c r="W12" s="106"/>
      <c r="X12" s="106"/>
      <c r="Y12" s="106"/>
      <c r="Z12" s="106"/>
    </row>
    <row r="13" spans="1:26" s="247" customFormat="1" ht="11.1" customHeight="1" x14ac:dyDescent="0.15">
      <c r="A13" s="256">
        <v>32964</v>
      </c>
      <c r="B13" s="106" t="s">
        <v>98</v>
      </c>
      <c r="C13" s="106" t="s">
        <v>219</v>
      </c>
      <c r="D13" s="106" t="s">
        <v>220</v>
      </c>
      <c r="E13" s="41">
        <v>10563</v>
      </c>
      <c r="F13" s="41">
        <v>10563</v>
      </c>
      <c r="G13" s="41">
        <v>2698</v>
      </c>
      <c r="H13" s="41">
        <v>1486</v>
      </c>
      <c r="I13" s="41">
        <v>1212</v>
      </c>
      <c r="J13" s="41"/>
      <c r="K13" s="41">
        <v>512</v>
      </c>
      <c r="L13" s="41">
        <v>974</v>
      </c>
      <c r="M13" s="41">
        <v>0</v>
      </c>
      <c r="N13" s="41"/>
      <c r="O13" s="41"/>
      <c r="P13" s="41"/>
      <c r="Q13" s="41"/>
      <c r="R13" s="41"/>
      <c r="S13" s="41"/>
      <c r="T13" s="41"/>
      <c r="U13" s="41"/>
      <c r="V13" s="41" t="s">
        <v>91</v>
      </c>
      <c r="W13" s="106"/>
      <c r="X13" s="106"/>
      <c r="Y13" s="106"/>
      <c r="Z13" s="106"/>
    </row>
    <row r="14" spans="1:26" s="247" customFormat="1" ht="11.1" customHeight="1" x14ac:dyDescent="0.15">
      <c r="A14" s="256">
        <v>33329</v>
      </c>
      <c r="B14" s="106" t="s">
        <v>99</v>
      </c>
      <c r="C14" s="106" t="s">
        <v>219</v>
      </c>
      <c r="D14" s="106" t="s">
        <v>220</v>
      </c>
      <c r="E14" s="41">
        <v>10466</v>
      </c>
      <c r="F14" s="41">
        <v>10466</v>
      </c>
      <c r="G14" s="41">
        <v>2674</v>
      </c>
      <c r="H14" s="41">
        <v>1116</v>
      </c>
      <c r="I14" s="41">
        <v>1558</v>
      </c>
      <c r="J14" s="41"/>
      <c r="K14" s="41">
        <v>513</v>
      </c>
      <c r="L14" s="41">
        <v>580</v>
      </c>
      <c r="M14" s="41">
        <v>23</v>
      </c>
      <c r="N14" s="41"/>
      <c r="O14" s="41"/>
      <c r="P14" s="41"/>
      <c r="Q14" s="41"/>
      <c r="R14" s="41"/>
      <c r="S14" s="41"/>
      <c r="T14" s="41"/>
      <c r="U14" s="41"/>
      <c r="V14" s="41" t="s">
        <v>91</v>
      </c>
      <c r="W14" s="106"/>
      <c r="X14" s="106"/>
      <c r="Y14" s="106"/>
      <c r="Z14" s="106"/>
    </row>
    <row r="15" spans="1:26" s="247" customFormat="1" ht="11.1" customHeight="1" x14ac:dyDescent="0.15">
      <c r="A15" s="256">
        <v>33695</v>
      </c>
      <c r="B15" s="106" t="s">
        <v>100</v>
      </c>
      <c r="C15" s="106" t="s">
        <v>219</v>
      </c>
      <c r="D15" s="106" t="s">
        <v>220</v>
      </c>
      <c r="E15" s="41">
        <v>10446</v>
      </c>
      <c r="F15" s="41">
        <v>10446</v>
      </c>
      <c r="G15" s="41">
        <v>2669</v>
      </c>
      <c r="H15" s="41">
        <v>1127</v>
      </c>
      <c r="I15" s="41">
        <v>1542</v>
      </c>
      <c r="J15" s="41"/>
      <c r="K15" s="41">
        <v>574</v>
      </c>
      <c r="L15" s="41">
        <v>526</v>
      </c>
      <c r="M15" s="41">
        <v>27</v>
      </c>
      <c r="N15" s="41"/>
      <c r="O15" s="41"/>
      <c r="P15" s="41"/>
      <c r="Q15" s="41"/>
      <c r="R15" s="41"/>
      <c r="S15" s="41"/>
      <c r="T15" s="41"/>
      <c r="U15" s="41"/>
      <c r="V15" s="41" t="s">
        <v>91</v>
      </c>
      <c r="W15" s="106"/>
      <c r="X15" s="106"/>
      <c r="Y15" s="106"/>
      <c r="Z15" s="106"/>
    </row>
    <row r="16" spans="1:26" s="247" customFormat="1" ht="11.1" customHeight="1" x14ac:dyDescent="0.15">
      <c r="A16" s="256">
        <v>34060</v>
      </c>
      <c r="B16" s="106" t="s">
        <v>101</v>
      </c>
      <c r="C16" s="106" t="s">
        <v>219</v>
      </c>
      <c r="D16" s="106" t="s">
        <v>220</v>
      </c>
      <c r="E16" s="41">
        <v>10420</v>
      </c>
      <c r="F16" s="41">
        <v>10420</v>
      </c>
      <c r="G16" s="41">
        <v>2662</v>
      </c>
      <c r="H16" s="41">
        <v>1201</v>
      </c>
      <c r="I16" s="41">
        <v>1461</v>
      </c>
      <c r="J16" s="41"/>
      <c r="K16" s="41">
        <v>638</v>
      </c>
      <c r="L16" s="41">
        <v>537</v>
      </c>
      <c r="M16" s="41">
        <v>26</v>
      </c>
      <c r="N16" s="41"/>
      <c r="O16" s="41"/>
      <c r="P16" s="41"/>
      <c r="Q16" s="41"/>
      <c r="R16" s="41"/>
      <c r="S16" s="41"/>
      <c r="T16" s="41"/>
      <c r="U16" s="41"/>
      <c r="V16" s="41" t="s">
        <v>91</v>
      </c>
      <c r="W16" s="106"/>
      <c r="X16" s="106"/>
      <c r="Y16" s="106"/>
      <c r="Z16" s="106"/>
    </row>
    <row r="17" spans="1:26" s="247" customFormat="1" ht="11.1" customHeight="1" x14ac:dyDescent="0.15">
      <c r="A17" s="256">
        <v>34425</v>
      </c>
      <c r="B17" s="106" t="s">
        <v>102</v>
      </c>
      <c r="C17" s="106" t="s">
        <v>219</v>
      </c>
      <c r="D17" s="106" t="s">
        <v>220</v>
      </c>
      <c r="E17" s="41">
        <v>10411</v>
      </c>
      <c r="F17" s="41">
        <v>10411</v>
      </c>
      <c r="G17" s="41">
        <v>2660</v>
      </c>
      <c r="H17" s="41">
        <v>1306</v>
      </c>
      <c r="I17" s="41">
        <v>1354</v>
      </c>
      <c r="J17" s="41"/>
      <c r="K17" s="41">
        <v>658</v>
      </c>
      <c r="L17" s="41">
        <v>608</v>
      </c>
      <c r="M17" s="41">
        <v>40</v>
      </c>
      <c r="N17" s="41"/>
      <c r="O17" s="41"/>
      <c r="P17" s="41"/>
      <c r="Q17" s="41"/>
      <c r="R17" s="41"/>
      <c r="S17" s="41"/>
      <c r="T17" s="41"/>
      <c r="U17" s="41"/>
      <c r="V17" s="41" t="s">
        <v>91</v>
      </c>
      <c r="W17" s="106"/>
      <c r="X17" s="106"/>
      <c r="Y17" s="106"/>
      <c r="Z17" s="106"/>
    </row>
    <row r="18" spans="1:26" s="247" customFormat="1" ht="11.1" customHeight="1" x14ac:dyDescent="0.15">
      <c r="A18" s="256">
        <v>34790</v>
      </c>
      <c r="B18" s="106" t="s">
        <v>103</v>
      </c>
      <c r="C18" s="106" t="s">
        <v>219</v>
      </c>
      <c r="D18" s="106" t="s">
        <v>220</v>
      </c>
      <c r="E18" s="41"/>
      <c r="F18" s="41"/>
      <c r="G18" s="41"/>
      <c r="H18" s="41"/>
      <c r="I18" s="41"/>
      <c r="J18" s="41"/>
      <c r="K18" s="41"/>
      <c r="L18" s="41"/>
      <c r="M18" s="41"/>
      <c r="N18" s="41"/>
      <c r="O18" s="41"/>
      <c r="P18" s="41"/>
      <c r="Q18" s="41"/>
      <c r="R18" s="41"/>
      <c r="S18" s="41"/>
      <c r="T18" s="41"/>
      <c r="U18" s="41"/>
      <c r="V18" s="41" t="s">
        <v>91</v>
      </c>
      <c r="W18" s="106"/>
      <c r="X18" s="106"/>
      <c r="Y18" s="106"/>
      <c r="Z18" s="106"/>
    </row>
    <row r="19" spans="1:26" s="247" customFormat="1" ht="11.1" customHeight="1" x14ac:dyDescent="0.15">
      <c r="A19" s="256">
        <v>35156</v>
      </c>
      <c r="B19" s="106" t="s">
        <v>104</v>
      </c>
      <c r="C19" s="106" t="s">
        <v>219</v>
      </c>
      <c r="D19" s="106" t="s">
        <v>220</v>
      </c>
      <c r="E19" s="41"/>
      <c r="F19" s="41"/>
      <c r="G19" s="41"/>
      <c r="H19" s="41"/>
      <c r="I19" s="41"/>
      <c r="J19" s="41"/>
      <c r="K19" s="41"/>
      <c r="L19" s="41"/>
      <c r="M19" s="41"/>
      <c r="N19" s="41"/>
      <c r="O19" s="41"/>
      <c r="P19" s="41"/>
      <c r="Q19" s="41"/>
      <c r="R19" s="41"/>
      <c r="S19" s="41"/>
      <c r="T19" s="41"/>
      <c r="U19" s="41"/>
      <c r="V19" s="41" t="s">
        <v>91</v>
      </c>
      <c r="W19" s="106"/>
      <c r="X19" s="106"/>
      <c r="Y19" s="106"/>
      <c r="Z19" s="106"/>
    </row>
    <row r="20" spans="1:26" s="247" customFormat="1" ht="11.1" customHeight="1" x14ac:dyDescent="0.15">
      <c r="A20" s="256">
        <v>35521</v>
      </c>
      <c r="B20" s="106" t="s">
        <v>105</v>
      </c>
      <c r="C20" s="106" t="s">
        <v>219</v>
      </c>
      <c r="D20" s="106" t="s">
        <v>220</v>
      </c>
      <c r="E20" s="41">
        <v>10171</v>
      </c>
      <c r="F20" s="41">
        <v>10171</v>
      </c>
      <c r="G20" s="41">
        <v>2270</v>
      </c>
      <c r="H20" s="41">
        <v>1358</v>
      </c>
      <c r="I20" s="41"/>
      <c r="J20" s="41"/>
      <c r="K20" s="41">
        <v>1032</v>
      </c>
      <c r="L20" s="41">
        <v>64</v>
      </c>
      <c r="M20" s="41">
        <v>262</v>
      </c>
      <c r="N20" s="41"/>
      <c r="O20" s="41"/>
      <c r="P20" s="41"/>
      <c r="Q20" s="41"/>
      <c r="R20" s="41"/>
      <c r="S20" s="41"/>
      <c r="T20" s="41"/>
      <c r="U20" s="41"/>
      <c r="V20" s="41" t="s">
        <v>91</v>
      </c>
      <c r="W20" s="106"/>
      <c r="X20" s="106"/>
      <c r="Y20" s="106"/>
      <c r="Z20" s="106"/>
    </row>
    <row r="21" spans="1:26" s="247" customFormat="1" ht="11.1" customHeight="1" x14ac:dyDescent="0.15">
      <c r="A21" s="256">
        <v>35886</v>
      </c>
      <c r="B21" s="106" t="s">
        <v>20</v>
      </c>
      <c r="C21" s="106" t="s">
        <v>219</v>
      </c>
      <c r="D21" s="106" t="s">
        <v>220</v>
      </c>
      <c r="E21" s="41">
        <v>10125</v>
      </c>
      <c r="F21" s="41">
        <v>10125</v>
      </c>
      <c r="G21" s="41">
        <v>1501</v>
      </c>
      <c r="H21" s="41">
        <v>1590</v>
      </c>
      <c r="I21" s="41">
        <v>0</v>
      </c>
      <c r="J21" s="41">
        <v>0</v>
      </c>
      <c r="K21" s="41">
        <v>1116</v>
      </c>
      <c r="L21" s="41">
        <v>0</v>
      </c>
      <c r="M21" s="41">
        <v>373</v>
      </c>
      <c r="N21" s="41">
        <v>101</v>
      </c>
      <c r="O21" s="41">
        <v>1590</v>
      </c>
      <c r="P21" s="41">
        <v>100</v>
      </c>
      <c r="Q21" s="41">
        <v>241</v>
      </c>
      <c r="R21" s="41">
        <v>21.509433962264151</v>
      </c>
      <c r="S21" s="41">
        <v>203</v>
      </c>
      <c r="T21" s="41">
        <v>90</v>
      </c>
      <c r="U21" s="41">
        <v>293</v>
      </c>
      <c r="V21" s="41"/>
      <c r="W21" s="106"/>
      <c r="X21" s="106"/>
      <c r="Y21" s="106"/>
      <c r="Z21" s="106"/>
    </row>
    <row r="22" spans="1:26" s="247" customFormat="1" ht="11.1" customHeight="1" x14ac:dyDescent="0.15">
      <c r="A22" s="256">
        <v>36251</v>
      </c>
      <c r="B22" s="106" t="s">
        <v>21</v>
      </c>
      <c r="C22" s="106" t="s">
        <v>219</v>
      </c>
      <c r="D22" s="106" t="s">
        <v>220</v>
      </c>
      <c r="E22" s="41">
        <v>10037</v>
      </c>
      <c r="F22" s="41">
        <v>10037</v>
      </c>
      <c r="G22" s="41">
        <v>1521</v>
      </c>
      <c r="H22" s="41">
        <v>1607</v>
      </c>
      <c r="I22" s="41">
        <v>0</v>
      </c>
      <c r="J22" s="41">
        <v>0</v>
      </c>
      <c r="K22" s="41">
        <v>1186</v>
      </c>
      <c r="L22" s="41">
        <v>0</v>
      </c>
      <c r="M22" s="41">
        <v>421</v>
      </c>
      <c r="N22" s="41">
        <v>56</v>
      </c>
      <c r="O22" s="41">
        <v>1663</v>
      </c>
      <c r="P22" s="41">
        <v>100</v>
      </c>
      <c r="Q22" s="41">
        <v>243</v>
      </c>
      <c r="R22" s="41">
        <v>17.979555021046302</v>
      </c>
      <c r="S22" s="41">
        <v>217</v>
      </c>
      <c r="T22" s="41">
        <v>86</v>
      </c>
      <c r="U22" s="41">
        <v>303</v>
      </c>
      <c r="V22" s="41"/>
      <c r="W22" s="106"/>
      <c r="X22" s="106"/>
      <c r="Y22" s="106"/>
      <c r="Z22" s="106"/>
    </row>
    <row r="23" spans="1:26" s="247" customFormat="1" ht="11.1" customHeight="1" x14ac:dyDescent="0.15">
      <c r="A23" s="256">
        <v>36617</v>
      </c>
      <c r="B23" s="106" t="s">
        <v>22</v>
      </c>
      <c r="C23" s="106" t="s">
        <v>219</v>
      </c>
      <c r="D23" s="106" t="s">
        <v>220</v>
      </c>
      <c r="E23" s="41">
        <v>9969</v>
      </c>
      <c r="F23" s="41">
        <v>9969</v>
      </c>
      <c r="G23" s="41">
        <v>1685</v>
      </c>
      <c r="H23" s="41">
        <v>1785</v>
      </c>
      <c r="I23" s="41">
        <v>0</v>
      </c>
      <c r="J23" s="41">
        <v>0</v>
      </c>
      <c r="K23" s="41">
        <v>1304</v>
      </c>
      <c r="L23" s="41">
        <v>0</v>
      </c>
      <c r="M23" s="41">
        <v>416</v>
      </c>
      <c r="N23" s="41">
        <v>65</v>
      </c>
      <c r="O23" s="41">
        <v>1785</v>
      </c>
      <c r="P23" s="41">
        <v>100</v>
      </c>
      <c r="Q23" s="41">
        <v>269</v>
      </c>
      <c r="R23" s="41">
        <v>18.711484593837536</v>
      </c>
      <c r="S23" s="41">
        <v>0</v>
      </c>
      <c r="T23" s="41">
        <v>186</v>
      </c>
      <c r="U23" s="41">
        <v>186</v>
      </c>
      <c r="V23" s="41"/>
      <c r="W23" s="106"/>
      <c r="X23" s="106"/>
      <c r="Y23" s="106"/>
      <c r="Z23" s="106"/>
    </row>
    <row r="24" spans="1:26" s="247" customFormat="1" ht="11.1" customHeight="1" x14ac:dyDescent="0.15">
      <c r="A24" s="256">
        <v>36982</v>
      </c>
      <c r="B24" s="106" t="s">
        <v>23</v>
      </c>
      <c r="C24" s="106" t="s">
        <v>219</v>
      </c>
      <c r="D24" s="106" t="s">
        <v>220</v>
      </c>
      <c r="E24" s="41">
        <v>9860</v>
      </c>
      <c r="F24" s="41">
        <v>9860</v>
      </c>
      <c r="G24" s="41">
        <v>1884</v>
      </c>
      <c r="H24" s="41">
        <v>1996</v>
      </c>
      <c r="I24" s="41">
        <v>0</v>
      </c>
      <c r="J24" s="41">
        <v>0</v>
      </c>
      <c r="K24" s="41">
        <v>1530</v>
      </c>
      <c r="L24" s="41">
        <v>0</v>
      </c>
      <c r="M24" s="41">
        <v>374</v>
      </c>
      <c r="N24" s="41">
        <v>92</v>
      </c>
      <c r="O24" s="41">
        <v>1996</v>
      </c>
      <c r="P24" s="41">
        <v>100</v>
      </c>
      <c r="Q24" s="41">
        <v>256</v>
      </c>
      <c r="R24" s="41">
        <v>17.434869739478959</v>
      </c>
      <c r="S24" s="41">
        <v>244</v>
      </c>
      <c r="T24" s="41">
        <v>101</v>
      </c>
      <c r="U24" s="41">
        <v>345</v>
      </c>
      <c r="V24" s="41"/>
      <c r="W24" s="106"/>
      <c r="X24" s="106"/>
      <c r="Y24" s="106"/>
      <c r="Z24" s="106"/>
    </row>
    <row r="25" spans="1:26" s="247" customFormat="1" ht="11.1" customHeight="1" x14ac:dyDescent="0.15">
      <c r="A25" s="256">
        <v>37347</v>
      </c>
      <c r="B25" s="106" t="s">
        <v>24</v>
      </c>
      <c r="C25" s="106" t="s">
        <v>219</v>
      </c>
      <c r="D25" s="106" t="s">
        <v>220</v>
      </c>
      <c r="E25" s="41">
        <v>9794</v>
      </c>
      <c r="F25" s="41">
        <v>9794</v>
      </c>
      <c r="G25" s="41">
        <v>1951</v>
      </c>
      <c r="H25" s="41">
        <v>2053</v>
      </c>
      <c r="I25" s="41">
        <v>0</v>
      </c>
      <c r="J25" s="41">
        <v>0</v>
      </c>
      <c r="K25" s="41">
        <v>1638</v>
      </c>
      <c r="L25" s="41">
        <v>0</v>
      </c>
      <c r="M25" s="41">
        <v>353</v>
      </c>
      <c r="N25" s="41">
        <v>62</v>
      </c>
      <c r="O25" s="41">
        <v>2053</v>
      </c>
      <c r="P25" s="41">
        <v>100</v>
      </c>
      <c r="Q25" s="41">
        <v>218</v>
      </c>
      <c r="R25" s="41">
        <v>13.638577691183634</v>
      </c>
      <c r="S25" s="41">
        <v>275</v>
      </c>
      <c r="T25" s="41">
        <v>78</v>
      </c>
      <c r="U25" s="41">
        <v>353</v>
      </c>
      <c r="V25" s="41"/>
      <c r="W25" s="106"/>
      <c r="X25" s="106"/>
      <c r="Y25" s="106"/>
      <c r="Z25" s="106"/>
    </row>
    <row r="26" spans="1:26" s="247" customFormat="1" ht="11.1" customHeight="1" x14ac:dyDescent="0.15">
      <c r="A26" s="256">
        <v>37712</v>
      </c>
      <c r="B26" s="106" t="s">
        <v>25</v>
      </c>
      <c r="C26" s="106" t="s">
        <v>219</v>
      </c>
      <c r="D26" s="106" t="s">
        <v>220</v>
      </c>
      <c r="E26" s="41">
        <v>9775</v>
      </c>
      <c r="F26" s="41">
        <v>9775</v>
      </c>
      <c r="G26" s="41">
        <v>2224</v>
      </c>
      <c r="H26" s="41">
        <v>2083</v>
      </c>
      <c r="I26" s="41">
        <v>0</v>
      </c>
      <c r="J26" s="41">
        <v>0</v>
      </c>
      <c r="K26" s="41">
        <v>1828</v>
      </c>
      <c r="L26" s="41">
        <v>0</v>
      </c>
      <c r="M26" s="41">
        <v>393</v>
      </c>
      <c r="N26" s="41">
        <v>3</v>
      </c>
      <c r="O26" s="41">
        <v>2224</v>
      </c>
      <c r="P26" s="41">
        <v>100</v>
      </c>
      <c r="Q26" s="41">
        <v>261</v>
      </c>
      <c r="R26" s="41">
        <v>11.870503597122301</v>
      </c>
      <c r="S26" s="41">
        <v>336</v>
      </c>
      <c r="T26" s="41">
        <v>93</v>
      </c>
      <c r="U26" s="41">
        <v>429</v>
      </c>
      <c r="V26" s="41"/>
      <c r="W26" s="106"/>
      <c r="X26" s="106"/>
      <c r="Y26" s="106"/>
      <c r="Z26" s="106"/>
    </row>
    <row r="27" spans="1:26" s="247" customFormat="1" ht="11.1" customHeight="1" x14ac:dyDescent="0.15">
      <c r="A27" s="256">
        <v>38078</v>
      </c>
      <c r="B27" s="106" t="s">
        <v>26</v>
      </c>
      <c r="C27" s="106" t="s">
        <v>219</v>
      </c>
      <c r="D27" s="106" t="s">
        <v>220</v>
      </c>
      <c r="E27" s="41">
        <v>9706</v>
      </c>
      <c r="F27" s="41">
        <v>9706</v>
      </c>
      <c r="G27" s="41">
        <v>2138</v>
      </c>
      <c r="H27" s="41">
        <v>1975</v>
      </c>
      <c r="I27" s="41">
        <v>0</v>
      </c>
      <c r="J27" s="41">
        <v>0</v>
      </c>
      <c r="K27" s="41">
        <v>1729</v>
      </c>
      <c r="L27" s="41">
        <v>0</v>
      </c>
      <c r="M27" s="41">
        <v>354</v>
      </c>
      <c r="N27" s="41">
        <v>55</v>
      </c>
      <c r="O27" s="41">
        <v>2138</v>
      </c>
      <c r="P27" s="41">
        <v>100</v>
      </c>
      <c r="Q27" s="41">
        <v>263</v>
      </c>
      <c r="R27" s="41">
        <v>14.873713751169317</v>
      </c>
      <c r="S27" s="41">
        <v>304</v>
      </c>
      <c r="T27" s="41">
        <v>46</v>
      </c>
      <c r="U27" s="41">
        <v>350</v>
      </c>
      <c r="V27" s="41"/>
      <c r="W27" s="106"/>
      <c r="X27" s="106"/>
      <c r="Y27" s="106"/>
      <c r="Z27" s="106"/>
    </row>
    <row r="28" spans="1:26" s="247" customFormat="1" ht="11.1" customHeight="1" x14ac:dyDescent="0.15">
      <c r="A28" s="256">
        <v>38443</v>
      </c>
      <c r="B28" s="106" t="s">
        <v>27</v>
      </c>
      <c r="C28" s="106" t="s">
        <v>219</v>
      </c>
      <c r="D28" s="106" t="s">
        <v>220</v>
      </c>
      <c r="E28" s="41">
        <v>9590</v>
      </c>
      <c r="F28" s="41">
        <v>9590</v>
      </c>
      <c r="G28" s="41">
        <v>2342</v>
      </c>
      <c r="H28" s="41">
        <v>2109</v>
      </c>
      <c r="I28" s="41">
        <v>0</v>
      </c>
      <c r="J28" s="41">
        <v>0</v>
      </c>
      <c r="K28" s="41">
        <v>1930</v>
      </c>
      <c r="L28" s="41">
        <v>0</v>
      </c>
      <c r="M28" s="41">
        <v>347</v>
      </c>
      <c r="N28" s="41">
        <v>65</v>
      </c>
      <c r="O28" s="41">
        <v>2342</v>
      </c>
      <c r="P28" s="41">
        <v>100</v>
      </c>
      <c r="Q28" s="41">
        <v>243</v>
      </c>
      <c r="R28" s="41">
        <v>13.151152860802734</v>
      </c>
      <c r="S28" s="41">
        <v>353</v>
      </c>
      <c r="T28" s="41">
        <v>49</v>
      </c>
      <c r="U28" s="41">
        <v>402</v>
      </c>
      <c r="V28" s="41"/>
      <c r="W28" s="106"/>
      <c r="X28" s="106"/>
      <c r="Y28" s="106"/>
      <c r="Z28" s="106"/>
    </row>
    <row r="29" spans="1:26" s="247" customFormat="1" ht="11.1" customHeight="1" x14ac:dyDescent="0.15">
      <c r="A29" s="256">
        <v>38808</v>
      </c>
      <c r="B29" s="106" t="s">
        <v>28</v>
      </c>
      <c r="C29" s="106" t="s">
        <v>219</v>
      </c>
      <c r="D29" s="106" t="s">
        <v>220</v>
      </c>
      <c r="E29" s="41">
        <v>9511</v>
      </c>
      <c r="F29" s="41">
        <v>9511</v>
      </c>
      <c r="G29" s="41">
        <v>2369</v>
      </c>
      <c r="H29" s="41">
        <v>2170</v>
      </c>
      <c r="I29" s="41">
        <v>0</v>
      </c>
      <c r="J29" s="41">
        <v>0</v>
      </c>
      <c r="K29" s="41">
        <v>1914</v>
      </c>
      <c r="L29" s="41">
        <v>0</v>
      </c>
      <c r="M29" s="41">
        <v>356</v>
      </c>
      <c r="N29" s="41">
        <v>99</v>
      </c>
      <c r="O29" s="41">
        <v>2369</v>
      </c>
      <c r="P29" s="41">
        <v>100</v>
      </c>
      <c r="Q29" s="41">
        <v>241</v>
      </c>
      <c r="R29" s="41">
        <v>14.352047277332208</v>
      </c>
      <c r="S29" s="41">
        <v>379</v>
      </c>
      <c r="T29" s="41">
        <v>48</v>
      </c>
      <c r="U29" s="41">
        <v>427</v>
      </c>
      <c r="V29" s="41"/>
      <c r="W29" s="106"/>
      <c r="X29" s="106"/>
      <c r="Y29" s="106"/>
      <c r="Z29" s="106"/>
    </row>
    <row r="30" spans="1:26" s="247" customFormat="1" ht="11.1" customHeight="1" x14ac:dyDescent="0.15">
      <c r="A30" s="256">
        <v>39173</v>
      </c>
      <c r="B30" s="106" t="s">
        <v>29</v>
      </c>
      <c r="C30" s="106" t="s">
        <v>219</v>
      </c>
      <c r="D30" s="106" t="s">
        <v>220</v>
      </c>
      <c r="E30" s="41">
        <v>9377</v>
      </c>
      <c r="F30" s="41">
        <v>9377</v>
      </c>
      <c r="G30" s="41">
        <v>2539</v>
      </c>
      <c r="H30" s="41">
        <v>2301</v>
      </c>
      <c r="I30" s="41">
        <v>0</v>
      </c>
      <c r="J30" s="41">
        <v>0</v>
      </c>
      <c r="K30" s="41">
        <v>1962</v>
      </c>
      <c r="L30" s="41">
        <v>0</v>
      </c>
      <c r="M30" s="41">
        <v>408</v>
      </c>
      <c r="N30" s="41">
        <v>169</v>
      </c>
      <c r="O30" s="41">
        <v>2539</v>
      </c>
      <c r="P30" s="41">
        <v>100</v>
      </c>
      <c r="Q30" s="41">
        <v>270</v>
      </c>
      <c r="R30" s="41">
        <v>17.290271760535646</v>
      </c>
      <c r="S30" s="41">
        <v>366</v>
      </c>
      <c r="T30" s="41">
        <v>75</v>
      </c>
      <c r="U30" s="41">
        <v>441</v>
      </c>
      <c r="V30" s="41"/>
      <c r="W30" s="106"/>
      <c r="X30" s="106"/>
      <c r="Y30" s="106"/>
      <c r="Z30" s="106"/>
    </row>
    <row r="31" spans="1:26" s="247" customFormat="1" ht="11.1" customHeight="1" x14ac:dyDescent="0.15">
      <c r="A31" s="256">
        <v>39539</v>
      </c>
      <c r="B31" s="106" t="s">
        <v>30</v>
      </c>
      <c r="C31" s="106" t="s">
        <v>219</v>
      </c>
      <c r="D31" s="106" t="s">
        <v>220</v>
      </c>
      <c r="E31" s="41">
        <v>9242</v>
      </c>
      <c r="F31" s="41">
        <v>9242</v>
      </c>
      <c r="G31" s="41">
        <v>2359</v>
      </c>
      <c r="H31" s="41">
        <v>2147</v>
      </c>
      <c r="I31" s="41">
        <v>0</v>
      </c>
      <c r="J31" s="41">
        <v>0</v>
      </c>
      <c r="K31" s="41">
        <v>1847</v>
      </c>
      <c r="L31" s="41">
        <v>0</v>
      </c>
      <c r="M31" s="41">
        <v>364</v>
      </c>
      <c r="N31" s="41">
        <v>148</v>
      </c>
      <c r="O31" s="41">
        <v>2359</v>
      </c>
      <c r="P31" s="41">
        <v>100</v>
      </c>
      <c r="Q31" s="41">
        <v>246</v>
      </c>
      <c r="R31" s="41">
        <v>16.701992369648156</v>
      </c>
      <c r="S31" s="41">
        <v>358</v>
      </c>
      <c r="T31" s="41">
        <v>51</v>
      </c>
      <c r="U31" s="41">
        <v>409</v>
      </c>
      <c r="V31" s="41"/>
      <c r="W31" s="106"/>
      <c r="X31" s="106"/>
      <c r="Y31" s="106"/>
      <c r="Z31" s="106"/>
    </row>
    <row r="32" spans="1:26" s="247" customFormat="1" ht="11.1" customHeight="1" x14ac:dyDescent="0.15">
      <c r="A32" s="256">
        <v>39904</v>
      </c>
      <c r="B32" s="106" t="s">
        <v>31</v>
      </c>
      <c r="C32" s="106" t="s">
        <v>219</v>
      </c>
      <c r="D32" s="106" t="s">
        <v>220</v>
      </c>
      <c r="E32" s="41">
        <v>9129</v>
      </c>
      <c r="F32" s="41">
        <v>9129</v>
      </c>
      <c r="G32" s="41">
        <v>2462</v>
      </c>
      <c r="H32" s="41">
        <v>2121</v>
      </c>
      <c r="I32" s="41">
        <v>0</v>
      </c>
      <c r="J32" s="41">
        <v>0</v>
      </c>
      <c r="K32" s="41">
        <v>1915</v>
      </c>
      <c r="L32" s="41">
        <v>0</v>
      </c>
      <c r="M32" s="41">
        <v>400</v>
      </c>
      <c r="N32" s="41">
        <v>147</v>
      </c>
      <c r="O32" s="41">
        <v>2462</v>
      </c>
      <c r="P32" s="41">
        <v>100</v>
      </c>
      <c r="Q32" s="41">
        <v>225</v>
      </c>
      <c r="R32" s="41">
        <v>15.109666937449228</v>
      </c>
      <c r="S32" s="41">
        <v>355</v>
      </c>
      <c r="T32" s="41">
        <v>89</v>
      </c>
      <c r="U32" s="41">
        <v>444</v>
      </c>
      <c r="V32" s="41"/>
      <c r="W32" s="106"/>
      <c r="X32" s="106"/>
      <c r="Y32" s="106"/>
      <c r="Z32" s="106"/>
    </row>
    <row r="33" spans="1:26" s="247" customFormat="1" ht="11.1" customHeight="1" x14ac:dyDescent="0.15">
      <c r="A33" s="256">
        <v>40269</v>
      </c>
      <c r="B33" s="106" t="s">
        <v>32</v>
      </c>
      <c r="C33" s="106" t="s">
        <v>219</v>
      </c>
      <c r="D33" s="106" t="s">
        <v>220</v>
      </c>
      <c r="E33" s="41">
        <v>9075</v>
      </c>
      <c r="F33" s="41">
        <v>9075</v>
      </c>
      <c r="G33" s="41">
        <v>2656</v>
      </c>
      <c r="H33" s="41">
        <v>2208</v>
      </c>
      <c r="I33" s="41">
        <v>0</v>
      </c>
      <c r="J33" s="41">
        <v>0</v>
      </c>
      <c r="K33" s="41">
        <v>2167</v>
      </c>
      <c r="L33" s="41">
        <v>0</v>
      </c>
      <c r="M33" s="41">
        <v>367</v>
      </c>
      <c r="N33" s="41">
        <v>122</v>
      </c>
      <c r="O33" s="41">
        <v>2656</v>
      </c>
      <c r="P33" s="41">
        <v>100</v>
      </c>
      <c r="Q33" s="41">
        <v>192</v>
      </c>
      <c r="R33" s="41">
        <v>11.822289156626505</v>
      </c>
      <c r="S33" s="41">
        <v>380</v>
      </c>
      <c r="T33" s="41">
        <v>53</v>
      </c>
      <c r="U33" s="41">
        <v>433</v>
      </c>
      <c r="V33" s="41"/>
      <c r="W33" s="106"/>
      <c r="X33" s="106"/>
      <c r="Y33" s="106"/>
      <c r="Z33" s="106"/>
    </row>
    <row r="34" spans="1:26" s="247" customFormat="1" ht="11.1" customHeight="1" x14ac:dyDescent="0.15">
      <c r="A34" s="256">
        <v>40634</v>
      </c>
      <c r="B34" s="106" t="s">
        <v>33</v>
      </c>
      <c r="C34" s="106" t="s">
        <v>219</v>
      </c>
      <c r="D34" s="106" t="s">
        <v>220</v>
      </c>
      <c r="E34" s="41">
        <v>8955</v>
      </c>
      <c r="F34" s="41">
        <v>8955</v>
      </c>
      <c r="G34" s="41">
        <v>2696</v>
      </c>
      <c r="H34" s="41">
        <v>2422</v>
      </c>
      <c r="I34" s="41">
        <v>274</v>
      </c>
      <c r="J34" s="41">
        <v>0</v>
      </c>
      <c r="K34" s="41">
        <v>2160</v>
      </c>
      <c r="L34" s="41">
        <v>0</v>
      </c>
      <c r="M34" s="41">
        <v>397</v>
      </c>
      <c r="N34" s="41">
        <v>139</v>
      </c>
      <c r="O34" s="41">
        <v>2696</v>
      </c>
      <c r="P34" s="41">
        <v>100</v>
      </c>
      <c r="Q34" s="41">
        <v>222</v>
      </c>
      <c r="R34" s="41">
        <v>13.390207715133531</v>
      </c>
      <c r="S34" s="41">
        <v>386</v>
      </c>
      <c r="T34" s="41">
        <v>78</v>
      </c>
      <c r="U34" s="41">
        <v>464</v>
      </c>
      <c r="V34" s="41"/>
      <c r="W34" s="106"/>
      <c r="X34" s="106"/>
      <c r="Y34" s="106"/>
      <c r="Z34" s="106"/>
    </row>
    <row r="35" spans="1:26" s="247" customFormat="1" ht="11.1" customHeight="1" x14ac:dyDescent="0.15">
      <c r="A35" s="256">
        <v>41000</v>
      </c>
      <c r="B35" s="106" t="s">
        <v>106</v>
      </c>
      <c r="C35" s="106" t="s">
        <v>219</v>
      </c>
      <c r="D35" s="106" t="s">
        <v>220</v>
      </c>
      <c r="E35" s="41">
        <v>8855</v>
      </c>
      <c r="F35" s="41">
        <v>8855</v>
      </c>
      <c r="G35" s="41">
        <v>2734</v>
      </c>
      <c r="H35" s="41">
        <v>2466</v>
      </c>
      <c r="I35" s="41">
        <v>0</v>
      </c>
      <c r="J35" s="41">
        <v>0</v>
      </c>
      <c r="K35" s="41">
        <v>2252</v>
      </c>
      <c r="L35" s="41">
        <v>0</v>
      </c>
      <c r="M35" s="41">
        <v>350</v>
      </c>
      <c r="N35" s="41">
        <v>132</v>
      </c>
      <c r="O35" s="41">
        <v>2734</v>
      </c>
      <c r="P35" s="41">
        <v>100</v>
      </c>
      <c r="Q35" s="41">
        <v>205</v>
      </c>
      <c r="R35" s="41">
        <v>12.32626188734455</v>
      </c>
      <c r="S35" s="41">
        <v>442</v>
      </c>
      <c r="T35" s="41">
        <v>66</v>
      </c>
      <c r="U35" s="41">
        <v>508</v>
      </c>
      <c r="V35" s="41"/>
      <c r="W35" s="106"/>
      <c r="X35" s="106"/>
      <c r="Y35" s="106"/>
      <c r="Z35" s="106"/>
    </row>
    <row r="36" spans="1:26" s="247" customFormat="1" ht="11.1" customHeight="1" x14ac:dyDescent="0.15">
      <c r="A36" s="256">
        <v>41366</v>
      </c>
      <c r="B36" s="106" t="s">
        <v>107</v>
      </c>
      <c r="C36" s="106" t="s">
        <v>219</v>
      </c>
      <c r="D36" s="106" t="s">
        <v>220</v>
      </c>
      <c r="E36" s="41">
        <v>8698</v>
      </c>
      <c r="F36" s="41">
        <v>8698</v>
      </c>
      <c r="G36" s="41">
        <v>2517</v>
      </c>
      <c r="H36" s="41">
        <v>2328</v>
      </c>
      <c r="I36" s="41">
        <v>0</v>
      </c>
      <c r="J36" s="41">
        <v>0</v>
      </c>
      <c r="K36" s="41">
        <v>2045</v>
      </c>
      <c r="L36" s="41">
        <v>0</v>
      </c>
      <c r="M36" s="41">
        <v>346</v>
      </c>
      <c r="N36" s="41">
        <v>126</v>
      </c>
      <c r="O36" s="41">
        <v>2517</v>
      </c>
      <c r="P36" s="41">
        <v>100</v>
      </c>
      <c r="Q36" s="41">
        <v>0</v>
      </c>
      <c r="R36" s="41">
        <v>5.0059594755661507</v>
      </c>
      <c r="S36" s="41">
        <v>363</v>
      </c>
      <c r="T36" s="41">
        <v>60</v>
      </c>
      <c r="U36" s="41">
        <v>423</v>
      </c>
      <c r="V36" s="41"/>
      <c r="W36" s="106"/>
      <c r="X36" s="106"/>
      <c r="Y36" s="106"/>
      <c r="Z36" s="106"/>
    </row>
    <row r="37" spans="1:26" s="247" customFormat="1" ht="11.1" customHeight="1" x14ac:dyDescent="0.15">
      <c r="A37" s="256">
        <v>41732</v>
      </c>
      <c r="B37" s="106" t="s">
        <v>34</v>
      </c>
      <c r="C37" s="106" t="s">
        <v>219</v>
      </c>
      <c r="D37" s="106" t="s">
        <v>220</v>
      </c>
      <c r="E37" s="41">
        <v>8640</v>
      </c>
      <c r="F37" s="41">
        <v>8640</v>
      </c>
      <c r="G37" s="41">
        <v>2386</v>
      </c>
      <c r="H37" s="41">
        <v>2217</v>
      </c>
      <c r="I37" s="41">
        <v>0</v>
      </c>
      <c r="J37" s="41">
        <v>0</v>
      </c>
      <c r="K37" s="41">
        <v>1959</v>
      </c>
      <c r="L37" s="41">
        <v>0</v>
      </c>
      <c r="M37" s="41">
        <v>311</v>
      </c>
      <c r="N37" s="41">
        <v>116</v>
      </c>
      <c r="O37" s="41">
        <v>2386</v>
      </c>
      <c r="P37" s="41">
        <v>100</v>
      </c>
      <c r="Q37" s="41">
        <v>0</v>
      </c>
      <c r="R37" s="41">
        <v>4.8616932103939652</v>
      </c>
      <c r="S37" s="41">
        <v>356</v>
      </c>
      <c r="T37" s="41">
        <v>58</v>
      </c>
      <c r="U37" s="41">
        <v>414</v>
      </c>
      <c r="V37" s="41"/>
      <c r="W37" s="106"/>
      <c r="X37" s="106"/>
      <c r="Y37" s="106"/>
      <c r="Z37" s="106"/>
    </row>
    <row r="38" spans="1:26" s="247" customFormat="1" ht="11.1" customHeight="1" x14ac:dyDescent="0.15">
      <c r="A38" s="256">
        <v>42098</v>
      </c>
      <c r="B38" s="106" t="s">
        <v>35</v>
      </c>
      <c r="C38" s="106" t="s">
        <v>219</v>
      </c>
      <c r="D38" s="106" t="s">
        <v>220</v>
      </c>
      <c r="E38" s="41">
        <v>8478</v>
      </c>
      <c r="F38" s="41">
        <v>8478</v>
      </c>
      <c r="G38" s="41">
        <v>2461</v>
      </c>
      <c r="H38" s="41">
        <v>2228</v>
      </c>
      <c r="I38" s="41">
        <v>0</v>
      </c>
      <c r="J38" s="41">
        <v>0</v>
      </c>
      <c r="K38" s="41">
        <v>2072</v>
      </c>
      <c r="L38" s="41">
        <v>0</v>
      </c>
      <c r="M38" s="41">
        <v>281</v>
      </c>
      <c r="N38" s="41">
        <v>108</v>
      </c>
      <c r="O38" s="41">
        <v>2461</v>
      </c>
      <c r="P38" s="41">
        <v>100</v>
      </c>
      <c r="Q38" s="41">
        <v>0</v>
      </c>
      <c r="R38" s="41">
        <v>4.3884599756196669</v>
      </c>
      <c r="S38" s="41">
        <v>362</v>
      </c>
      <c r="T38" s="41">
        <v>83</v>
      </c>
      <c r="U38" s="41">
        <v>445</v>
      </c>
      <c r="V38" s="41"/>
      <c r="W38" s="106"/>
      <c r="X38" s="106"/>
      <c r="Y38" s="106">
        <v>233</v>
      </c>
      <c r="Z38" s="106"/>
    </row>
    <row r="39" spans="1:26" s="247" customFormat="1" ht="11.1" customHeight="1" x14ac:dyDescent="0.15">
      <c r="A39" s="256">
        <v>42464</v>
      </c>
      <c r="B39" s="106" t="s">
        <v>36</v>
      </c>
      <c r="C39" s="106" t="s">
        <v>219</v>
      </c>
      <c r="D39" s="106" t="s">
        <v>220</v>
      </c>
      <c r="E39" s="41">
        <v>8324</v>
      </c>
      <c r="F39" s="41">
        <v>8324</v>
      </c>
      <c r="G39" s="41">
        <v>2460</v>
      </c>
      <c r="H39" s="41">
        <v>2233</v>
      </c>
      <c r="I39" s="41">
        <v>0</v>
      </c>
      <c r="J39" s="41">
        <v>0</v>
      </c>
      <c r="K39" s="41">
        <v>2036</v>
      </c>
      <c r="L39" s="41">
        <v>0</v>
      </c>
      <c r="M39" s="41">
        <v>313</v>
      </c>
      <c r="N39" s="41">
        <v>117</v>
      </c>
      <c r="O39" s="41">
        <v>2466</v>
      </c>
      <c r="P39" s="41">
        <v>100</v>
      </c>
      <c r="Q39" s="41">
        <v>0</v>
      </c>
      <c r="R39" s="41">
        <v>4.7445255474452548</v>
      </c>
      <c r="S39" s="41">
        <v>367</v>
      </c>
      <c r="T39" s="41">
        <v>63</v>
      </c>
      <c r="U39" s="41">
        <v>430</v>
      </c>
      <c r="V39" s="41"/>
      <c r="W39" s="106"/>
      <c r="X39" s="106"/>
      <c r="Y39" s="106">
        <v>227</v>
      </c>
      <c r="Z39" s="106"/>
    </row>
    <row r="40" spans="1:26" s="247" customFormat="1" ht="11.1" customHeight="1" x14ac:dyDescent="0.15">
      <c r="A40" s="256">
        <v>42826</v>
      </c>
      <c r="B40" s="106" t="s">
        <v>221</v>
      </c>
      <c r="C40" s="106" t="s">
        <v>219</v>
      </c>
      <c r="D40" s="106" t="s">
        <v>220</v>
      </c>
      <c r="E40" s="41">
        <v>8204</v>
      </c>
      <c r="F40" s="41">
        <v>8204</v>
      </c>
      <c r="G40" s="41">
        <v>2413</v>
      </c>
      <c r="H40" s="41">
        <v>2275</v>
      </c>
      <c r="I40" s="41">
        <v>0</v>
      </c>
      <c r="J40" s="41">
        <v>0</v>
      </c>
      <c r="K40" s="41">
        <v>2013</v>
      </c>
      <c r="L40" s="41">
        <v>0</v>
      </c>
      <c r="M40" s="41">
        <v>284</v>
      </c>
      <c r="N40" s="41">
        <v>116</v>
      </c>
      <c r="O40" s="41">
        <v>2413</v>
      </c>
      <c r="P40" s="41">
        <v>100</v>
      </c>
      <c r="Q40" s="41">
        <v>164</v>
      </c>
      <c r="R40" s="41">
        <v>11.603812681309574</v>
      </c>
      <c r="S40" s="41">
        <v>393</v>
      </c>
      <c r="T40" s="41">
        <v>44</v>
      </c>
      <c r="U40" s="41">
        <v>437</v>
      </c>
      <c r="V40" s="41"/>
      <c r="W40" s="106"/>
      <c r="X40" s="106"/>
      <c r="Y40" s="106">
        <v>138</v>
      </c>
      <c r="Z40" s="106"/>
    </row>
    <row r="41" spans="1:26" s="247" customFormat="1" ht="11.1" customHeight="1" x14ac:dyDescent="0.15">
      <c r="A41" s="256">
        <v>30407</v>
      </c>
      <c r="B41" s="106" t="s">
        <v>90</v>
      </c>
      <c r="C41" s="106" t="s">
        <v>222</v>
      </c>
      <c r="D41" s="106" t="s">
        <v>223</v>
      </c>
      <c r="E41" s="41">
        <v>5521</v>
      </c>
      <c r="F41" s="41">
        <v>5521</v>
      </c>
      <c r="G41" s="41">
        <v>2015</v>
      </c>
      <c r="H41" s="41">
        <v>328</v>
      </c>
      <c r="I41" s="41">
        <v>1687</v>
      </c>
      <c r="J41" s="41"/>
      <c r="K41" s="41">
        <v>162</v>
      </c>
      <c r="L41" s="41">
        <v>128</v>
      </c>
      <c r="M41" s="41">
        <v>38</v>
      </c>
      <c r="N41" s="41"/>
      <c r="O41" s="41"/>
      <c r="P41" s="41"/>
      <c r="Q41" s="41"/>
      <c r="R41" s="41"/>
      <c r="S41" s="41"/>
      <c r="T41" s="41"/>
      <c r="U41" s="41"/>
      <c r="V41" s="41" t="s">
        <v>91</v>
      </c>
      <c r="W41" s="106"/>
      <c r="X41" s="106"/>
      <c r="Y41" s="106"/>
      <c r="Z41" s="106"/>
    </row>
    <row r="42" spans="1:26" s="247" customFormat="1" ht="11.1" customHeight="1" x14ac:dyDescent="0.15">
      <c r="A42" s="256">
        <v>30773</v>
      </c>
      <c r="B42" s="106" t="s">
        <v>92</v>
      </c>
      <c r="C42" s="106" t="s">
        <v>222</v>
      </c>
      <c r="D42" s="106" t="s">
        <v>223</v>
      </c>
      <c r="E42" s="41">
        <v>5536</v>
      </c>
      <c r="F42" s="41">
        <v>5536</v>
      </c>
      <c r="G42" s="41">
        <v>2021</v>
      </c>
      <c r="H42" s="41">
        <v>348</v>
      </c>
      <c r="I42" s="41">
        <v>1673</v>
      </c>
      <c r="J42" s="41"/>
      <c r="K42" s="41">
        <v>176</v>
      </c>
      <c r="L42" s="41">
        <v>139</v>
      </c>
      <c r="M42" s="41">
        <v>33</v>
      </c>
      <c r="N42" s="41"/>
      <c r="O42" s="41"/>
      <c r="P42" s="41"/>
      <c r="Q42" s="41"/>
      <c r="R42" s="41"/>
      <c r="S42" s="41"/>
      <c r="T42" s="41"/>
      <c r="U42" s="41"/>
      <c r="V42" s="41" t="s">
        <v>91</v>
      </c>
      <c r="W42" s="106"/>
      <c r="X42" s="106"/>
      <c r="Y42" s="106"/>
      <c r="Z42" s="106"/>
    </row>
    <row r="43" spans="1:26" s="247" customFormat="1" ht="11.1" customHeight="1" x14ac:dyDescent="0.15">
      <c r="A43" s="256">
        <v>31138</v>
      </c>
      <c r="B43" s="106" t="s">
        <v>93</v>
      </c>
      <c r="C43" s="106" t="s">
        <v>222</v>
      </c>
      <c r="D43" s="106" t="s">
        <v>223</v>
      </c>
      <c r="E43" s="41">
        <v>5643</v>
      </c>
      <c r="F43" s="41">
        <v>5643</v>
      </c>
      <c r="G43" s="41">
        <v>2059</v>
      </c>
      <c r="H43" s="41">
        <v>352</v>
      </c>
      <c r="I43" s="41">
        <v>1707</v>
      </c>
      <c r="J43" s="41"/>
      <c r="K43" s="41">
        <v>206</v>
      </c>
      <c r="L43" s="41">
        <v>114</v>
      </c>
      <c r="M43" s="41">
        <v>32</v>
      </c>
      <c r="N43" s="41"/>
      <c r="O43" s="41"/>
      <c r="P43" s="41"/>
      <c r="Q43" s="41"/>
      <c r="R43" s="41"/>
      <c r="S43" s="41"/>
      <c r="T43" s="41"/>
      <c r="U43" s="41"/>
      <c r="V43" s="41" t="s">
        <v>91</v>
      </c>
      <c r="W43" s="106"/>
      <c r="X43" s="106"/>
      <c r="Y43" s="106"/>
      <c r="Z43" s="106"/>
    </row>
    <row r="44" spans="1:26" s="247" customFormat="1" ht="11.1" customHeight="1" x14ac:dyDescent="0.15">
      <c r="A44" s="256">
        <v>31503</v>
      </c>
      <c r="B44" s="106" t="s">
        <v>94</v>
      </c>
      <c r="C44" s="106" t="s">
        <v>222</v>
      </c>
      <c r="D44" s="106" t="s">
        <v>223</v>
      </c>
      <c r="E44" s="41">
        <v>5701</v>
      </c>
      <c r="F44" s="41">
        <v>5701</v>
      </c>
      <c r="G44" s="41">
        <v>2081</v>
      </c>
      <c r="H44" s="41">
        <v>383</v>
      </c>
      <c r="I44" s="41">
        <v>1698</v>
      </c>
      <c r="J44" s="41"/>
      <c r="K44" s="41">
        <v>225</v>
      </c>
      <c r="L44" s="41">
        <v>114</v>
      </c>
      <c r="M44" s="41">
        <v>44</v>
      </c>
      <c r="N44" s="41"/>
      <c r="O44" s="41"/>
      <c r="P44" s="41"/>
      <c r="Q44" s="41"/>
      <c r="R44" s="41"/>
      <c r="S44" s="41"/>
      <c r="T44" s="41"/>
      <c r="U44" s="41"/>
      <c r="V44" s="41" t="s">
        <v>91</v>
      </c>
      <c r="W44" s="106"/>
      <c r="X44" s="106"/>
      <c r="Y44" s="106"/>
      <c r="Z44" s="106"/>
    </row>
    <row r="45" spans="1:26" s="247" customFormat="1" ht="11.1" customHeight="1" x14ac:dyDescent="0.15">
      <c r="A45" s="256">
        <v>31868</v>
      </c>
      <c r="B45" s="106" t="s">
        <v>95</v>
      </c>
      <c r="C45" s="106" t="s">
        <v>222</v>
      </c>
      <c r="D45" s="106" t="s">
        <v>223</v>
      </c>
      <c r="E45" s="41">
        <v>5702</v>
      </c>
      <c r="F45" s="41">
        <v>5702</v>
      </c>
      <c r="G45" s="41">
        <v>2081</v>
      </c>
      <c r="H45" s="41">
        <v>425</v>
      </c>
      <c r="I45" s="41">
        <v>1656</v>
      </c>
      <c r="J45" s="41"/>
      <c r="K45" s="41">
        <v>257</v>
      </c>
      <c r="L45" s="41">
        <v>120</v>
      </c>
      <c r="M45" s="41">
        <v>48</v>
      </c>
      <c r="N45" s="41"/>
      <c r="O45" s="41"/>
      <c r="P45" s="41"/>
      <c r="Q45" s="41"/>
      <c r="R45" s="41"/>
      <c r="S45" s="41"/>
      <c r="T45" s="41"/>
      <c r="U45" s="41"/>
      <c r="V45" s="41" t="s">
        <v>91</v>
      </c>
      <c r="W45" s="106"/>
      <c r="X45" s="106"/>
      <c r="Y45" s="106"/>
      <c r="Z45" s="106"/>
    </row>
    <row r="46" spans="1:26" s="247" customFormat="1" ht="11.1" customHeight="1" x14ac:dyDescent="0.15">
      <c r="A46" s="256">
        <v>32234</v>
      </c>
      <c r="B46" s="106" t="s">
        <v>96</v>
      </c>
      <c r="C46" s="106" t="s">
        <v>222</v>
      </c>
      <c r="D46" s="106" t="s">
        <v>223</v>
      </c>
      <c r="E46" s="41">
        <v>5773</v>
      </c>
      <c r="F46" s="41">
        <v>5773</v>
      </c>
      <c r="G46" s="41">
        <v>2107</v>
      </c>
      <c r="H46" s="41">
        <v>540</v>
      </c>
      <c r="I46" s="41">
        <v>1567</v>
      </c>
      <c r="J46" s="41"/>
      <c r="K46" s="41">
        <v>325</v>
      </c>
      <c r="L46" s="41">
        <v>138</v>
      </c>
      <c r="M46" s="41">
        <v>77</v>
      </c>
      <c r="N46" s="41"/>
      <c r="O46" s="41"/>
      <c r="P46" s="41"/>
      <c r="Q46" s="41"/>
      <c r="R46" s="41"/>
      <c r="S46" s="41"/>
      <c r="T46" s="41"/>
      <c r="U46" s="41"/>
      <c r="V46" s="41" t="s">
        <v>91</v>
      </c>
      <c r="W46" s="106"/>
      <c r="X46" s="106"/>
      <c r="Y46" s="106"/>
      <c r="Z46" s="106"/>
    </row>
    <row r="47" spans="1:26" s="247" customFormat="1" ht="11.1" customHeight="1" x14ac:dyDescent="0.15">
      <c r="A47" s="256">
        <v>32599</v>
      </c>
      <c r="B47" s="106" t="s">
        <v>97</v>
      </c>
      <c r="C47" s="106" t="s">
        <v>222</v>
      </c>
      <c r="D47" s="106" t="s">
        <v>223</v>
      </c>
      <c r="E47" s="41">
        <v>5860</v>
      </c>
      <c r="F47" s="41">
        <v>5860</v>
      </c>
      <c r="G47" s="41">
        <v>2139</v>
      </c>
      <c r="H47" s="41">
        <v>618</v>
      </c>
      <c r="I47" s="41">
        <v>1521</v>
      </c>
      <c r="J47" s="41"/>
      <c r="K47" s="41">
        <v>388</v>
      </c>
      <c r="L47" s="41">
        <v>142</v>
      </c>
      <c r="M47" s="41">
        <v>88</v>
      </c>
      <c r="N47" s="41"/>
      <c r="O47" s="41"/>
      <c r="P47" s="41"/>
      <c r="Q47" s="41"/>
      <c r="R47" s="41"/>
      <c r="S47" s="41"/>
      <c r="T47" s="41"/>
      <c r="U47" s="41"/>
      <c r="V47" s="41" t="s">
        <v>91</v>
      </c>
      <c r="W47" s="106"/>
      <c r="X47" s="106"/>
      <c r="Y47" s="106"/>
      <c r="Z47" s="106"/>
    </row>
    <row r="48" spans="1:26" s="247" customFormat="1" ht="11.1" customHeight="1" x14ac:dyDescent="0.15">
      <c r="A48" s="256">
        <v>32964</v>
      </c>
      <c r="B48" s="106" t="s">
        <v>98</v>
      </c>
      <c r="C48" s="106" t="s">
        <v>222</v>
      </c>
      <c r="D48" s="106" t="s">
        <v>223</v>
      </c>
      <c r="E48" s="41">
        <v>5958</v>
      </c>
      <c r="F48" s="41">
        <v>5958</v>
      </c>
      <c r="G48" s="41">
        <v>2175</v>
      </c>
      <c r="H48" s="41">
        <v>655</v>
      </c>
      <c r="I48" s="41">
        <v>1520</v>
      </c>
      <c r="J48" s="41"/>
      <c r="K48" s="41">
        <v>434</v>
      </c>
      <c r="L48" s="41">
        <v>146</v>
      </c>
      <c r="M48" s="41">
        <v>75</v>
      </c>
      <c r="N48" s="41"/>
      <c r="O48" s="41"/>
      <c r="P48" s="41"/>
      <c r="Q48" s="41"/>
      <c r="R48" s="41"/>
      <c r="S48" s="41"/>
      <c r="T48" s="41"/>
      <c r="U48" s="41"/>
      <c r="V48" s="41" t="s">
        <v>91</v>
      </c>
      <c r="W48" s="106"/>
      <c r="X48" s="106"/>
      <c r="Y48" s="106"/>
      <c r="Z48" s="106"/>
    </row>
    <row r="49" spans="1:26" s="247" customFormat="1" ht="11.1" customHeight="1" x14ac:dyDescent="0.15">
      <c r="A49" s="256">
        <v>33329</v>
      </c>
      <c r="B49" s="106" t="s">
        <v>99</v>
      </c>
      <c r="C49" s="106" t="s">
        <v>222</v>
      </c>
      <c r="D49" s="106" t="s">
        <v>223</v>
      </c>
      <c r="E49" s="41">
        <v>6020</v>
      </c>
      <c r="F49" s="41">
        <v>6020</v>
      </c>
      <c r="G49" s="41">
        <v>2196</v>
      </c>
      <c r="H49" s="41">
        <v>722</v>
      </c>
      <c r="I49" s="41">
        <v>1474</v>
      </c>
      <c r="J49" s="41"/>
      <c r="K49" s="41">
        <v>485</v>
      </c>
      <c r="L49" s="41">
        <v>156</v>
      </c>
      <c r="M49" s="41">
        <v>81</v>
      </c>
      <c r="N49" s="41"/>
      <c r="O49" s="41"/>
      <c r="P49" s="41"/>
      <c r="Q49" s="41"/>
      <c r="R49" s="41"/>
      <c r="S49" s="41"/>
      <c r="T49" s="41"/>
      <c r="U49" s="41"/>
      <c r="V49" s="41" t="s">
        <v>91</v>
      </c>
      <c r="W49" s="106"/>
      <c r="X49" s="106"/>
      <c r="Y49" s="106"/>
      <c r="Z49" s="106"/>
    </row>
    <row r="50" spans="1:26" s="247" customFormat="1" ht="11.1" customHeight="1" x14ac:dyDescent="0.15">
      <c r="A50" s="256">
        <v>33695</v>
      </c>
      <c r="B50" s="106" t="s">
        <v>100</v>
      </c>
      <c r="C50" s="106" t="s">
        <v>222</v>
      </c>
      <c r="D50" s="106" t="s">
        <v>223</v>
      </c>
      <c r="E50" s="41">
        <v>6028</v>
      </c>
      <c r="F50" s="41">
        <v>6028</v>
      </c>
      <c r="G50" s="41">
        <v>2200</v>
      </c>
      <c r="H50" s="41">
        <v>828</v>
      </c>
      <c r="I50" s="41">
        <v>1372</v>
      </c>
      <c r="J50" s="41"/>
      <c r="K50" s="41">
        <v>568</v>
      </c>
      <c r="L50" s="41">
        <v>171</v>
      </c>
      <c r="M50" s="41">
        <v>89</v>
      </c>
      <c r="N50" s="41"/>
      <c r="O50" s="41"/>
      <c r="P50" s="41"/>
      <c r="Q50" s="41"/>
      <c r="R50" s="41"/>
      <c r="S50" s="41"/>
      <c r="T50" s="41"/>
      <c r="U50" s="41"/>
      <c r="V50" s="41" t="s">
        <v>91</v>
      </c>
      <c r="W50" s="106"/>
      <c r="X50" s="106"/>
      <c r="Y50" s="106"/>
      <c r="Z50" s="106"/>
    </row>
    <row r="51" spans="1:26" s="247" customFormat="1" ht="11.1" customHeight="1" x14ac:dyDescent="0.15">
      <c r="A51" s="256">
        <v>34060</v>
      </c>
      <c r="B51" s="106" t="s">
        <v>101</v>
      </c>
      <c r="C51" s="106" t="s">
        <v>222</v>
      </c>
      <c r="D51" s="106" t="s">
        <v>223</v>
      </c>
      <c r="E51" s="41">
        <v>6019</v>
      </c>
      <c r="F51" s="41">
        <v>6019</v>
      </c>
      <c r="G51" s="41">
        <v>2197</v>
      </c>
      <c r="H51" s="41">
        <v>845</v>
      </c>
      <c r="I51" s="41">
        <v>1352</v>
      </c>
      <c r="J51" s="41"/>
      <c r="K51" s="41">
        <v>588</v>
      </c>
      <c r="L51" s="41">
        <v>172</v>
      </c>
      <c r="M51" s="41">
        <v>85</v>
      </c>
      <c r="N51" s="41"/>
      <c r="O51" s="41"/>
      <c r="P51" s="41"/>
      <c r="Q51" s="41"/>
      <c r="R51" s="41"/>
      <c r="S51" s="41"/>
      <c r="T51" s="41"/>
      <c r="U51" s="41"/>
      <c r="V51" s="41" t="s">
        <v>91</v>
      </c>
      <c r="W51" s="106"/>
      <c r="X51" s="106"/>
      <c r="Y51" s="106"/>
      <c r="Z51" s="106"/>
    </row>
    <row r="52" spans="1:26" s="247" customFormat="1" ht="11.1" customHeight="1" x14ac:dyDescent="0.15">
      <c r="A52" s="256">
        <v>34425</v>
      </c>
      <c r="B52" s="106" t="s">
        <v>102</v>
      </c>
      <c r="C52" s="106" t="s">
        <v>222</v>
      </c>
      <c r="D52" s="106" t="s">
        <v>223</v>
      </c>
      <c r="E52" s="41">
        <v>6020</v>
      </c>
      <c r="F52" s="41">
        <v>6020</v>
      </c>
      <c r="G52" s="41">
        <v>2197</v>
      </c>
      <c r="H52" s="41">
        <v>1048</v>
      </c>
      <c r="I52" s="41">
        <v>1149</v>
      </c>
      <c r="J52" s="41"/>
      <c r="K52" s="41">
        <v>772</v>
      </c>
      <c r="L52" s="41">
        <v>197</v>
      </c>
      <c r="M52" s="41">
        <v>79</v>
      </c>
      <c r="N52" s="41"/>
      <c r="O52" s="41"/>
      <c r="P52" s="41"/>
      <c r="Q52" s="41"/>
      <c r="R52" s="41"/>
      <c r="S52" s="41"/>
      <c r="T52" s="41"/>
      <c r="U52" s="41"/>
      <c r="V52" s="41" t="s">
        <v>91</v>
      </c>
      <c r="W52" s="106"/>
      <c r="X52" s="106"/>
      <c r="Y52" s="106"/>
      <c r="Z52" s="106"/>
    </row>
    <row r="53" spans="1:26" s="247" customFormat="1" ht="11.1" customHeight="1" x14ac:dyDescent="0.15">
      <c r="A53" s="256">
        <v>34790</v>
      </c>
      <c r="B53" s="106" t="s">
        <v>103</v>
      </c>
      <c r="C53" s="106" t="s">
        <v>222</v>
      </c>
      <c r="D53" s="106" t="s">
        <v>223</v>
      </c>
      <c r="E53" s="41"/>
      <c r="F53" s="41"/>
      <c r="G53" s="41"/>
      <c r="H53" s="41"/>
      <c r="I53" s="41"/>
      <c r="J53" s="41"/>
      <c r="K53" s="41"/>
      <c r="L53" s="41"/>
      <c r="M53" s="41"/>
      <c r="N53" s="41"/>
      <c r="O53" s="41"/>
      <c r="P53" s="41"/>
      <c r="Q53" s="41"/>
      <c r="R53" s="41"/>
      <c r="S53" s="41"/>
      <c r="T53" s="41"/>
      <c r="U53" s="41"/>
      <c r="V53" s="41" t="s">
        <v>91</v>
      </c>
      <c r="W53" s="106"/>
      <c r="X53" s="106"/>
      <c r="Y53" s="106"/>
      <c r="Z53" s="106"/>
    </row>
    <row r="54" spans="1:26" s="247" customFormat="1" ht="11.1" customHeight="1" x14ac:dyDescent="0.15">
      <c r="A54" s="256">
        <v>35156</v>
      </c>
      <c r="B54" s="106" t="s">
        <v>104</v>
      </c>
      <c r="C54" s="106" t="s">
        <v>222</v>
      </c>
      <c r="D54" s="106" t="s">
        <v>223</v>
      </c>
      <c r="E54" s="41"/>
      <c r="F54" s="41"/>
      <c r="G54" s="41"/>
      <c r="H54" s="41"/>
      <c r="I54" s="41"/>
      <c r="J54" s="41"/>
      <c r="K54" s="41"/>
      <c r="L54" s="41"/>
      <c r="M54" s="41"/>
      <c r="N54" s="41"/>
      <c r="O54" s="41"/>
      <c r="P54" s="41"/>
      <c r="Q54" s="41"/>
      <c r="R54" s="41"/>
      <c r="S54" s="41"/>
      <c r="T54" s="41"/>
      <c r="U54" s="41"/>
      <c r="V54" s="41" t="s">
        <v>91</v>
      </c>
      <c r="W54" s="106"/>
      <c r="X54" s="106"/>
      <c r="Y54" s="106"/>
      <c r="Z54" s="106"/>
    </row>
    <row r="55" spans="1:26" s="247" customFormat="1" ht="11.1" customHeight="1" x14ac:dyDescent="0.15">
      <c r="A55" s="256">
        <v>35521</v>
      </c>
      <c r="B55" s="106" t="s">
        <v>105</v>
      </c>
      <c r="C55" s="106" t="s">
        <v>222</v>
      </c>
      <c r="D55" s="106" t="s">
        <v>223</v>
      </c>
      <c r="E55" s="41">
        <v>6064</v>
      </c>
      <c r="F55" s="41">
        <v>6064</v>
      </c>
      <c r="G55" s="41">
        <v>1335</v>
      </c>
      <c r="H55" s="41">
        <v>1335</v>
      </c>
      <c r="I55" s="41"/>
      <c r="J55" s="41"/>
      <c r="K55" s="41">
        <v>1069</v>
      </c>
      <c r="L55" s="41">
        <v>59</v>
      </c>
      <c r="M55" s="41">
        <v>207</v>
      </c>
      <c r="N55" s="41"/>
      <c r="O55" s="41"/>
      <c r="P55" s="41"/>
      <c r="Q55" s="41"/>
      <c r="R55" s="41"/>
      <c r="S55" s="41"/>
      <c r="T55" s="41"/>
      <c r="U55" s="41"/>
      <c r="V55" s="41" t="s">
        <v>91</v>
      </c>
      <c r="W55" s="106"/>
      <c r="X55" s="106"/>
      <c r="Y55" s="106"/>
      <c r="Z55" s="106"/>
    </row>
    <row r="56" spans="1:26" s="247" customFormat="1" ht="11.1" customHeight="1" x14ac:dyDescent="0.15">
      <c r="A56" s="256">
        <v>35886</v>
      </c>
      <c r="B56" s="106" t="s">
        <v>20</v>
      </c>
      <c r="C56" s="106" t="s">
        <v>222</v>
      </c>
      <c r="D56" s="106" t="s">
        <v>223</v>
      </c>
      <c r="E56" s="41">
        <v>6136</v>
      </c>
      <c r="F56" s="41">
        <v>6136</v>
      </c>
      <c r="G56" s="41">
        <v>1458</v>
      </c>
      <c r="H56" s="41">
        <v>1576</v>
      </c>
      <c r="I56" s="41">
        <v>0</v>
      </c>
      <c r="J56" s="41">
        <v>119</v>
      </c>
      <c r="K56" s="41">
        <v>1282</v>
      </c>
      <c r="L56" s="41">
        <v>0</v>
      </c>
      <c r="M56" s="41">
        <v>278</v>
      </c>
      <c r="N56" s="41">
        <v>16</v>
      </c>
      <c r="O56" s="41">
        <v>1576</v>
      </c>
      <c r="P56" s="41">
        <v>100</v>
      </c>
      <c r="Q56" s="41">
        <v>190</v>
      </c>
      <c r="R56" s="41">
        <v>19.174041297935105</v>
      </c>
      <c r="S56" s="41">
        <v>229</v>
      </c>
      <c r="T56" s="41">
        <v>64</v>
      </c>
      <c r="U56" s="41">
        <v>293</v>
      </c>
      <c r="V56" s="41"/>
      <c r="W56" s="106"/>
      <c r="X56" s="106"/>
      <c r="Y56" s="106"/>
      <c r="Z56" s="106"/>
    </row>
    <row r="57" spans="1:26" s="247" customFormat="1" ht="11.1" customHeight="1" x14ac:dyDescent="0.15">
      <c r="A57" s="256">
        <v>36251</v>
      </c>
      <c r="B57" s="106" t="s">
        <v>21</v>
      </c>
      <c r="C57" s="106" t="s">
        <v>222</v>
      </c>
      <c r="D57" s="106" t="s">
        <v>223</v>
      </c>
      <c r="E57" s="41">
        <v>6080</v>
      </c>
      <c r="F57" s="41">
        <v>6080</v>
      </c>
      <c r="G57" s="41">
        <v>1547</v>
      </c>
      <c r="H57" s="41">
        <v>1656</v>
      </c>
      <c r="I57" s="41">
        <v>0</v>
      </c>
      <c r="J57" s="41">
        <v>125</v>
      </c>
      <c r="K57" s="41">
        <v>1371</v>
      </c>
      <c r="L57" s="41">
        <v>0</v>
      </c>
      <c r="M57" s="41">
        <v>285</v>
      </c>
      <c r="N57" s="41">
        <v>13</v>
      </c>
      <c r="O57" s="41">
        <v>1669</v>
      </c>
      <c r="P57" s="41">
        <v>100</v>
      </c>
      <c r="Q57" s="41">
        <v>191</v>
      </c>
      <c r="R57" s="41">
        <v>18.338907469342253</v>
      </c>
      <c r="S57" s="41">
        <v>246</v>
      </c>
      <c r="T57" s="41">
        <v>59</v>
      </c>
      <c r="U57" s="41">
        <v>305</v>
      </c>
      <c r="V57" s="41"/>
      <c r="W57" s="106"/>
      <c r="X57" s="106"/>
      <c r="Y57" s="106"/>
      <c r="Z57" s="106"/>
    </row>
    <row r="58" spans="1:26" s="247" customFormat="1" ht="11.1" customHeight="1" x14ac:dyDescent="0.15">
      <c r="A58" s="256">
        <v>36617</v>
      </c>
      <c r="B58" s="106" t="s">
        <v>22</v>
      </c>
      <c r="C58" s="106" t="s">
        <v>222</v>
      </c>
      <c r="D58" s="106" t="s">
        <v>223</v>
      </c>
      <c r="E58" s="41">
        <v>6064</v>
      </c>
      <c r="F58" s="41">
        <v>6064</v>
      </c>
      <c r="G58" s="41">
        <v>1490</v>
      </c>
      <c r="H58" s="41">
        <v>1625</v>
      </c>
      <c r="I58" s="41">
        <v>0</v>
      </c>
      <c r="J58" s="41">
        <v>137</v>
      </c>
      <c r="K58" s="41">
        <v>1341</v>
      </c>
      <c r="L58" s="41">
        <v>0</v>
      </c>
      <c r="M58" s="41">
        <v>263</v>
      </c>
      <c r="N58" s="41">
        <v>21</v>
      </c>
      <c r="O58" s="41">
        <v>1625</v>
      </c>
      <c r="P58" s="41">
        <v>100</v>
      </c>
      <c r="Q58" s="41">
        <v>176</v>
      </c>
      <c r="R58" s="41">
        <v>18.955732122587968</v>
      </c>
      <c r="S58" s="41">
        <v>0</v>
      </c>
      <c r="T58" s="41">
        <v>188</v>
      </c>
      <c r="U58" s="41">
        <v>188</v>
      </c>
      <c r="V58" s="41"/>
      <c r="W58" s="106"/>
      <c r="X58" s="106"/>
      <c r="Y58" s="106"/>
      <c r="Z58" s="106"/>
    </row>
    <row r="59" spans="1:26" s="247" customFormat="1" ht="11.1" customHeight="1" x14ac:dyDescent="0.15">
      <c r="A59" s="256">
        <v>36982</v>
      </c>
      <c r="B59" s="106" t="s">
        <v>23</v>
      </c>
      <c r="C59" s="106" t="s">
        <v>222</v>
      </c>
      <c r="D59" s="106" t="s">
        <v>223</v>
      </c>
      <c r="E59" s="41">
        <v>5979</v>
      </c>
      <c r="F59" s="41">
        <v>5979</v>
      </c>
      <c r="G59" s="41">
        <v>1532</v>
      </c>
      <c r="H59" s="41">
        <v>1649</v>
      </c>
      <c r="I59" s="41">
        <v>0</v>
      </c>
      <c r="J59" s="41">
        <v>128</v>
      </c>
      <c r="K59" s="41">
        <v>1422</v>
      </c>
      <c r="L59" s="41">
        <v>0</v>
      </c>
      <c r="M59" s="41">
        <v>203</v>
      </c>
      <c r="N59" s="41">
        <v>24</v>
      </c>
      <c r="O59" s="41">
        <v>1649</v>
      </c>
      <c r="P59" s="41">
        <v>100</v>
      </c>
      <c r="Q59" s="41">
        <v>145</v>
      </c>
      <c r="R59" s="41">
        <v>16.713562183455259</v>
      </c>
      <c r="S59" s="41">
        <v>225</v>
      </c>
      <c r="T59" s="41">
        <v>52</v>
      </c>
      <c r="U59" s="41">
        <v>277</v>
      </c>
      <c r="V59" s="41"/>
      <c r="W59" s="106"/>
      <c r="X59" s="106"/>
      <c r="Y59" s="106"/>
      <c r="Z59" s="106"/>
    </row>
    <row r="60" spans="1:26" s="247" customFormat="1" ht="11.1" customHeight="1" x14ac:dyDescent="0.15">
      <c r="A60" s="256">
        <v>37347</v>
      </c>
      <c r="B60" s="106" t="s">
        <v>24</v>
      </c>
      <c r="C60" s="106" t="s">
        <v>222</v>
      </c>
      <c r="D60" s="106" t="s">
        <v>223</v>
      </c>
      <c r="E60" s="41">
        <v>5914</v>
      </c>
      <c r="F60" s="41">
        <v>5914</v>
      </c>
      <c r="G60" s="41">
        <v>1555</v>
      </c>
      <c r="H60" s="41">
        <v>1814</v>
      </c>
      <c r="I60" s="41">
        <v>0</v>
      </c>
      <c r="J60" s="41">
        <v>138</v>
      </c>
      <c r="K60" s="41">
        <v>1583</v>
      </c>
      <c r="L60" s="41">
        <v>0</v>
      </c>
      <c r="M60" s="41">
        <v>207</v>
      </c>
      <c r="N60" s="41">
        <v>24</v>
      </c>
      <c r="O60" s="41">
        <v>1814</v>
      </c>
      <c r="P60" s="41">
        <v>100</v>
      </c>
      <c r="Q60" s="41">
        <v>139</v>
      </c>
      <c r="R60" s="41">
        <v>15.420081967213115</v>
      </c>
      <c r="S60" s="41">
        <v>264</v>
      </c>
      <c r="T60" s="41">
        <v>54</v>
      </c>
      <c r="U60" s="41">
        <v>318</v>
      </c>
      <c r="V60" s="41"/>
      <c r="W60" s="106"/>
      <c r="X60" s="106"/>
      <c r="Y60" s="106"/>
      <c r="Z60" s="106"/>
    </row>
    <row r="61" spans="1:26" s="247" customFormat="1" ht="11.1" customHeight="1" x14ac:dyDescent="0.15">
      <c r="A61" s="256">
        <v>37712</v>
      </c>
      <c r="B61" s="106" t="s">
        <v>25</v>
      </c>
      <c r="C61" s="106" t="s">
        <v>222</v>
      </c>
      <c r="D61" s="106" t="s">
        <v>223</v>
      </c>
      <c r="E61" s="41">
        <v>5874</v>
      </c>
      <c r="F61" s="41">
        <v>5874</v>
      </c>
      <c r="G61" s="41">
        <v>1898</v>
      </c>
      <c r="H61" s="41">
        <v>1700</v>
      </c>
      <c r="I61" s="41">
        <v>0</v>
      </c>
      <c r="J61" s="41">
        <v>144</v>
      </c>
      <c r="K61" s="41">
        <v>1679</v>
      </c>
      <c r="L61" s="41">
        <v>0</v>
      </c>
      <c r="M61" s="41">
        <v>218</v>
      </c>
      <c r="N61" s="41">
        <v>1</v>
      </c>
      <c r="O61" s="41">
        <v>1898</v>
      </c>
      <c r="P61" s="41">
        <v>100</v>
      </c>
      <c r="Q61" s="41">
        <v>146</v>
      </c>
      <c r="R61" s="41">
        <v>14.25073457394711</v>
      </c>
      <c r="S61" s="41">
        <v>305</v>
      </c>
      <c r="T61" s="41">
        <v>51</v>
      </c>
      <c r="U61" s="41">
        <v>356</v>
      </c>
      <c r="V61" s="41"/>
      <c r="W61" s="106"/>
      <c r="X61" s="106"/>
      <c r="Y61" s="106"/>
      <c r="Z61" s="106"/>
    </row>
    <row r="62" spans="1:26" s="247" customFormat="1" ht="11.1" customHeight="1" x14ac:dyDescent="0.15">
      <c r="A62" s="256">
        <v>38078</v>
      </c>
      <c r="B62" s="106" t="s">
        <v>26</v>
      </c>
      <c r="C62" s="106" t="s">
        <v>222</v>
      </c>
      <c r="D62" s="106" t="s">
        <v>223</v>
      </c>
      <c r="E62" s="41">
        <v>5774</v>
      </c>
      <c r="F62" s="41">
        <v>5774</v>
      </c>
      <c r="G62" s="41">
        <v>1935</v>
      </c>
      <c r="H62" s="41">
        <v>1745</v>
      </c>
      <c r="I62" s="41">
        <v>0</v>
      </c>
      <c r="J62" s="41">
        <v>152</v>
      </c>
      <c r="K62" s="41">
        <v>1700</v>
      </c>
      <c r="L62" s="41">
        <v>0</v>
      </c>
      <c r="M62" s="41">
        <v>209</v>
      </c>
      <c r="N62" s="41">
        <v>26</v>
      </c>
      <c r="O62" s="41">
        <v>1935</v>
      </c>
      <c r="P62" s="41">
        <v>100</v>
      </c>
      <c r="Q62" s="41">
        <v>157</v>
      </c>
      <c r="R62" s="41">
        <v>16.05174892189746</v>
      </c>
      <c r="S62" s="41">
        <v>297</v>
      </c>
      <c r="T62" s="41">
        <v>23</v>
      </c>
      <c r="U62" s="41">
        <v>320</v>
      </c>
      <c r="V62" s="41"/>
      <c r="W62" s="106"/>
      <c r="X62" s="106"/>
      <c r="Y62" s="106"/>
      <c r="Z62" s="106"/>
    </row>
    <row r="63" spans="1:26" s="247" customFormat="1" ht="11.1" customHeight="1" x14ac:dyDescent="0.15">
      <c r="A63" s="256">
        <v>38443</v>
      </c>
      <c r="B63" s="106" t="s">
        <v>27</v>
      </c>
      <c r="C63" s="106" t="s">
        <v>222</v>
      </c>
      <c r="D63" s="106" t="s">
        <v>223</v>
      </c>
      <c r="E63" s="41">
        <v>5734</v>
      </c>
      <c r="F63" s="41">
        <v>5734</v>
      </c>
      <c r="G63" s="41">
        <v>2209</v>
      </c>
      <c r="H63" s="41">
        <v>1915</v>
      </c>
      <c r="I63" s="41">
        <v>0</v>
      </c>
      <c r="J63" s="41">
        <v>137</v>
      </c>
      <c r="K63" s="41">
        <v>1832</v>
      </c>
      <c r="L63" s="41">
        <v>0</v>
      </c>
      <c r="M63" s="41">
        <v>216</v>
      </c>
      <c r="N63" s="41">
        <v>24</v>
      </c>
      <c r="O63" s="41">
        <v>2072</v>
      </c>
      <c r="P63" s="41">
        <v>100</v>
      </c>
      <c r="Q63" s="41">
        <v>154</v>
      </c>
      <c r="R63" s="41">
        <v>14.259846084200998</v>
      </c>
      <c r="S63" s="41">
        <v>332</v>
      </c>
      <c r="T63" s="41">
        <v>28</v>
      </c>
      <c r="U63" s="41">
        <v>360</v>
      </c>
      <c r="V63" s="41"/>
      <c r="W63" s="106"/>
      <c r="X63" s="106"/>
      <c r="Y63" s="106"/>
      <c r="Z63" s="106"/>
    </row>
    <row r="64" spans="1:26" s="247" customFormat="1" ht="11.1" customHeight="1" x14ac:dyDescent="0.15">
      <c r="A64" s="256">
        <v>38808</v>
      </c>
      <c r="B64" s="106" t="s">
        <v>28</v>
      </c>
      <c r="C64" s="106" t="s">
        <v>222</v>
      </c>
      <c r="D64" s="106" t="s">
        <v>223</v>
      </c>
      <c r="E64" s="41">
        <v>5706</v>
      </c>
      <c r="F64" s="41">
        <v>5706</v>
      </c>
      <c r="G64" s="41">
        <v>2271</v>
      </c>
      <c r="H64" s="41">
        <v>1919</v>
      </c>
      <c r="I64" s="41">
        <v>0</v>
      </c>
      <c r="J64" s="41">
        <v>155</v>
      </c>
      <c r="K64" s="41">
        <v>1858</v>
      </c>
      <c r="L64" s="41">
        <v>0</v>
      </c>
      <c r="M64" s="41">
        <v>213</v>
      </c>
      <c r="N64" s="41">
        <v>45</v>
      </c>
      <c r="O64" s="41">
        <v>2116</v>
      </c>
      <c r="P64" s="41">
        <v>100</v>
      </c>
      <c r="Q64" s="41">
        <v>146</v>
      </c>
      <c r="R64" s="41">
        <v>15.235579040070455</v>
      </c>
      <c r="S64" s="41">
        <v>362</v>
      </c>
      <c r="T64" s="41">
        <v>28</v>
      </c>
      <c r="U64" s="41">
        <v>390</v>
      </c>
      <c r="V64" s="41"/>
      <c r="W64" s="106"/>
      <c r="X64" s="106"/>
      <c r="Y64" s="106"/>
      <c r="Z64" s="106"/>
    </row>
    <row r="65" spans="1:26" s="247" customFormat="1" ht="11.1" customHeight="1" x14ac:dyDescent="0.15">
      <c r="A65" s="256">
        <v>39173</v>
      </c>
      <c r="B65" s="106" t="s">
        <v>29</v>
      </c>
      <c r="C65" s="106" t="s">
        <v>222</v>
      </c>
      <c r="D65" s="106" t="s">
        <v>223</v>
      </c>
      <c r="E65" s="41">
        <v>5650</v>
      </c>
      <c r="F65" s="41">
        <v>5650</v>
      </c>
      <c r="G65" s="41">
        <v>2258</v>
      </c>
      <c r="H65" s="41">
        <v>1900</v>
      </c>
      <c r="I65" s="41">
        <v>0</v>
      </c>
      <c r="J65" s="41">
        <v>146</v>
      </c>
      <c r="K65" s="41">
        <v>1868</v>
      </c>
      <c r="L65" s="41">
        <v>0</v>
      </c>
      <c r="M65" s="41">
        <v>200</v>
      </c>
      <c r="N65" s="41">
        <v>44</v>
      </c>
      <c r="O65" s="41">
        <v>2112</v>
      </c>
      <c r="P65" s="41">
        <v>100</v>
      </c>
      <c r="Q65" s="41">
        <v>147</v>
      </c>
      <c r="R65" s="41">
        <v>14.924712134632417</v>
      </c>
      <c r="S65" s="41">
        <v>341</v>
      </c>
      <c r="T65" s="41">
        <v>34</v>
      </c>
      <c r="U65" s="41">
        <v>375</v>
      </c>
      <c r="V65" s="41"/>
      <c r="W65" s="106"/>
      <c r="X65" s="106"/>
      <c r="Y65" s="106"/>
      <c r="Z65" s="106"/>
    </row>
    <row r="66" spans="1:26" s="247" customFormat="1" ht="11.1" customHeight="1" x14ac:dyDescent="0.15">
      <c r="A66" s="256">
        <v>39539</v>
      </c>
      <c r="B66" s="106" t="s">
        <v>30</v>
      </c>
      <c r="C66" s="106" t="s">
        <v>222</v>
      </c>
      <c r="D66" s="106" t="s">
        <v>223</v>
      </c>
      <c r="E66" s="41">
        <v>5623</v>
      </c>
      <c r="F66" s="41">
        <v>5623</v>
      </c>
      <c r="G66" s="41">
        <v>2165</v>
      </c>
      <c r="H66" s="41">
        <v>1809</v>
      </c>
      <c r="I66" s="41">
        <v>0</v>
      </c>
      <c r="J66" s="41">
        <v>140</v>
      </c>
      <c r="K66" s="41">
        <v>1782</v>
      </c>
      <c r="L66" s="41">
        <v>0</v>
      </c>
      <c r="M66" s="41">
        <v>199</v>
      </c>
      <c r="N66" s="41">
        <v>44</v>
      </c>
      <c r="O66" s="41">
        <v>2025</v>
      </c>
      <c r="P66" s="41">
        <v>100</v>
      </c>
      <c r="Q66" s="41">
        <v>135</v>
      </c>
      <c r="R66" s="41">
        <v>14.734411085450347</v>
      </c>
      <c r="S66" s="41">
        <v>340</v>
      </c>
      <c r="T66" s="41">
        <v>31</v>
      </c>
      <c r="U66" s="41">
        <v>371</v>
      </c>
      <c r="V66" s="41"/>
      <c r="W66" s="106"/>
      <c r="X66" s="106"/>
      <c r="Y66" s="106"/>
      <c r="Z66" s="106"/>
    </row>
    <row r="67" spans="1:26" s="247" customFormat="1" ht="11.1" customHeight="1" x14ac:dyDescent="0.15">
      <c r="A67" s="256">
        <v>39904</v>
      </c>
      <c r="B67" s="106" t="s">
        <v>31</v>
      </c>
      <c r="C67" s="106" t="s">
        <v>222</v>
      </c>
      <c r="D67" s="106" t="s">
        <v>223</v>
      </c>
      <c r="E67" s="41">
        <v>5498</v>
      </c>
      <c r="F67" s="41">
        <v>5498</v>
      </c>
      <c r="G67" s="41">
        <v>2219</v>
      </c>
      <c r="H67" s="41">
        <v>1816</v>
      </c>
      <c r="I67" s="41">
        <v>0</v>
      </c>
      <c r="J67" s="41">
        <v>128</v>
      </c>
      <c r="K67" s="41">
        <v>1815</v>
      </c>
      <c r="L67" s="41">
        <v>0</v>
      </c>
      <c r="M67" s="41">
        <v>232</v>
      </c>
      <c r="N67" s="41">
        <v>44</v>
      </c>
      <c r="O67" s="41">
        <v>2091</v>
      </c>
      <c r="P67" s="41">
        <v>100</v>
      </c>
      <c r="Q67" s="41">
        <v>126</v>
      </c>
      <c r="R67" s="41">
        <v>13.429472735466428</v>
      </c>
      <c r="S67" s="41">
        <v>330</v>
      </c>
      <c r="T67" s="41">
        <v>39</v>
      </c>
      <c r="U67" s="41">
        <v>369</v>
      </c>
      <c r="V67" s="41"/>
      <c r="W67" s="106"/>
      <c r="X67" s="106"/>
      <c r="Y67" s="106"/>
      <c r="Z67" s="106"/>
    </row>
    <row r="68" spans="1:26" s="247" customFormat="1" ht="11.1" customHeight="1" x14ac:dyDescent="0.15">
      <c r="A68" s="256">
        <v>40269</v>
      </c>
      <c r="B68" s="106" t="s">
        <v>32</v>
      </c>
      <c r="C68" s="106" t="s">
        <v>222</v>
      </c>
      <c r="D68" s="106" t="s">
        <v>223</v>
      </c>
      <c r="E68" s="41">
        <v>5440</v>
      </c>
      <c r="F68" s="41">
        <v>5440</v>
      </c>
      <c r="G68" s="41">
        <v>2202</v>
      </c>
      <c r="H68" s="41">
        <v>1778</v>
      </c>
      <c r="I68" s="41">
        <v>0</v>
      </c>
      <c r="J68" s="41">
        <v>127</v>
      </c>
      <c r="K68" s="41">
        <v>1814</v>
      </c>
      <c r="L68" s="41">
        <v>0</v>
      </c>
      <c r="M68" s="41">
        <v>220</v>
      </c>
      <c r="N68" s="41">
        <v>41</v>
      </c>
      <c r="O68" s="41">
        <v>2075</v>
      </c>
      <c r="P68" s="41">
        <v>100</v>
      </c>
      <c r="Q68" s="41">
        <v>133</v>
      </c>
      <c r="R68" s="41">
        <v>13.669391462306994</v>
      </c>
      <c r="S68" s="41">
        <v>310</v>
      </c>
      <c r="T68" s="41">
        <v>32</v>
      </c>
      <c r="U68" s="41">
        <v>342</v>
      </c>
      <c r="V68" s="41"/>
      <c r="W68" s="106"/>
      <c r="X68" s="106"/>
      <c r="Y68" s="106"/>
      <c r="Z68" s="106"/>
    </row>
    <row r="69" spans="1:26" s="247" customFormat="1" ht="11.1" customHeight="1" x14ac:dyDescent="0.15">
      <c r="A69" s="256">
        <v>40634</v>
      </c>
      <c r="B69" s="106" t="s">
        <v>33</v>
      </c>
      <c r="C69" s="106" t="s">
        <v>222</v>
      </c>
      <c r="D69" s="106" t="s">
        <v>223</v>
      </c>
      <c r="E69" s="41">
        <v>5534</v>
      </c>
      <c r="F69" s="41">
        <v>5534</v>
      </c>
      <c r="G69" s="41">
        <v>2064</v>
      </c>
      <c r="H69" s="41">
        <v>1816</v>
      </c>
      <c r="I69" s="41">
        <v>125</v>
      </c>
      <c r="J69" s="41">
        <v>123</v>
      </c>
      <c r="K69" s="41">
        <v>1723</v>
      </c>
      <c r="L69" s="41">
        <v>0</v>
      </c>
      <c r="M69" s="41">
        <v>187</v>
      </c>
      <c r="N69" s="41">
        <v>31</v>
      </c>
      <c r="O69" s="41">
        <v>1941</v>
      </c>
      <c r="P69" s="41">
        <v>100</v>
      </c>
      <c r="Q69" s="41">
        <v>117</v>
      </c>
      <c r="R69" s="41">
        <v>13.129844961240311</v>
      </c>
      <c r="S69" s="41">
        <v>286</v>
      </c>
      <c r="T69" s="41">
        <v>31</v>
      </c>
      <c r="U69" s="41">
        <v>317</v>
      </c>
      <c r="V69" s="41"/>
      <c r="W69" s="106"/>
      <c r="X69" s="106"/>
      <c r="Y69" s="106"/>
      <c r="Z69" s="106"/>
    </row>
    <row r="70" spans="1:26" s="247" customFormat="1" ht="11.1" customHeight="1" x14ac:dyDescent="0.15">
      <c r="A70" s="256">
        <v>41000</v>
      </c>
      <c r="B70" s="106" t="s">
        <v>106</v>
      </c>
      <c r="C70" s="106" t="s">
        <v>222</v>
      </c>
      <c r="D70" s="106" t="s">
        <v>223</v>
      </c>
      <c r="E70" s="41">
        <v>5557</v>
      </c>
      <c r="F70" s="41">
        <v>5557</v>
      </c>
      <c r="G70" s="41">
        <v>2205</v>
      </c>
      <c r="H70" s="41">
        <v>1880</v>
      </c>
      <c r="I70" s="41">
        <v>0</v>
      </c>
      <c r="J70" s="41">
        <v>127</v>
      </c>
      <c r="K70" s="41">
        <v>1874</v>
      </c>
      <c r="L70" s="41">
        <v>0</v>
      </c>
      <c r="M70" s="41">
        <v>181</v>
      </c>
      <c r="N70" s="41">
        <v>23</v>
      </c>
      <c r="O70" s="41">
        <v>2078</v>
      </c>
      <c r="P70" s="41">
        <v>100</v>
      </c>
      <c r="Q70" s="41">
        <v>112</v>
      </c>
      <c r="R70" s="41">
        <v>11.882086167800454</v>
      </c>
      <c r="S70" s="41">
        <v>362</v>
      </c>
      <c r="T70" s="41">
        <v>31</v>
      </c>
      <c r="U70" s="41">
        <v>393</v>
      </c>
      <c r="V70" s="41"/>
      <c r="W70" s="106"/>
      <c r="X70" s="106"/>
      <c r="Y70" s="106"/>
      <c r="Z70" s="106"/>
    </row>
    <row r="71" spans="1:26" s="247" customFormat="1" ht="11.1" customHeight="1" x14ac:dyDescent="0.15">
      <c r="A71" s="256">
        <v>41366</v>
      </c>
      <c r="B71" s="106" t="s">
        <v>107</v>
      </c>
      <c r="C71" s="106" t="s">
        <v>222</v>
      </c>
      <c r="D71" s="106" t="s">
        <v>223</v>
      </c>
      <c r="E71" s="41">
        <v>5654</v>
      </c>
      <c r="F71" s="41">
        <v>5654</v>
      </c>
      <c r="G71" s="41">
        <v>2382</v>
      </c>
      <c r="H71" s="41">
        <v>2059</v>
      </c>
      <c r="I71" s="41">
        <v>0</v>
      </c>
      <c r="J71" s="41">
        <v>126</v>
      </c>
      <c r="K71" s="41">
        <v>2046</v>
      </c>
      <c r="L71" s="41">
        <v>0</v>
      </c>
      <c r="M71" s="41">
        <v>183</v>
      </c>
      <c r="N71" s="41">
        <v>27</v>
      </c>
      <c r="O71" s="41">
        <v>2256</v>
      </c>
      <c r="P71" s="41">
        <v>100</v>
      </c>
      <c r="Q71" s="41">
        <v>0</v>
      </c>
      <c r="R71" s="41">
        <v>6.4231738035264483</v>
      </c>
      <c r="S71" s="41">
        <v>355</v>
      </c>
      <c r="T71" s="41">
        <v>28</v>
      </c>
      <c r="U71" s="41">
        <v>383</v>
      </c>
      <c r="V71" s="41"/>
      <c r="W71" s="106"/>
      <c r="X71" s="106"/>
      <c r="Y71" s="106"/>
      <c r="Z71" s="106"/>
    </row>
    <row r="72" spans="1:26" s="247" customFormat="1" ht="11.1" customHeight="1" x14ac:dyDescent="0.15">
      <c r="A72" s="256">
        <v>41732</v>
      </c>
      <c r="B72" s="106" t="s">
        <v>34</v>
      </c>
      <c r="C72" s="106" t="s">
        <v>222</v>
      </c>
      <c r="D72" s="106" t="s">
        <v>223</v>
      </c>
      <c r="E72" s="41">
        <v>5745</v>
      </c>
      <c r="F72" s="41">
        <v>5745</v>
      </c>
      <c r="G72" s="41">
        <v>2476</v>
      </c>
      <c r="H72" s="41">
        <v>2131</v>
      </c>
      <c r="I72" s="41">
        <v>0</v>
      </c>
      <c r="J72" s="41">
        <v>127</v>
      </c>
      <c r="K72" s="41">
        <v>2138</v>
      </c>
      <c r="L72" s="41">
        <v>0</v>
      </c>
      <c r="M72" s="41">
        <v>175</v>
      </c>
      <c r="N72" s="41">
        <v>36</v>
      </c>
      <c r="O72" s="41">
        <v>2349</v>
      </c>
      <c r="P72" s="41">
        <v>100</v>
      </c>
      <c r="Q72" s="41">
        <v>0</v>
      </c>
      <c r="R72" s="41">
        <v>6.5831987075928922</v>
      </c>
      <c r="S72" s="41">
        <v>381</v>
      </c>
      <c r="T72" s="41">
        <v>29</v>
      </c>
      <c r="U72" s="41">
        <v>410</v>
      </c>
      <c r="V72" s="41"/>
      <c r="W72" s="106"/>
      <c r="X72" s="106"/>
      <c r="Y72" s="106"/>
      <c r="Z72" s="106"/>
    </row>
    <row r="73" spans="1:26" s="247" customFormat="1" ht="11.1" customHeight="1" x14ac:dyDescent="0.15">
      <c r="A73" s="256">
        <v>42098</v>
      </c>
      <c r="B73" s="106" t="s">
        <v>35</v>
      </c>
      <c r="C73" s="106" t="s">
        <v>222</v>
      </c>
      <c r="D73" s="106" t="s">
        <v>223</v>
      </c>
      <c r="E73" s="41">
        <v>5824</v>
      </c>
      <c r="F73" s="41">
        <v>5824</v>
      </c>
      <c r="G73" s="41">
        <v>2603</v>
      </c>
      <c r="H73" s="41">
        <v>2135</v>
      </c>
      <c r="I73" s="41">
        <v>0</v>
      </c>
      <c r="J73" s="41">
        <v>132</v>
      </c>
      <c r="K73" s="41">
        <v>2270</v>
      </c>
      <c r="L73" s="41">
        <v>0</v>
      </c>
      <c r="M73" s="41">
        <v>167</v>
      </c>
      <c r="N73" s="41">
        <v>34</v>
      </c>
      <c r="O73" s="41">
        <v>2471</v>
      </c>
      <c r="P73" s="41">
        <v>100</v>
      </c>
      <c r="Q73" s="41">
        <v>0</v>
      </c>
      <c r="R73" s="41">
        <v>6.3772570111409905</v>
      </c>
      <c r="S73" s="41">
        <v>390</v>
      </c>
      <c r="T73" s="41">
        <v>50</v>
      </c>
      <c r="U73" s="41">
        <v>440</v>
      </c>
      <c r="V73" s="41"/>
      <c r="W73" s="106"/>
      <c r="X73" s="106"/>
      <c r="Y73" s="106">
        <v>336</v>
      </c>
      <c r="Z73" s="106"/>
    </row>
    <row r="74" spans="1:26" s="247" customFormat="1" ht="11.1" customHeight="1" x14ac:dyDescent="0.15">
      <c r="A74" s="256">
        <v>42464</v>
      </c>
      <c r="B74" s="106" t="s">
        <v>36</v>
      </c>
      <c r="C74" s="106" t="s">
        <v>222</v>
      </c>
      <c r="D74" s="106" t="s">
        <v>223</v>
      </c>
      <c r="E74" s="41">
        <v>5871</v>
      </c>
      <c r="F74" s="41">
        <v>5871</v>
      </c>
      <c r="G74" s="41">
        <v>2503</v>
      </c>
      <c r="H74" s="41">
        <v>2219</v>
      </c>
      <c r="I74" s="41">
        <v>0</v>
      </c>
      <c r="J74" s="41">
        <v>124</v>
      </c>
      <c r="K74" s="41">
        <v>2173</v>
      </c>
      <c r="L74" s="41">
        <v>0</v>
      </c>
      <c r="M74" s="41">
        <v>160</v>
      </c>
      <c r="N74" s="41">
        <v>46</v>
      </c>
      <c r="O74" s="41">
        <v>2379</v>
      </c>
      <c r="P74" s="41">
        <v>100</v>
      </c>
      <c r="Q74" s="41">
        <v>0</v>
      </c>
      <c r="R74" s="41">
        <v>6.7918497802636839</v>
      </c>
      <c r="S74" s="41">
        <v>383</v>
      </c>
      <c r="T74" s="41">
        <v>30</v>
      </c>
      <c r="U74" s="41">
        <v>413</v>
      </c>
      <c r="V74" s="41"/>
      <c r="W74" s="106"/>
      <c r="X74" s="106"/>
      <c r="Y74" s="106">
        <v>160</v>
      </c>
      <c r="Z74" s="106"/>
    </row>
    <row r="75" spans="1:26" s="247" customFormat="1" ht="11.1" customHeight="1" x14ac:dyDescent="0.15">
      <c r="A75" s="256">
        <v>42826</v>
      </c>
      <c r="B75" s="106" t="s">
        <v>221</v>
      </c>
      <c r="C75" s="106" t="s">
        <v>222</v>
      </c>
      <c r="D75" s="106" t="s">
        <v>223</v>
      </c>
      <c r="E75" s="41">
        <v>5871</v>
      </c>
      <c r="F75" s="41">
        <v>5871</v>
      </c>
      <c r="G75" s="41">
        <v>2440</v>
      </c>
      <c r="H75" s="41">
        <v>2120</v>
      </c>
      <c r="I75" s="41">
        <v>0</v>
      </c>
      <c r="J75" s="41">
        <v>116</v>
      </c>
      <c r="K75" s="41">
        <v>2130</v>
      </c>
      <c r="L75" s="41">
        <v>0</v>
      </c>
      <c r="M75" s="41">
        <v>153</v>
      </c>
      <c r="N75" s="41">
        <v>41</v>
      </c>
      <c r="O75" s="41">
        <v>2324</v>
      </c>
      <c r="P75" s="41">
        <v>100</v>
      </c>
      <c r="Q75" s="41">
        <v>90</v>
      </c>
      <c r="R75" s="41">
        <v>10.122950819672132</v>
      </c>
      <c r="S75" s="41">
        <v>408</v>
      </c>
      <c r="T75" s="41">
        <v>26</v>
      </c>
      <c r="U75" s="41">
        <v>434</v>
      </c>
      <c r="V75" s="41"/>
      <c r="W75" s="106"/>
      <c r="X75" s="106"/>
      <c r="Y75" s="106">
        <v>204</v>
      </c>
      <c r="Z75" s="106"/>
    </row>
    <row r="76" spans="1:26" s="247" customFormat="1" ht="11.1" customHeight="1" x14ac:dyDescent="0.15">
      <c r="A76" s="256">
        <v>30407</v>
      </c>
      <c r="B76" s="106" t="s">
        <v>90</v>
      </c>
      <c r="C76" s="106" t="s">
        <v>224</v>
      </c>
      <c r="D76" s="106" t="s">
        <v>225</v>
      </c>
      <c r="E76" s="41">
        <v>18748</v>
      </c>
      <c r="F76" s="41">
        <v>18748</v>
      </c>
      <c r="G76" s="41">
        <v>6569</v>
      </c>
      <c r="H76" s="41">
        <v>4740</v>
      </c>
      <c r="I76" s="41">
        <v>1829</v>
      </c>
      <c r="J76" s="41"/>
      <c r="K76" s="41">
        <v>2100</v>
      </c>
      <c r="L76" s="41">
        <v>2635</v>
      </c>
      <c r="M76" s="41">
        <v>5</v>
      </c>
      <c r="N76" s="41"/>
      <c r="O76" s="41"/>
      <c r="P76" s="41"/>
      <c r="Q76" s="41"/>
      <c r="R76" s="41"/>
      <c r="S76" s="41"/>
      <c r="T76" s="41"/>
      <c r="U76" s="41"/>
      <c r="V76" s="41" t="s">
        <v>91</v>
      </c>
      <c r="W76" s="106"/>
      <c r="X76" s="106"/>
      <c r="Y76" s="106"/>
      <c r="Z76" s="106"/>
    </row>
    <row r="77" spans="1:26" s="247" customFormat="1" ht="11.1" customHeight="1" x14ac:dyDescent="0.15">
      <c r="A77" s="256">
        <v>30773</v>
      </c>
      <c r="B77" s="106" t="s">
        <v>92</v>
      </c>
      <c r="C77" s="106" t="s">
        <v>224</v>
      </c>
      <c r="D77" s="106" t="s">
        <v>225</v>
      </c>
      <c r="E77" s="41">
        <v>18666</v>
      </c>
      <c r="F77" s="41">
        <v>18666</v>
      </c>
      <c r="G77" s="41">
        <v>6533</v>
      </c>
      <c r="H77" s="41">
        <v>4384</v>
      </c>
      <c r="I77" s="41">
        <v>2149</v>
      </c>
      <c r="J77" s="41"/>
      <c r="K77" s="41">
        <v>2128</v>
      </c>
      <c r="L77" s="41">
        <v>2146</v>
      </c>
      <c r="M77" s="41">
        <v>110</v>
      </c>
      <c r="N77" s="41"/>
      <c r="O77" s="41"/>
      <c r="P77" s="41"/>
      <c r="Q77" s="41"/>
      <c r="R77" s="41"/>
      <c r="S77" s="41"/>
      <c r="T77" s="41"/>
      <c r="U77" s="41"/>
      <c r="V77" s="41" t="s">
        <v>91</v>
      </c>
      <c r="W77" s="106"/>
      <c r="X77" s="106"/>
      <c r="Y77" s="106"/>
      <c r="Z77" s="106"/>
    </row>
    <row r="78" spans="1:26" s="247" customFormat="1" ht="11.1" customHeight="1" x14ac:dyDescent="0.15">
      <c r="A78" s="256">
        <v>31138</v>
      </c>
      <c r="B78" s="106" t="s">
        <v>93</v>
      </c>
      <c r="C78" s="106" t="s">
        <v>224</v>
      </c>
      <c r="D78" s="106" t="s">
        <v>225</v>
      </c>
      <c r="E78" s="41">
        <v>18574</v>
      </c>
      <c r="F78" s="41">
        <v>18574</v>
      </c>
      <c r="G78" s="41">
        <v>6493</v>
      </c>
      <c r="H78" s="41">
        <v>4365</v>
      </c>
      <c r="I78" s="41">
        <v>2128</v>
      </c>
      <c r="J78" s="41"/>
      <c r="K78" s="41">
        <v>2304</v>
      </c>
      <c r="L78" s="41">
        <v>1957</v>
      </c>
      <c r="M78" s="41">
        <v>104</v>
      </c>
      <c r="N78" s="41"/>
      <c r="O78" s="41"/>
      <c r="P78" s="41"/>
      <c r="Q78" s="41"/>
      <c r="R78" s="41"/>
      <c r="S78" s="41"/>
      <c r="T78" s="41"/>
      <c r="U78" s="41"/>
      <c r="V78" s="41" t="s">
        <v>91</v>
      </c>
      <c r="W78" s="106"/>
      <c r="X78" s="106"/>
      <c r="Y78" s="106"/>
      <c r="Z78" s="106"/>
    </row>
    <row r="79" spans="1:26" s="247" customFormat="1" ht="11.1" customHeight="1" x14ac:dyDescent="0.15">
      <c r="A79" s="256">
        <v>31503</v>
      </c>
      <c r="B79" s="106" t="s">
        <v>94</v>
      </c>
      <c r="C79" s="106" t="s">
        <v>224</v>
      </c>
      <c r="D79" s="106" t="s">
        <v>225</v>
      </c>
      <c r="E79" s="41">
        <v>18605</v>
      </c>
      <c r="F79" s="41">
        <v>18605</v>
      </c>
      <c r="G79" s="41">
        <v>6505</v>
      </c>
      <c r="H79" s="41">
        <v>5225</v>
      </c>
      <c r="I79" s="41">
        <v>1280</v>
      </c>
      <c r="J79" s="41"/>
      <c r="K79" s="41">
        <v>2577</v>
      </c>
      <c r="L79" s="41">
        <v>2513</v>
      </c>
      <c r="M79" s="41">
        <v>135</v>
      </c>
      <c r="N79" s="41"/>
      <c r="O79" s="41"/>
      <c r="P79" s="41"/>
      <c r="Q79" s="41"/>
      <c r="R79" s="41"/>
      <c r="S79" s="41"/>
      <c r="T79" s="41"/>
      <c r="U79" s="41"/>
      <c r="V79" s="41" t="s">
        <v>91</v>
      </c>
      <c r="W79" s="106"/>
      <c r="X79" s="106"/>
      <c r="Y79" s="106"/>
      <c r="Z79" s="106"/>
    </row>
    <row r="80" spans="1:26" s="247" customFormat="1" ht="11.1" customHeight="1" x14ac:dyDescent="0.15">
      <c r="A80" s="256">
        <v>31868</v>
      </c>
      <c r="B80" s="106" t="s">
        <v>95</v>
      </c>
      <c r="C80" s="106" t="s">
        <v>224</v>
      </c>
      <c r="D80" s="106" t="s">
        <v>225</v>
      </c>
      <c r="E80" s="41">
        <v>18563</v>
      </c>
      <c r="F80" s="41">
        <v>18563</v>
      </c>
      <c r="G80" s="41">
        <v>6491</v>
      </c>
      <c r="H80" s="41">
        <v>5147</v>
      </c>
      <c r="I80" s="41">
        <v>1344</v>
      </c>
      <c r="J80" s="41"/>
      <c r="K80" s="41">
        <v>2859</v>
      </c>
      <c r="L80" s="41">
        <v>2129</v>
      </c>
      <c r="M80" s="41">
        <v>159</v>
      </c>
      <c r="N80" s="41"/>
      <c r="O80" s="41"/>
      <c r="P80" s="41"/>
      <c r="Q80" s="41"/>
      <c r="R80" s="41"/>
      <c r="S80" s="41"/>
      <c r="T80" s="41"/>
      <c r="U80" s="41"/>
      <c r="V80" s="41" t="s">
        <v>91</v>
      </c>
      <c r="W80" s="106"/>
      <c r="X80" s="106"/>
      <c r="Y80" s="106"/>
      <c r="Z80" s="106"/>
    </row>
    <row r="81" spans="1:26" s="247" customFormat="1" ht="11.1" customHeight="1" x14ac:dyDescent="0.15">
      <c r="A81" s="256">
        <v>32234</v>
      </c>
      <c r="B81" s="106" t="s">
        <v>96</v>
      </c>
      <c r="C81" s="106" t="s">
        <v>224</v>
      </c>
      <c r="D81" s="106" t="s">
        <v>225</v>
      </c>
      <c r="E81" s="41">
        <v>18405</v>
      </c>
      <c r="F81" s="41">
        <v>18405</v>
      </c>
      <c r="G81" s="41">
        <v>6436</v>
      </c>
      <c r="H81" s="41">
        <v>5499</v>
      </c>
      <c r="I81" s="41">
        <v>937</v>
      </c>
      <c r="J81" s="41"/>
      <c r="K81" s="41">
        <v>2584</v>
      </c>
      <c r="L81" s="41">
        <v>2742</v>
      </c>
      <c r="M81" s="41">
        <v>173</v>
      </c>
      <c r="N81" s="41"/>
      <c r="O81" s="41"/>
      <c r="P81" s="41"/>
      <c r="Q81" s="41"/>
      <c r="R81" s="41"/>
      <c r="S81" s="41"/>
      <c r="T81" s="41"/>
      <c r="U81" s="41"/>
      <c r="V81" s="41" t="s">
        <v>91</v>
      </c>
      <c r="W81" s="106"/>
      <c r="X81" s="106"/>
      <c r="Y81" s="106"/>
      <c r="Z81" s="106"/>
    </row>
    <row r="82" spans="1:26" s="247" customFormat="1" ht="11.1" customHeight="1" x14ac:dyDescent="0.15">
      <c r="A82" s="256">
        <v>32599</v>
      </c>
      <c r="B82" s="106" t="s">
        <v>97</v>
      </c>
      <c r="C82" s="106" t="s">
        <v>224</v>
      </c>
      <c r="D82" s="106" t="s">
        <v>225</v>
      </c>
      <c r="E82" s="41">
        <v>18409</v>
      </c>
      <c r="F82" s="41">
        <v>18409</v>
      </c>
      <c r="G82" s="41">
        <v>6718</v>
      </c>
      <c r="H82" s="41">
        <v>6143</v>
      </c>
      <c r="I82" s="41">
        <v>575</v>
      </c>
      <c r="J82" s="41"/>
      <c r="K82" s="41">
        <v>2781</v>
      </c>
      <c r="L82" s="41">
        <v>3150</v>
      </c>
      <c r="M82" s="41">
        <v>212</v>
      </c>
      <c r="N82" s="41"/>
      <c r="O82" s="41"/>
      <c r="P82" s="41"/>
      <c r="Q82" s="41"/>
      <c r="R82" s="41"/>
      <c r="S82" s="41"/>
      <c r="T82" s="41"/>
      <c r="U82" s="41"/>
      <c r="V82" s="41" t="s">
        <v>91</v>
      </c>
      <c r="W82" s="106"/>
      <c r="X82" s="106"/>
      <c r="Y82" s="106"/>
      <c r="Z82" s="106"/>
    </row>
    <row r="83" spans="1:26" s="247" customFormat="1" ht="11.1" customHeight="1" x14ac:dyDescent="0.15">
      <c r="A83" s="256">
        <v>32964</v>
      </c>
      <c r="B83" s="106" t="s">
        <v>98</v>
      </c>
      <c r="C83" s="106" t="s">
        <v>224</v>
      </c>
      <c r="D83" s="106" t="s">
        <v>225</v>
      </c>
      <c r="E83" s="41">
        <v>19352</v>
      </c>
      <c r="F83" s="41">
        <v>19352</v>
      </c>
      <c r="G83" s="41">
        <v>7063</v>
      </c>
      <c r="H83" s="41">
        <v>6466</v>
      </c>
      <c r="I83" s="41">
        <v>597</v>
      </c>
      <c r="J83" s="41"/>
      <c r="K83" s="41">
        <v>3121</v>
      </c>
      <c r="L83" s="41">
        <v>3107</v>
      </c>
      <c r="M83" s="41">
        <v>238</v>
      </c>
      <c r="N83" s="41"/>
      <c r="O83" s="41"/>
      <c r="P83" s="41"/>
      <c r="Q83" s="41"/>
      <c r="R83" s="41"/>
      <c r="S83" s="41"/>
      <c r="T83" s="41"/>
      <c r="U83" s="41"/>
      <c r="V83" s="41" t="s">
        <v>91</v>
      </c>
      <c r="W83" s="106"/>
      <c r="X83" s="106"/>
      <c r="Y83" s="106"/>
      <c r="Z83" s="106"/>
    </row>
    <row r="84" spans="1:26" s="247" customFormat="1" ht="11.1" customHeight="1" x14ac:dyDescent="0.15">
      <c r="A84" s="256">
        <v>33329</v>
      </c>
      <c r="B84" s="106" t="s">
        <v>99</v>
      </c>
      <c r="C84" s="106" t="s">
        <v>224</v>
      </c>
      <c r="D84" s="106" t="s">
        <v>225</v>
      </c>
      <c r="E84" s="41">
        <v>20042</v>
      </c>
      <c r="F84" s="41">
        <v>20042</v>
      </c>
      <c r="G84" s="41">
        <v>7315</v>
      </c>
      <c r="H84" s="41">
        <v>6457</v>
      </c>
      <c r="I84" s="41">
        <v>858</v>
      </c>
      <c r="J84" s="41"/>
      <c r="K84" s="41">
        <v>3402</v>
      </c>
      <c r="L84" s="41">
        <v>2818</v>
      </c>
      <c r="M84" s="41">
        <v>237</v>
      </c>
      <c r="N84" s="41"/>
      <c r="O84" s="41"/>
      <c r="P84" s="41"/>
      <c r="Q84" s="41"/>
      <c r="R84" s="41"/>
      <c r="S84" s="41"/>
      <c r="T84" s="41"/>
      <c r="U84" s="41"/>
      <c r="V84" s="41" t="s">
        <v>91</v>
      </c>
      <c r="W84" s="106"/>
      <c r="X84" s="106"/>
      <c r="Y84" s="106"/>
      <c r="Z84" s="106"/>
    </row>
    <row r="85" spans="1:26" s="247" customFormat="1" ht="11.1" customHeight="1" x14ac:dyDescent="0.15">
      <c r="A85" s="256">
        <v>33695</v>
      </c>
      <c r="B85" s="106" t="s">
        <v>100</v>
      </c>
      <c r="C85" s="106" t="s">
        <v>224</v>
      </c>
      <c r="D85" s="106" t="s">
        <v>225</v>
      </c>
      <c r="E85" s="41">
        <v>20680</v>
      </c>
      <c r="F85" s="41">
        <v>20680</v>
      </c>
      <c r="G85" s="41">
        <v>7548</v>
      </c>
      <c r="H85" s="41">
        <v>7200</v>
      </c>
      <c r="I85" s="41">
        <v>348</v>
      </c>
      <c r="J85" s="41"/>
      <c r="K85" s="41">
        <v>3913</v>
      </c>
      <c r="L85" s="41">
        <v>3037</v>
      </c>
      <c r="M85" s="41">
        <v>250</v>
      </c>
      <c r="N85" s="41"/>
      <c r="O85" s="41"/>
      <c r="P85" s="41"/>
      <c r="Q85" s="41"/>
      <c r="R85" s="41"/>
      <c r="S85" s="41"/>
      <c r="T85" s="41"/>
      <c r="U85" s="41"/>
      <c r="V85" s="41" t="s">
        <v>91</v>
      </c>
      <c r="W85" s="106"/>
      <c r="X85" s="106"/>
      <c r="Y85" s="106"/>
      <c r="Z85" s="106"/>
    </row>
    <row r="86" spans="1:26" s="247" customFormat="1" ht="11.1" customHeight="1" x14ac:dyDescent="0.15">
      <c r="A86" s="256">
        <v>34060</v>
      </c>
      <c r="B86" s="106" t="s">
        <v>101</v>
      </c>
      <c r="C86" s="106" t="s">
        <v>224</v>
      </c>
      <c r="D86" s="106" t="s">
        <v>225</v>
      </c>
      <c r="E86" s="41">
        <v>21780</v>
      </c>
      <c r="F86" s="41">
        <v>21780</v>
      </c>
      <c r="G86" s="41">
        <v>7950</v>
      </c>
      <c r="H86" s="41">
        <v>6355</v>
      </c>
      <c r="I86" s="41">
        <v>1595</v>
      </c>
      <c r="J86" s="41"/>
      <c r="K86" s="41">
        <v>4496</v>
      </c>
      <c r="L86" s="41">
        <v>1616</v>
      </c>
      <c r="M86" s="41">
        <v>243</v>
      </c>
      <c r="N86" s="41"/>
      <c r="O86" s="41"/>
      <c r="P86" s="41"/>
      <c r="Q86" s="41"/>
      <c r="R86" s="41"/>
      <c r="S86" s="41"/>
      <c r="T86" s="41"/>
      <c r="U86" s="41"/>
      <c r="V86" s="41" t="s">
        <v>91</v>
      </c>
      <c r="W86" s="106"/>
      <c r="X86" s="106"/>
      <c r="Y86" s="106"/>
      <c r="Z86" s="106"/>
    </row>
    <row r="87" spans="1:26" s="247" customFormat="1" ht="11.1" customHeight="1" x14ac:dyDescent="0.15">
      <c r="A87" s="256">
        <v>34425</v>
      </c>
      <c r="B87" s="106" t="s">
        <v>102</v>
      </c>
      <c r="C87" s="106" t="s">
        <v>224</v>
      </c>
      <c r="D87" s="106" t="s">
        <v>225</v>
      </c>
      <c r="E87" s="41">
        <v>22406</v>
      </c>
      <c r="F87" s="41">
        <v>22406</v>
      </c>
      <c r="G87" s="41">
        <v>8178</v>
      </c>
      <c r="H87" s="41">
        <v>7350</v>
      </c>
      <c r="I87" s="41">
        <v>828</v>
      </c>
      <c r="J87" s="41"/>
      <c r="K87" s="41">
        <v>5209</v>
      </c>
      <c r="L87" s="41">
        <v>1919</v>
      </c>
      <c r="M87" s="41">
        <v>222</v>
      </c>
      <c r="N87" s="41"/>
      <c r="O87" s="41"/>
      <c r="P87" s="41"/>
      <c r="Q87" s="41"/>
      <c r="R87" s="41"/>
      <c r="S87" s="41"/>
      <c r="T87" s="41"/>
      <c r="U87" s="41"/>
      <c r="V87" s="41" t="s">
        <v>91</v>
      </c>
      <c r="W87" s="106"/>
      <c r="X87" s="106"/>
      <c r="Y87" s="106"/>
      <c r="Z87" s="106"/>
    </row>
    <row r="88" spans="1:26" s="247" customFormat="1" ht="11.1" customHeight="1" x14ac:dyDescent="0.15">
      <c r="A88" s="256">
        <v>34790</v>
      </c>
      <c r="B88" s="106" t="s">
        <v>103</v>
      </c>
      <c r="C88" s="106" t="s">
        <v>224</v>
      </c>
      <c r="D88" s="106" t="s">
        <v>225</v>
      </c>
      <c r="E88" s="41"/>
      <c r="F88" s="41"/>
      <c r="G88" s="41"/>
      <c r="H88" s="41"/>
      <c r="I88" s="41"/>
      <c r="J88" s="41"/>
      <c r="K88" s="41"/>
      <c r="L88" s="41"/>
      <c r="M88" s="41"/>
      <c r="N88" s="41"/>
      <c r="O88" s="41"/>
      <c r="P88" s="41"/>
      <c r="Q88" s="41"/>
      <c r="R88" s="41"/>
      <c r="S88" s="41"/>
      <c r="T88" s="41"/>
      <c r="U88" s="41"/>
      <c r="V88" s="41" t="s">
        <v>91</v>
      </c>
      <c r="W88" s="106"/>
      <c r="X88" s="106"/>
      <c r="Y88" s="106"/>
      <c r="Z88" s="106"/>
    </row>
    <row r="89" spans="1:26" s="247" customFormat="1" ht="11.1" customHeight="1" x14ac:dyDescent="0.15">
      <c r="A89" s="256">
        <v>35156</v>
      </c>
      <c r="B89" s="106" t="s">
        <v>104</v>
      </c>
      <c r="C89" s="106" t="s">
        <v>224</v>
      </c>
      <c r="D89" s="106" t="s">
        <v>225</v>
      </c>
      <c r="E89" s="41"/>
      <c r="F89" s="41"/>
      <c r="G89" s="41"/>
      <c r="H89" s="41"/>
      <c r="I89" s="41"/>
      <c r="J89" s="41"/>
      <c r="K89" s="41"/>
      <c r="L89" s="41"/>
      <c r="M89" s="41"/>
      <c r="N89" s="41"/>
      <c r="O89" s="41"/>
      <c r="P89" s="41"/>
      <c r="Q89" s="41"/>
      <c r="R89" s="41"/>
      <c r="S89" s="41"/>
      <c r="T89" s="41"/>
      <c r="U89" s="41"/>
      <c r="V89" s="41" t="s">
        <v>91</v>
      </c>
      <c r="W89" s="106"/>
      <c r="X89" s="106"/>
      <c r="Y89" s="106"/>
      <c r="Z89" s="106"/>
    </row>
    <row r="90" spans="1:26" s="247" customFormat="1" ht="11.1" customHeight="1" x14ac:dyDescent="0.15">
      <c r="A90" s="256">
        <v>35521</v>
      </c>
      <c r="B90" s="106" t="s">
        <v>105</v>
      </c>
      <c r="C90" s="106" t="s">
        <v>224</v>
      </c>
      <c r="D90" s="106" t="s">
        <v>225</v>
      </c>
      <c r="E90" s="41">
        <v>23766</v>
      </c>
      <c r="F90" s="41">
        <v>23766</v>
      </c>
      <c r="G90" s="41">
        <v>7330</v>
      </c>
      <c r="H90" s="41">
        <v>7330</v>
      </c>
      <c r="I90" s="41"/>
      <c r="J90" s="41"/>
      <c r="K90" s="41">
        <v>6147</v>
      </c>
      <c r="L90" s="41">
        <v>477</v>
      </c>
      <c r="M90" s="41">
        <v>706</v>
      </c>
      <c r="N90" s="41"/>
      <c r="O90" s="41"/>
      <c r="P90" s="41"/>
      <c r="Q90" s="41"/>
      <c r="R90" s="41"/>
      <c r="S90" s="41"/>
      <c r="T90" s="41"/>
      <c r="U90" s="41"/>
      <c r="V90" s="41" t="s">
        <v>91</v>
      </c>
      <c r="W90" s="106"/>
      <c r="X90" s="106"/>
      <c r="Y90" s="106"/>
      <c r="Z90" s="106"/>
    </row>
    <row r="91" spans="1:26" s="247" customFormat="1" ht="11.1" customHeight="1" x14ac:dyDescent="0.15">
      <c r="A91" s="256">
        <v>35886</v>
      </c>
      <c r="B91" s="106" t="s">
        <v>20</v>
      </c>
      <c r="C91" s="106" t="s">
        <v>224</v>
      </c>
      <c r="D91" s="106" t="s">
        <v>225</v>
      </c>
      <c r="E91" s="41">
        <v>23988</v>
      </c>
      <c r="F91" s="41">
        <v>23988</v>
      </c>
      <c r="G91" s="41">
        <v>7406</v>
      </c>
      <c r="H91" s="41">
        <v>8252</v>
      </c>
      <c r="I91" s="41">
        <v>0</v>
      </c>
      <c r="J91" s="41">
        <v>406</v>
      </c>
      <c r="K91" s="41">
        <v>7094</v>
      </c>
      <c r="L91" s="41">
        <v>70</v>
      </c>
      <c r="M91" s="41">
        <v>1079</v>
      </c>
      <c r="N91" s="41">
        <v>9</v>
      </c>
      <c r="O91" s="41">
        <v>8252</v>
      </c>
      <c r="P91" s="41">
        <v>99.151720794958791</v>
      </c>
      <c r="Q91" s="41">
        <v>727</v>
      </c>
      <c r="R91" s="41">
        <v>13.190113190113189</v>
      </c>
      <c r="S91" s="41">
        <v>1262</v>
      </c>
      <c r="T91" s="41">
        <v>247</v>
      </c>
      <c r="U91" s="41">
        <v>1579</v>
      </c>
      <c r="V91" s="41"/>
      <c r="W91" s="106"/>
      <c r="X91" s="106"/>
      <c r="Y91" s="106"/>
      <c r="Z91" s="106"/>
    </row>
    <row r="92" spans="1:26" s="247" customFormat="1" ht="11.1" customHeight="1" x14ac:dyDescent="0.15">
      <c r="A92" s="256">
        <v>36251</v>
      </c>
      <c r="B92" s="106" t="s">
        <v>21</v>
      </c>
      <c r="C92" s="106" t="s">
        <v>224</v>
      </c>
      <c r="D92" s="106" t="s">
        <v>225</v>
      </c>
      <c r="E92" s="41">
        <v>24137</v>
      </c>
      <c r="F92" s="41">
        <v>24137</v>
      </c>
      <c r="G92" s="41">
        <v>7709</v>
      </c>
      <c r="H92" s="41">
        <v>8389</v>
      </c>
      <c r="I92" s="41">
        <v>0</v>
      </c>
      <c r="J92" s="41">
        <v>373</v>
      </c>
      <c r="K92" s="41">
        <v>7348</v>
      </c>
      <c r="L92" s="41">
        <v>0</v>
      </c>
      <c r="M92" s="41">
        <v>1041</v>
      </c>
      <c r="N92" s="41">
        <v>8</v>
      </c>
      <c r="O92" s="41">
        <v>8397</v>
      </c>
      <c r="P92" s="41">
        <v>100</v>
      </c>
      <c r="Q92" s="41">
        <v>701</v>
      </c>
      <c r="R92" s="41">
        <v>12.337514253135689</v>
      </c>
      <c r="S92" s="41">
        <v>1317</v>
      </c>
      <c r="T92" s="41">
        <v>237</v>
      </c>
      <c r="U92" s="41">
        <v>1554</v>
      </c>
      <c r="V92" s="41"/>
      <c r="W92" s="106"/>
      <c r="X92" s="106"/>
      <c r="Y92" s="106"/>
      <c r="Z92" s="106"/>
    </row>
    <row r="93" spans="1:26" s="247" customFormat="1" ht="11.1" customHeight="1" x14ac:dyDescent="0.15">
      <c r="A93" s="256">
        <v>36617</v>
      </c>
      <c r="B93" s="106" t="s">
        <v>22</v>
      </c>
      <c r="C93" s="106" t="s">
        <v>224</v>
      </c>
      <c r="D93" s="106" t="s">
        <v>225</v>
      </c>
      <c r="E93" s="41">
        <v>24256</v>
      </c>
      <c r="F93" s="41">
        <v>24256</v>
      </c>
      <c r="G93" s="41">
        <v>8308</v>
      </c>
      <c r="H93" s="41">
        <v>8981</v>
      </c>
      <c r="I93" s="41">
        <v>0</v>
      </c>
      <c r="J93" s="41">
        <v>374</v>
      </c>
      <c r="K93" s="41">
        <v>7979</v>
      </c>
      <c r="L93" s="41">
        <v>0</v>
      </c>
      <c r="M93" s="41">
        <v>991</v>
      </c>
      <c r="N93" s="41">
        <v>11</v>
      </c>
      <c r="O93" s="41">
        <v>8981</v>
      </c>
      <c r="P93" s="41">
        <v>100</v>
      </c>
      <c r="Q93" s="41">
        <v>647</v>
      </c>
      <c r="R93" s="41">
        <v>11.031533939070016</v>
      </c>
      <c r="S93" s="41">
        <v>0</v>
      </c>
      <c r="T93" s="41">
        <v>1110</v>
      </c>
      <c r="U93" s="41">
        <v>1110</v>
      </c>
      <c r="V93" s="41"/>
      <c r="W93" s="106"/>
      <c r="X93" s="106"/>
      <c r="Y93" s="106"/>
      <c r="Z93" s="106"/>
    </row>
    <row r="94" spans="1:26" s="247" customFormat="1" ht="11.1" customHeight="1" x14ac:dyDescent="0.15">
      <c r="A94" s="256">
        <v>36982</v>
      </c>
      <c r="B94" s="106" t="s">
        <v>23</v>
      </c>
      <c r="C94" s="106" t="s">
        <v>224</v>
      </c>
      <c r="D94" s="106" t="s">
        <v>225</v>
      </c>
      <c r="E94" s="41">
        <v>24267</v>
      </c>
      <c r="F94" s="41">
        <v>24267</v>
      </c>
      <c r="G94" s="41">
        <v>8503</v>
      </c>
      <c r="H94" s="41">
        <v>9289</v>
      </c>
      <c r="I94" s="41">
        <v>0</v>
      </c>
      <c r="J94" s="41">
        <v>387</v>
      </c>
      <c r="K94" s="41">
        <v>8370</v>
      </c>
      <c r="L94" s="41">
        <v>0</v>
      </c>
      <c r="M94" s="41">
        <v>912</v>
      </c>
      <c r="N94" s="41">
        <v>7</v>
      </c>
      <c r="O94" s="41">
        <v>9289</v>
      </c>
      <c r="P94" s="41">
        <v>100</v>
      </c>
      <c r="Q94" s="41">
        <v>618</v>
      </c>
      <c r="R94" s="41">
        <v>10.458867300537413</v>
      </c>
      <c r="S94" s="41">
        <v>1325</v>
      </c>
      <c r="T94" s="41">
        <v>245</v>
      </c>
      <c r="U94" s="41">
        <v>1570</v>
      </c>
      <c r="V94" s="41"/>
      <c r="W94" s="106"/>
      <c r="X94" s="106"/>
      <c r="Y94" s="106"/>
      <c r="Z94" s="106"/>
    </row>
    <row r="95" spans="1:26" s="247" customFormat="1" ht="11.1" customHeight="1" x14ac:dyDescent="0.15">
      <c r="A95" s="256">
        <v>37347</v>
      </c>
      <c r="B95" s="106" t="s">
        <v>24</v>
      </c>
      <c r="C95" s="106" t="s">
        <v>224</v>
      </c>
      <c r="D95" s="106" t="s">
        <v>225</v>
      </c>
      <c r="E95" s="41">
        <v>24294</v>
      </c>
      <c r="F95" s="41">
        <v>24294</v>
      </c>
      <c r="G95" s="41">
        <v>8368</v>
      </c>
      <c r="H95" s="41">
        <v>9233</v>
      </c>
      <c r="I95" s="41">
        <v>0</v>
      </c>
      <c r="J95" s="41">
        <v>393</v>
      </c>
      <c r="K95" s="41">
        <v>8342</v>
      </c>
      <c r="L95" s="41">
        <v>0</v>
      </c>
      <c r="M95" s="41">
        <v>823</v>
      </c>
      <c r="N95" s="41">
        <v>7</v>
      </c>
      <c r="O95" s="41">
        <v>9172</v>
      </c>
      <c r="P95" s="41">
        <v>100</v>
      </c>
      <c r="Q95" s="41">
        <v>566</v>
      </c>
      <c r="R95" s="41">
        <v>10.099320439100888</v>
      </c>
      <c r="S95" s="41">
        <v>1390</v>
      </c>
      <c r="T95" s="41">
        <v>196</v>
      </c>
      <c r="U95" s="41">
        <v>1586</v>
      </c>
      <c r="V95" s="41"/>
      <c r="W95" s="106"/>
      <c r="X95" s="106"/>
      <c r="Y95" s="106"/>
      <c r="Z95" s="106"/>
    </row>
    <row r="96" spans="1:26" s="247" customFormat="1" ht="11.1" customHeight="1" x14ac:dyDescent="0.15">
      <c r="A96" s="256">
        <v>37712</v>
      </c>
      <c r="B96" s="106" t="s">
        <v>25</v>
      </c>
      <c r="C96" s="106" t="s">
        <v>224</v>
      </c>
      <c r="D96" s="106" t="s">
        <v>225</v>
      </c>
      <c r="E96" s="41">
        <v>24222</v>
      </c>
      <c r="F96" s="41">
        <v>24222</v>
      </c>
      <c r="G96" s="41">
        <v>9489</v>
      </c>
      <c r="H96" s="41">
        <v>8670</v>
      </c>
      <c r="I96" s="41">
        <v>0</v>
      </c>
      <c r="J96" s="41">
        <v>406</v>
      </c>
      <c r="K96" s="41">
        <v>8560</v>
      </c>
      <c r="L96" s="41">
        <v>0</v>
      </c>
      <c r="M96" s="41">
        <v>922</v>
      </c>
      <c r="N96" s="41">
        <v>7</v>
      </c>
      <c r="O96" s="41">
        <v>9489</v>
      </c>
      <c r="P96" s="41">
        <v>100</v>
      </c>
      <c r="Q96" s="41">
        <v>579</v>
      </c>
      <c r="R96" s="41">
        <v>10.025265285497726</v>
      </c>
      <c r="S96" s="41">
        <v>1556</v>
      </c>
      <c r="T96" s="41">
        <v>245</v>
      </c>
      <c r="U96" s="41">
        <v>1801</v>
      </c>
      <c r="V96" s="41"/>
      <c r="W96" s="106"/>
      <c r="X96" s="106"/>
      <c r="Y96" s="106"/>
      <c r="Z96" s="106"/>
    </row>
    <row r="97" spans="1:26" s="247" customFormat="1" ht="11.1" customHeight="1" x14ac:dyDescent="0.15">
      <c r="A97" s="256">
        <v>38078</v>
      </c>
      <c r="B97" s="106" t="s">
        <v>26</v>
      </c>
      <c r="C97" s="106" t="s">
        <v>224</v>
      </c>
      <c r="D97" s="106" t="s">
        <v>225</v>
      </c>
      <c r="E97" s="41">
        <v>24209</v>
      </c>
      <c r="F97" s="41">
        <v>24209</v>
      </c>
      <c r="G97" s="41">
        <v>9445</v>
      </c>
      <c r="H97" s="41">
        <v>8401</v>
      </c>
      <c r="I97" s="41">
        <v>0</v>
      </c>
      <c r="J97" s="41">
        <v>441</v>
      </c>
      <c r="K97" s="41">
        <v>8038</v>
      </c>
      <c r="L97" s="41">
        <v>0</v>
      </c>
      <c r="M97" s="41">
        <v>1217</v>
      </c>
      <c r="N97" s="41">
        <v>254</v>
      </c>
      <c r="O97" s="41">
        <v>9509</v>
      </c>
      <c r="P97" s="41">
        <v>100</v>
      </c>
      <c r="Q97" s="41">
        <v>806</v>
      </c>
      <c r="R97" s="41">
        <v>15.085427135678392</v>
      </c>
      <c r="S97" s="41">
        <v>1410</v>
      </c>
      <c r="T97" s="41">
        <v>163</v>
      </c>
      <c r="U97" s="41">
        <v>1573</v>
      </c>
      <c r="V97" s="41"/>
      <c r="W97" s="106"/>
      <c r="X97" s="106"/>
      <c r="Y97" s="106"/>
      <c r="Z97" s="106"/>
    </row>
    <row r="98" spans="1:26" s="247" customFormat="1" ht="11.1" customHeight="1" x14ac:dyDescent="0.15">
      <c r="A98" s="256">
        <v>38443</v>
      </c>
      <c r="B98" s="106" t="s">
        <v>27</v>
      </c>
      <c r="C98" s="106" t="s">
        <v>224</v>
      </c>
      <c r="D98" s="106" t="s">
        <v>225</v>
      </c>
      <c r="E98" s="41">
        <v>24033</v>
      </c>
      <c r="F98" s="41">
        <v>24033</v>
      </c>
      <c r="G98" s="41">
        <v>10223</v>
      </c>
      <c r="H98" s="41">
        <v>8675</v>
      </c>
      <c r="I98" s="41">
        <v>0</v>
      </c>
      <c r="J98" s="41">
        <v>423</v>
      </c>
      <c r="K98" s="41">
        <v>8405</v>
      </c>
      <c r="L98" s="41">
        <v>0</v>
      </c>
      <c r="M98" s="41">
        <v>1092</v>
      </c>
      <c r="N98" s="41">
        <v>303</v>
      </c>
      <c r="O98" s="41">
        <v>9800</v>
      </c>
      <c r="P98" s="41">
        <v>100</v>
      </c>
      <c r="Q98" s="41">
        <v>718</v>
      </c>
      <c r="R98" s="41">
        <v>14.125012227330529</v>
      </c>
      <c r="S98" s="41">
        <v>1532</v>
      </c>
      <c r="T98" s="41">
        <v>165</v>
      </c>
      <c r="U98" s="41">
        <v>1697</v>
      </c>
      <c r="V98" s="41"/>
      <c r="W98" s="106"/>
      <c r="X98" s="106"/>
      <c r="Y98" s="106"/>
      <c r="Z98" s="106"/>
    </row>
    <row r="99" spans="1:26" s="247" customFormat="1" ht="11.1" customHeight="1" x14ac:dyDescent="0.15">
      <c r="A99" s="256">
        <v>38808</v>
      </c>
      <c r="B99" s="106" t="s">
        <v>28</v>
      </c>
      <c r="C99" s="106" t="s">
        <v>224</v>
      </c>
      <c r="D99" s="106" t="s">
        <v>225</v>
      </c>
      <c r="E99" s="41">
        <v>23980</v>
      </c>
      <c r="F99" s="41">
        <v>23980</v>
      </c>
      <c r="G99" s="41">
        <v>9967</v>
      </c>
      <c r="H99" s="41">
        <v>8617</v>
      </c>
      <c r="I99" s="41">
        <v>0</v>
      </c>
      <c r="J99" s="41">
        <v>388</v>
      </c>
      <c r="K99" s="41">
        <v>8100</v>
      </c>
      <c r="L99" s="41">
        <v>0</v>
      </c>
      <c r="M99" s="41">
        <v>1149</v>
      </c>
      <c r="N99" s="41">
        <v>330</v>
      </c>
      <c r="O99" s="41">
        <v>9579</v>
      </c>
      <c r="P99" s="41">
        <v>100</v>
      </c>
      <c r="Q99" s="41">
        <v>690</v>
      </c>
      <c r="R99" s="41">
        <v>14.126617838868267</v>
      </c>
      <c r="S99" s="41">
        <v>1600</v>
      </c>
      <c r="T99" s="41">
        <v>183</v>
      </c>
      <c r="U99" s="41">
        <v>1783</v>
      </c>
      <c r="V99" s="41"/>
      <c r="W99" s="106"/>
      <c r="X99" s="106"/>
      <c r="Y99" s="106"/>
      <c r="Z99" s="106"/>
    </row>
    <row r="100" spans="1:26" s="247" customFormat="1" ht="11.1" customHeight="1" x14ac:dyDescent="0.15">
      <c r="A100" s="256">
        <v>39173</v>
      </c>
      <c r="B100" s="106" t="s">
        <v>29</v>
      </c>
      <c r="C100" s="106" t="s">
        <v>224</v>
      </c>
      <c r="D100" s="106" t="s">
        <v>225</v>
      </c>
      <c r="E100" s="41">
        <v>24115</v>
      </c>
      <c r="F100" s="41">
        <v>24115</v>
      </c>
      <c r="G100" s="41">
        <v>9698</v>
      </c>
      <c r="H100" s="41">
        <v>8498</v>
      </c>
      <c r="I100" s="41">
        <v>0</v>
      </c>
      <c r="J100" s="41">
        <v>372</v>
      </c>
      <c r="K100" s="41">
        <v>7962</v>
      </c>
      <c r="L100" s="41">
        <v>0</v>
      </c>
      <c r="M100" s="41">
        <v>1039</v>
      </c>
      <c r="N100" s="41">
        <v>325</v>
      </c>
      <c r="O100" s="41">
        <v>9326</v>
      </c>
      <c r="P100" s="41">
        <v>100</v>
      </c>
      <c r="Q100" s="41">
        <v>681</v>
      </c>
      <c r="R100" s="41">
        <v>14.209115281501342</v>
      </c>
      <c r="S100" s="41">
        <v>1465</v>
      </c>
      <c r="T100" s="41">
        <v>216</v>
      </c>
      <c r="U100" s="41">
        <v>1681</v>
      </c>
      <c r="V100" s="41"/>
      <c r="W100" s="106"/>
      <c r="X100" s="106"/>
      <c r="Y100" s="106"/>
      <c r="Z100" s="106"/>
    </row>
    <row r="101" spans="1:26" s="247" customFormat="1" ht="11.1" customHeight="1" x14ac:dyDescent="0.15">
      <c r="A101" s="256">
        <v>39539</v>
      </c>
      <c r="B101" s="106" t="s">
        <v>30</v>
      </c>
      <c r="C101" s="106" t="s">
        <v>224</v>
      </c>
      <c r="D101" s="106" t="s">
        <v>225</v>
      </c>
      <c r="E101" s="41">
        <v>24546</v>
      </c>
      <c r="F101" s="41">
        <v>24546</v>
      </c>
      <c r="G101" s="41">
        <v>9729</v>
      </c>
      <c r="H101" s="41">
        <v>8455</v>
      </c>
      <c r="I101" s="41">
        <v>0</v>
      </c>
      <c r="J101" s="41">
        <v>366</v>
      </c>
      <c r="K101" s="41">
        <v>8069</v>
      </c>
      <c r="L101" s="41">
        <v>0</v>
      </c>
      <c r="M101" s="41">
        <v>1012</v>
      </c>
      <c r="N101" s="41">
        <v>282</v>
      </c>
      <c r="O101" s="41">
        <v>9363</v>
      </c>
      <c r="P101" s="41">
        <v>100</v>
      </c>
      <c r="Q101" s="41">
        <v>585</v>
      </c>
      <c r="R101" s="41">
        <v>12.673450508788159</v>
      </c>
      <c r="S101" s="41">
        <v>1558</v>
      </c>
      <c r="T101" s="41">
        <v>171</v>
      </c>
      <c r="U101" s="41">
        <v>1729</v>
      </c>
      <c r="V101" s="41"/>
      <c r="W101" s="106"/>
      <c r="X101" s="106"/>
      <c r="Y101" s="106"/>
      <c r="Z101" s="106"/>
    </row>
    <row r="102" spans="1:26" s="247" customFormat="1" ht="11.1" customHeight="1" x14ac:dyDescent="0.15">
      <c r="A102" s="256">
        <v>39904</v>
      </c>
      <c r="B102" s="106" t="s">
        <v>31</v>
      </c>
      <c r="C102" s="106" t="s">
        <v>224</v>
      </c>
      <c r="D102" s="106" t="s">
        <v>225</v>
      </c>
      <c r="E102" s="41">
        <v>24701</v>
      </c>
      <c r="F102" s="41">
        <v>24701</v>
      </c>
      <c r="G102" s="41">
        <v>9458</v>
      </c>
      <c r="H102" s="41">
        <v>8235</v>
      </c>
      <c r="I102" s="41">
        <v>0</v>
      </c>
      <c r="J102" s="41">
        <v>368</v>
      </c>
      <c r="K102" s="41">
        <v>7865</v>
      </c>
      <c r="L102" s="41">
        <v>0</v>
      </c>
      <c r="M102" s="41">
        <v>1070</v>
      </c>
      <c r="N102" s="41">
        <v>267</v>
      </c>
      <c r="O102" s="41">
        <v>9202</v>
      </c>
      <c r="P102" s="41">
        <v>100</v>
      </c>
      <c r="Q102" s="41">
        <v>503</v>
      </c>
      <c r="R102" s="41">
        <v>11.891327063740857</v>
      </c>
      <c r="S102" s="41">
        <v>1432</v>
      </c>
      <c r="T102" s="41">
        <v>150</v>
      </c>
      <c r="U102" s="41">
        <v>1582</v>
      </c>
      <c r="V102" s="41"/>
      <c r="W102" s="106"/>
      <c r="X102" s="106"/>
      <c r="Y102" s="106"/>
      <c r="Z102" s="106"/>
    </row>
    <row r="103" spans="1:26" s="247" customFormat="1" ht="11.1" customHeight="1" x14ac:dyDescent="0.15">
      <c r="A103" s="256">
        <v>40269</v>
      </c>
      <c r="B103" s="106" t="s">
        <v>32</v>
      </c>
      <c r="C103" s="106" t="s">
        <v>224</v>
      </c>
      <c r="D103" s="106" t="s">
        <v>225</v>
      </c>
      <c r="E103" s="41">
        <v>24921</v>
      </c>
      <c r="F103" s="41">
        <v>24921</v>
      </c>
      <c r="G103" s="41">
        <v>9763</v>
      </c>
      <c r="H103" s="41">
        <v>8301</v>
      </c>
      <c r="I103" s="41">
        <v>0</v>
      </c>
      <c r="J103" s="41">
        <v>350</v>
      </c>
      <c r="K103" s="41">
        <v>8092</v>
      </c>
      <c r="L103" s="41">
        <v>0</v>
      </c>
      <c r="M103" s="41">
        <v>1056</v>
      </c>
      <c r="N103" s="41">
        <v>265</v>
      </c>
      <c r="O103" s="41">
        <v>9413</v>
      </c>
      <c r="P103" s="41">
        <v>100</v>
      </c>
      <c r="Q103" s="41">
        <v>479</v>
      </c>
      <c r="R103" s="41">
        <v>11.205572057769128</v>
      </c>
      <c r="S103" s="41">
        <v>1411</v>
      </c>
      <c r="T103" s="41">
        <v>167</v>
      </c>
      <c r="U103" s="41">
        <v>1578</v>
      </c>
      <c r="V103" s="41"/>
      <c r="W103" s="106"/>
      <c r="X103" s="106"/>
      <c r="Y103" s="106"/>
      <c r="Z103" s="106"/>
    </row>
    <row r="104" spans="1:26" s="247" customFormat="1" ht="11.1" customHeight="1" x14ac:dyDescent="0.15">
      <c r="A104" s="256">
        <v>40634</v>
      </c>
      <c r="B104" s="106" t="s">
        <v>33</v>
      </c>
      <c r="C104" s="106" t="s">
        <v>224</v>
      </c>
      <c r="D104" s="106" t="s">
        <v>225</v>
      </c>
      <c r="E104" s="41">
        <v>25960</v>
      </c>
      <c r="F104" s="41">
        <v>25960</v>
      </c>
      <c r="G104" s="41">
        <v>10002</v>
      </c>
      <c r="H104" s="41">
        <v>8879</v>
      </c>
      <c r="I104" s="41">
        <v>1123</v>
      </c>
      <c r="J104" s="41">
        <v>0</v>
      </c>
      <c r="K104" s="41">
        <v>8580</v>
      </c>
      <c r="L104" s="41">
        <v>0</v>
      </c>
      <c r="M104" s="41">
        <v>958</v>
      </c>
      <c r="N104" s="41">
        <v>346</v>
      </c>
      <c r="O104" s="41">
        <v>9884</v>
      </c>
      <c r="P104" s="41">
        <v>100</v>
      </c>
      <c r="Q104" s="41">
        <v>529</v>
      </c>
      <c r="R104" s="41">
        <v>8.8526912181303103</v>
      </c>
      <c r="S104" s="41">
        <v>1440</v>
      </c>
      <c r="T104" s="41">
        <v>236</v>
      </c>
      <c r="U104" s="41">
        <v>1676</v>
      </c>
      <c r="V104" s="41"/>
      <c r="W104" s="106"/>
      <c r="X104" s="106"/>
      <c r="Y104" s="106"/>
      <c r="Z104" s="106"/>
    </row>
    <row r="105" spans="1:26" s="247" customFormat="1" ht="11.1" customHeight="1" x14ac:dyDescent="0.15">
      <c r="A105" s="256">
        <v>41000</v>
      </c>
      <c r="B105" s="106" t="s">
        <v>106</v>
      </c>
      <c r="C105" s="106" t="s">
        <v>224</v>
      </c>
      <c r="D105" s="106" t="s">
        <v>225</v>
      </c>
      <c r="E105" s="41">
        <v>26459</v>
      </c>
      <c r="F105" s="41">
        <v>26459</v>
      </c>
      <c r="G105" s="41">
        <v>10218</v>
      </c>
      <c r="H105" s="41">
        <v>9385</v>
      </c>
      <c r="I105" s="41">
        <v>0</v>
      </c>
      <c r="J105" s="41">
        <v>0</v>
      </c>
      <c r="K105" s="41">
        <v>8830</v>
      </c>
      <c r="L105" s="41">
        <v>0</v>
      </c>
      <c r="M105" s="41">
        <v>1038</v>
      </c>
      <c r="N105" s="41">
        <v>350</v>
      </c>
      <c r="O105" s="41">
        <v>10218</v>
      </c>
      <c r="P105" s="41">
        <v>100</v>
      </c>
      <c r="Q105" s="41">
        <v>491</v>
      </c>
      <c r="R105" s="41">
        <v>8.2305734977490701</v>
      </c>
      <c r="S105" s="41">
        <v>1731</v>
      </c>
      <c r="T105" s="41">
        <v>233</v>
      </c>
      <c r="U105" s="41">
        <v>1964</v>
      </c>
      <c r="V105" s="41"/>
      <c r="W105" s="106"/>
      <c r="X105" s="106"/>
      <c r="Y105" s="106"/>
      <c r="Z105" s="106"/>
    </row>
    <row r="106" spans="1:26" s="247" customFormat="1" ht="11.1" customHeight="1" x14ac:dyDescent="0.15">
      <c r="A106" s="256">
        <v>41365.333333333299</v>
      </c>
      <c r="B106" s="106" t="s">
        <v>107</v>
      </c>
      <c r="C106" s="106" t="s">
        <v>224</v>
      </c>
      <c r="D106" s="106" t="s">
        <v>225</v>
      </c>
      <c r="E106" s="41">
        <v>27061</v>
      </c>
      <c r="F106" s="41">
        <v>27061</v>
      </c>
      <c r="G106" s="41">
        <v>10138</v>
      </c>
      <c r="H106" s="41">
        <v>9501</v>
      </c>
      <c r="I106" s="41">
        <v>0</v>
      </c>
      <c r="J106" s="41">
        <v>0</v>
      </c>
      <c r="K106" s="41">
        <v>8777</v>
      </c>
      <c r="L106" s="41">
        <v>0</v>
      </c>
      <c r="M106" s="41">
        <v>1023</v>
      </c>
      <c r="N106" s="41">
        <v>338</v>
      </c>
      <c r="O106" s="41">
        <v>10138</v>
      </c>
      <c r="P106" s="41">
        <v>100</v>
      </c>
      <c r="Q106" s="41">
        <v>0</v>
      </c>
      <c r="R106" s="41">
        <v>3.3339909252318014</v>
      </c>
      <c r="S106" s="41">
        <v>1545</v>
      </c>
      <c r="T106" s="41">
        <v>174</v>
      </c>
      <c r="U106" s="41">
        <v>1719</v>
      </c>
      <c r="V106" s="41"/>
      <c r="W106" s="106"/>
      <c r="X106" s="106"/>
      <c r="Y106" s="106"/>
      <c r="Z106" s="106"/>
    </row>
    <row r="107" spans="1:26" s="247" customFormat="1" ht="11.1" customHeight="1" x14ac:dyDescent="0.15">
      <c r="A107" s="256">
        <v>41730.833333333299</v>
      </c>
      <c r="B107" s="106" t="s">
        <v>34</v>
      </c>
      <c r="C107" s="106" t="s">
        <v>224</v>
      </c>
      <c r="D107" s="106" t="s">
        <v>225</v>
      </c>
      <c r="E107" s="41">
        <v>27655</v>
      </c>
      <c r="F107" s="41">
        <v>27655</v>
      </c>
      <c r="G107" s="41">
        <v>10436</v>
      </c>
      <c r="H107" s="41">
        <v>9593</v>
      </c>
      <c r="I107" s="41">
        <v>0</v>
      </c>
      <c r="J107" s="41">
        <v>0</v>
      </c>
      <c r="K107" s="41">
        <v>9077</v>
      </c>
      <c r="L107" s="41">
        <v>0</v>
      </c>
      <c r="M107" s="41">
        <v>1009</v>
      </c>
      <c r="N107" s="41">
        <v>350</v>
      </c>
      <c r="O107" s="41">
        <v>10436</v>
      </c>
      <c r="P107" s="41">
        <v>100</v>
      </c>
      <c r="Q107" s="41">
        <v>0</v>
      </c>
      <c r="R107" s="41">
        <v>3.3537753928708316</v>
      </c>
      <c r="S107" s="41">
        <v>1637</v>
      </c>
      <c r="T107" s="41">
        <v>197</v>
      </c>
      <c r="U107" s="41">
        <v>1834</v>
      </c>
      <c r="V107" s="41"/>
      <c r="W107" s="106"/>
      <c r="X107" s="106"/>
      <c r="Y107" s="106"/>
      <c r="Z107" s="106"/>
    </row>
    <row r="108" spans="1:26" s="247" customFormat="1" ht="11.1" customHeight="1" x14ac:dyDescent="0.15">
      <c r="A108" s="256">
        <v>42096.333333333299</v>
      </c>
      <c r="B108" s="106" t="s">
        <v>35</v>
      </c>
      <c r="C108" s="106" t="s">
        <v>224</v>
      </c>
      <c r="D108" s="106" t="s">
        <v>225</v>
      </c>
      <c r="E108" s="41">
        <v>28198</v>
      </c>
      <c r="F108" s="41">
        <v>28198</v>
      </c>
      <c r="G108" s="41">
        <v>10710</v>
      </c>
      <c r="H108" s="41">
        <v>9721</v>
      </c>
      <c r="I108" s="41">
        <v>0</v>
      </c>
      <c r="J108" s="41">
        <v>0</v>
      </c>
      <c r="K108" s="41">
        <v>9353</v>
      </c>
      <c r="L108" s="41">
        <v>0</v>
      </c>
      <c r="M108" s="41">
        <v>1005</v>
      </c>
      <c r="N108" s="41">
        <v>352</v>
      </c>
      <c r="O108" s="41">
        <v>10710</v>
      </c>
      <c r="P108" s="41">
        <v>100</v>
      </c>
      <c r="Q108" s="41">
        <v>0</v>
      </c>
      <c r="R108" s="41">
        <v>3.2866479925303458</v>
      </c>
      <c r="S108" s="41">
        <v>1619</v>
      </c>
      <c r="T108" s="41">
        <v>358</v>
      </c>
      <c r="U108" s="41">
        <v>1977</v>
      </c>
      <c r="V108" s="41"/>
      <c r="W108" s="106"/>
      <c r="X108" s="106"/>
      <c r="Y108" s="106">
        <v>989</v>
      </c>
      <c r="Z108" s="106"/>
    </row>
    <row r="109" spans="1:26" s="247" customFormat="1" ht="11.1" customHeight="1" x14ac:dyDescent="0.15">
      <c r="A109" s="256">
        <v>42461.833333333299</v>
      </c>
      <c r="B109" s="106" t="s">
        <v>36</v>
      </c>
      <c r="C109" s="106" t="s">
        <v>224</v>
      </c>
      <c r="D109" s="106" t="s">
        <v>225</v>
      </c>
      <c r="E109" s="41">
        <v>28563</v>
      </c>
      <c r="F109" s="41">
        <v>28563</v>
      </c>
      <c r="G109" s="41">
        <v>10685</v>
      </c>
      <c r="H109" s="41">
        <v>9827</v>
      </c>
      <c r="I109" s="41">
        <v>0</v>
      </c>
      <c r="J109" s="41">
        <v>257</v>
      </c>
      <c r="K109" s="41">
        <v>9105</v>
      </c>
      <c r="L109" s="41">
        <v>0</v>
      </c>
      <c r="M109" s="41">
        <v>971</v>
      </c>
      <c r="N109" s="41">
        <v>333</v>
      </c>
      <c r="O109" s="41">
        <v>10409</v>
      </c>
      <c r="P109" s="41">
        <v>100</v>
      </c>
      <c r="Q109" s="41">
        <v>0</v>
      </c>
      <c r="R109" s="41">
        <v>5.5315957247327958</v>
      </c>
      <c r="S109" s="41">
        <v>1625</v>
      </c>
      <c r="T109" s="41">
        <v>191</v>
      </c>
      <c r="U109" s="41">
        <v>1816</v>
      </c>
      <c r="V109" s="41"/>
      <c r="W109" s="106"/>
      <c r="X109" s="106"/>
      <c r="Y109" s="106">
        <v>601</v>
      </c>
      <c r="Z109" s="106"/>
    </row>
    <row r="110" spans="1:26" s="247" customFormat="1" ht="11.1" customHeight="1" x14ac:dyDescent="0.15">
      <c r="A110" s="256">
        <v>42826</v>
      </c>
      <c r="B110" s="106" t="s">
        <v>221</v>
      </c>
      <c r="C110" s="106" t="s">
        <v>224</v>
      </c>
      <c r="D110" s="106" t="s">
        <v>225</v>
      </c>
      <c r="E110" s="41">
        <v>28742</v>
      </c>
      <c r="F110" s="41">
        <v>28742</v>
      </c>
      <c r="G110" s="41">
        <v>10613</v>
      </c>
      <c r="H110" s="41">
        <v>9850</v>
      </c>
      <c r="I110" s="41">
        <v>0</v>
      </c>
      <c r="J110" s="41">
        <v>256</v>
      </c>
      <c r="K110" s="41">
        <v>9053</v>
      </c>
      <c r="L110" s="41">
        <v>0</v>
      </c>
      <c r="M110" s="41">
        <v>986</v>
      </c>
      <c r="N110" s="41">
        <v>318</v>
      </c>
      <c r="O110" s="41">
        <v>10357</v>
      </c>
      <c r="P110" s="41">
        <v>100</v>
      </c>
      <c r="Q110" s="41">
        <v>536</v>
      </c>
      <c r="R110" s="41">
        <v>10.458871195703383</v>
      </c>
      <c r="S110" s="41">
        <v>1758</v>
      </c>
      <c r="T110" s="41">
        <v>161</v>
      </c>
      <c r="U110" s="41">
        <v>1919</v>
      </c>
      <c r="V110" s="41"/>
      <c r="W110" s="106"/>
      <c r="X110" s="106"/>
      <c r="Y110" s="106">
        <v>507</v>
      </c>
      <c r="Z110" s="106"/>
    </row>
  </sheetData>
  <phoneticPr fontId="8"/>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28</vt:i4>
      </vt:variant>
    </vt:vector>
  </HeadingPairs>
  <TitlesOfParts>
    <vt:vector size="36" baseType="lpstr">
      <vt:lpstr>まとめ</vt:lpstr>
      <vt:lpstr>集計表</vt:lpstr>
      <vt:lpstr>試験焼却</vt:lpstr>
      <vt:lpstr>灰量排ガス井戸</vt:lpstr>
      <vt:lpstr>元表</vt:lpstr>
      <vt:lpstr>月間量回帰式</vt:lpstr>
      <vt:lpstr>濃度回帰式</vt:lpstr>
      <vt:lpstr>一廃実調</vt:lpstr>
      <vt:lpstr>Cs134Av</vt:lpstr>
      <vt:lpstr>Cs137Av</vt:lpstr>
      <vt:lpstr>濃度回帰式!下駄1</vt:lpstr>
      <vt:lpstr>下駄2</vt:lpstr>
      <vt:lpstr>月</vt:lpstr>
      <vt:lpstr>月値割合表</vt:lpstr>
      <vt:lpstr>月別割合</vt:lpstr>
      <vt:lpstr>採取日1</vt:lpstr>
      <vt:lpstr>採取日2</vt:lpstr>
      <vt:lpstr>事故日</vt:lpstr>
      <vt:lpstr>濃度回帰式!事故日の濃度1</vt:lpstr>
      <vt:lpstr>事故日の濃度2</vt:lpstr>
      <vt:lpstr>主灰発生率</vt:lpstr>
      <vt:lpstr>濃度回帰式!除数11</vt:lpstr>
      <vt:lpstr>除数12</vt:lpstr>
      <vt:lpstr>除数21</vt:lpstr>
      <vt:lpstr>除数22</vt:lpstr>
      <vt:lpstr>焼却_t_年</vt:lpstr>
      <vt:lpstr>調査初日</vt:lpstr>
      <vt:lpstr>年度</vt:lpstr>
      <vt:lpstr>年度別焼却量</vt:lpstr>
      <vt:lpstr>濃度比</vt:lpstr>
      <vt:lpstr>濃度回帰式!半1</vt:lpstr>
      <vt:lpstr>半2</vt:lpstr>
      <vt:lpstr>半Cs134</vt:lpstr>
      <vt:lpstr>半Cs137</vt:lpstr>
      <vt:lpstr>半I131</vt:lpstr>
      <vt:lpstr>飛灰発生率</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kmdみやぎ</cp:lastModifiedBy>
  <dcterms:created xsi:type="dcterms:W3CDTF">2019-04-21T12:24:18Z</dcterms:created>
  <dcterms:modified xsi:type="dcterms:W3CDTF">2019-12-17T23:37:01Z</dcterms:modified>
</cp:coreProperties>
</file>