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520" windowHeight="13770"/>
  </bookViews>
  <sheets>
    <sheet name="Sheet1" sheetId="1" r:id="rId1"/>
    <sheet name="Sheet2" sheetId="2" r:id="rId2"/>
    <sheet name="Sheet3" sheetId="3" r:id="rId3"/>
  </sheets>
  <definedNames>
    <definedName name="人口">Sheet1!$F$11</definedName>
    <definedName name="世帯">Sheet1!$E$11</definedName>
    <definedName name="年度">Sheet1!$B$105:$B$134</definedName>
  </definedNames>
  <calcPr calcId="145621" refMode="R1C1"/>
</workbook>
</file>

<file path=xl/calcChain.xml><?xml version="1.0" encoding="utf-8"?>
<calcChain xmlns="http://schemas.openxmlformats.org/spreadsheetml/2006/main">
  <c r="Z12" i="1" l="1"/>
  <c r="Z11" i="1"/>
  <c r="P131" i="1" l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05" i="1"/>
  <c r="AD127" i="1"/>
  <c r="AD128" i="1"/>
  <c r="AD129" i="1"/>
  <c r="AD130" i="1"/>
  <c r="AD131" i="1"/>
  <c r="E11" i="1"/>
  <c r="P85" i="1" s="1"/>
  <c r="F11" i="1"/>
  <c r="AD134" i="1"/>
  <c r="AE134" i="1"/>
  <c r="AE131" i="1"/>
  <c r="AE130" i="1"/>
  <c r="AE129" i="1"/>
  <c r="AE128" i="1"/>
  <c r="AE127" i="1"/>
  <c r="AD126" i="1"/>
  <c r="AE126" i="1"/>
  <c r="AD125" i="1"/>
  <c r="AE125" i="1"/>
  <c r="H125" i="1"/>
  <c r="AD124" i="1"/>
  <c r="AE124" i="1"/>
  <c r="H124" i="1"/>
  <c r="AD123" i="1"/>
  <c r="AE123" i="1"/>
  <c r="H123" i="1"/>
  <c r="AD122" i="1"/>
  <c r="AE122" i="1"/>
  <c r="H122" i="1"/>
  <c r="AD121" i="1"/>
  <c r="AE121" i="1"/>
  <c r="H121" i="1"/>
  <c r="AD120" i="1"/>
  <c r="AE120" i="1"/>
  <c r="H120" i="1"/>
  <c r="AD119" i="1"/>
  <c r="AE119" i="1"/>
  <c r="H119" i="1"/>
  <c r="AD118" i="1"/>
  <c r="AE118" i="1"/>
  <c r="H118" i="1"/>
  <c r="AD117" i="1"/>
  <c r="AE117" i="1"/>
  <c r="H117" i="1"/>
  <c r="AD116" i="1"/>
  <c r="AE116" i="1"/>
  <c r="H116" i="1"/>
  <c r="AD115" i="1"/>
  <c r="AE115" i="1"/>
  <c r="H115" i="1"/>
  <c r="AD114" i="1"/>
  <c r="AE114" i="1"/>
  <c r="H114" i="1"/>
  <c r="AD113" i="1"/>
  <c r="AE113" i="1"/>
  <c r="H113" i="1"/>
  <c r="AD112" i="1"/>
  <c r="AE112" i="1"/>
  <c r="G112" i="1"/>
  <c r="H112" i="1"/>
  <c r="F112" i="1"/>
  <c r="AD111" i="1"/>
  <c r="AE111" i="1"/>
  <c r="G111" i="1"/>
  <c r="H111" i="1"/>
  <c r="AD110" i="1"/>
  <c r="AE110" i="1"/>
  <c r="H110" i="1"/>
  <c r="AD109" i="1"/>
  <c r="AE109" i="1"/>
  <c r="H109" i="1"/>
  <c r="AD108" i="1"/>
  <c r="AE108" i="1"/>
  <c r="H108" i="1"/>
  <c r="AD107" i="1"/>
  <c r="AE107" i="1"/>
  <c r="H107" i="1"/>
  <c r="AD106" i="1"/>
  <c r="AE106" i="1"/>
  <c r="H106" i="1"/>
  <c r="AD105" i="1"/>
  <c r="AE105" i="1"/>
  <c r="H105" i="1"/>
  <c r="P28" i="1"/>
  <c r="T4" i="1"/>
  <c r="S9" i="1" s="1"/>
  <c r="S22" i="1"/>
  <c r="K30" i="1"/>
  <c r="M30" i="1"/>
  <c r="M32" i="1"/>
  <c r="P32" i="1"/>
  <c r="F18" i="1"/>
  <c r="M52" i="1"/>
  <c r="S52" i="1"/>
  <c r="M50" i="1"/>
  <c r="S50" i="1"/>
  <c r="M47" i="1"/>
  <c r="S47" i="1"/>
  <c r="K39" i="1"/>
  <c r="M39" i="1"/>
  <c r="K36" i="1"/>
  <c r="M36" i="1"/>
  <c r="G18" i="1"/>
  <c r="M33" i="1"/>
  <c r="P33" i="1"/>
  <c r="E18" i="1"/>
  <c r="M82" i="1"/>
  <c r="S82" i="1"/>
  <c r="M80" i="1"/>
  <c r="U80" i="1"/>
  <c r="M78" i="1"/>
  <c r="S78" i="1"/>
  <c r="M70" i="1"/>
  <c r="S70" i="1"/>
  <c r="S69" i="1"/>
  <c r="T69" i="1"/>
  <c r="M63" i="1"/>
  <c r="S63" i="1"/>
  <c r="S62" i="1"/>
  <c r="V62" i="1"/>
  <c r="M61" i="1"/>
  <c r="S61" i="1"/>
  <c r="T61" i="1"/>
  <c r="S60" i="1"/>
  <c r="M72" i="1"/>
  <c r="S72" i="1"/>
  <c r="N18" i="1"/>
  <c r="S95" i="1"/>
  <c r="M18" i="1"/>
  <c r="M19" i="1"/>
  <c r="S66" i="1"/>
  <c r="T66" i="1"/>
  <c r="S64" i="1"/>
  <c r="T64" i="1"/>
  <c r="T60" i="1"/>
  <c r="K100" i="1"/>
  <c r="S98" i="1"/>
  <c r="U98" i="1"/>
  <c r="M94" i="1"/>
  <c r="Q94" i="1"/>
  <c r="K93" i="1"/>
  <c r="M93" i="1"/>
  <c r="K92" i="1"/>
  <c r="M92" i="1"/>
  <c r="M91" i="1"/>
  <c r="K90" i="1"/>
  <c r="M90" i="1"/>
  <c r="M89" i="1"/>
  <c r="Q89" i="1"/>
  <c r="M97" i="1"/>
  <c r="T22" i="1"/>
  <c r="M98" i="1"/>
  <c r="W98" i="1"/>
  <c r="S84" i="1"/>
  <c r="V84" i="1"/>
  <c r="S83" i="1"/>
  <c r="M81" i="1"/>
  <c r="V81" i="1"/>
  <c r="V80" i="1"/>
  <c r="T80" i="1"/>
  <c r="M73" i="1"/>
  <c r="S73" i="1"/>
  <c r="M77" i="1"/>
  <c r="V77" i="1"/>
  <c r="M76" i="1"/>
  <c r="T76" i="1"/>
  <c r="M75" i="1"/>
  <c r="T75" i="1"/>
  <c r="M74" i="1"/>
  <c r="T74" i="1"/>
  <c r="N19" i="1"/>
  <c r="E19" i="1"/>
  <c r="H19" i="1"/>
  <c r="T29" i="1"/>
  <c r="I19" i="1"/>
  <c r="E21" i="1"/>
  <c r="G21" i="1"/>
  <c r="H21" i="1"/>
  <c r="I21" i="1"/>
  <c r="E20" i="1"/>
  <c r="H20" i="1"/>
  <c r="U29" i="1"/>
  <c r="I20" i="1"/>
  <c r="K37" i="1"/>
  <c r="M37" i="1"/>
  <c r="Q40" i="1"/>
  <c r="Q44" i="1"/>
  <c r="Q91" i="1"/>
  <c r="K42" i="1"/>
  <c r="M42" i="1"/>
  <c r="I40" i="1"/>
  <c r="K40" i="1"/>
  <c r="M40" i="1"/>
  <c r="W40" i="1"/>
  <c r="I44" i="1"/>
  <c r="K44" i="1"/>
  <c r="M44" i="1"/>
  <c r="W44" i="1"/>
  <c r="K96" i="1"/>
  <c r="K99" i="1"/>
  <c r="M99" i="1"/>
  <c r="W99" i="1"/>
  <c r="G22" i="1"/>
  <c r="T98" i="1"/>
  <c r="M95" i="1"/>
  <c r="W95" i="1"/>
  <c r="M96" i="1"/>
  <c r="W96" i="1"/>
  <c r="R28" i="1"/>
  <c r="R32" i="1"/>
  <c r="K43" i="1"/>
  <c r="M43" i="1"/>
  <c r="R43" i="1"/>
  <c r="K46" i="1"/>
  <c r="M46" i="1"/>
  <c r="R46" i="1"/>
  <c r="K49" i="1"/>
  <c r="M49" i="1"/>
  <c r="R49" i="1"/>
  <c r="K51" i="1"/>
  <c r="M51" i="1"/>
  <c r="R51" i="1"/>
  <c r="M53" i="1"/>
  <c r="R53" i="1"/>
  <c r="M54" i="1"/>
  <c r="M55" i="1"/>
  <c r="R55" i="1"/>
  <c r="S42" i="1"/>
  <c r="T42" i="1"/>
  <c r="S43" i="1"/>
  <c r="T43" i="1"/>
  <c r="K41" i="1"/>
  <c r="M41" i="1"/>
  <c r="K45" i="1"/>
  <c r="M45" i="1"/>
  <c r="V29" i="1"/>
  <c r="W28" i="1"/>
  <c r="M48" i="1"/>
  <c r="W48" i="1"/>
  <c r="S65" i="1"/>
  <c r="T65" i="1"/>
  <c r="M67" i="1"/>
  <c r="S67" i="1"/>
  <c r="S68" i="1"/>
  <c r="U68" i="1"/>
  <c r="T62" i="1"/>
  <c r="T73" i="1"/>
  <c r="T83" i="1"/>
  <c r="U60" i="1"/>
  <c r="U62" i="1"/>
  <c r="U66" i="1"/>
  <c r="U74" i="1"/>
  <c r="U76" i="1"/>
  <c r="V60" i="1"/>
  <c r="V66" i="1"/>
  <c r="V69" i="1"/>
  <c r="V76" i="1"/>
  <c r="U22" i="1"/>
  <c r="R13" i="1"/>
  <c r="R12" i="1"/>
  <c r="R11" i="1"/>
  <c r="R10" i="1"/>
  <c r="R9" i="1"/>
  <c r="R8" i="1"/>
  <c r="R7" i="1"/>
  <c r="R6" i="1"/>
  <c r="K23" i="1"/>
  <c r="J23" i="1"/>
  <c r="V61" i="1"/>
  <c r="R101" i="1"/>
  <c r="T70" i="1"/>
  <c r="S33" i="1"/>
  <c r="U81" i="1"/>
  <c r="T81" i="1"/>
  <c r="V83" i="1"/>
  <c r="U83" i="1"/>
  <c r="S100" i="1"/>
  <c r="V100" i="1"/>
  <c r="M100" i="1"/>
  <c r="Q100" i="1"/>
  <c r="S28" i="1"/>
  <c r="S97" i="1"/>
  <c r="T97" i="1"/>
  <c r="N21" i="1"/>
  <c r="U97" i="1"/>
  <c r="T78" i="1"/>
  <c r="U78" i="1"/>
  <c r="V78" i="1"/>
  <c r="F19" i="1"/>
  <c r="U61" i="1"/>
  <c r="V75" i="1"/>
  <c r="V73" i="1"/>
  <c r="U69" i="1"/>
  <c r="W33" i="1"/>
  <c r="V98" i="1"/>
  <c r="S40" i="1"/>
  <c r="M20" i="1"/>
  <c r="M21" i="1"/>
  <c r="V40" i="1"/>
  <c r="V68" i="1"/>
  <c r="U70" i="1"/>
  <c r="V70" i="1"/>
  <c r="S44" i="1"/>
  <c r="S32" i="1"/>
  <c r="W85" i="1"/>
  <c r="U42" i="1"/>
  <c r="S7" i="1"/>
  <c r="S13" i="1" s="1"/>
  <c r="V64" i="1"/>
  <c r="U64" i="1"/>
  <c r="W32" i="1"/>
  <c r="V55" i="1"/>
  <c r="V42" i="1"/>
  <c r="F20" i="1"/>
  <c r="U28" i="1"/>
  <c r="R33" i="1"/>
  <c r="K38" i="1"/>
  <c r="M38" i="1"/>
  <c r="K34" i="1"/>
  <c r="K35" i="1"/>
  <c r="S91" i="1"/>
  <c r="U91" i="1"/>
  <c r="S94" i="1"/>
  <c r="T94" i="1"/>
  <c r="T63" i="1"/>
  <c r="U63" i="1"/>
  <c r="V63" i="1"/>
  <c r="V44" i="1"/>
  <c r="S8" i="1"/>
  <c r="T28" i="1"/>
  <c r="T32" i="1"/>
  <c r="R34" i="1"/>
  <c r="P101" i="1"/>
  <c r="Q85" i="1"/>
  <c r="R85" i="1"/>
  <c r="S6" i="1"/>
  <c r="P42" i="1"/>
  <c r="W42" i="1"/>
  <c r="R42" i="1"/>
  <c r="U32" i="1"/>
  <c r="V91" i="1"/>
  <c r="T100" i="1"/>
  <c r="V53" i="1"/>
  <c r="U43" i="1"/>
  <c r="U65" i="1"/>
  <c r="F21" i="1"/>
  <c r="S75" i="1"/>
  <c r="V43" i="1"/>
  <c r="S89" i="1"/>
  <c r="U89" i="1"/>
  <c r="T45" i="1"/>
  <c r="V45" i="1"/>
  <c r="Q90" i="1"/>
  <c r="S90" i="1"/>
  <c r="T41" i="1"/>
  <c r="V41" i="1"/>
  <c r="U41" i="1"/>
  <c r="T89" i="1"/>
  <c r="V89" i="1"/>
  <c r="U55" i="1"/>
  <c r="T84" i="1"/>
  <c r="S77" i="1"/>
  <c r="U54" i="1"/>
  <c r="G20" i="1"/>
  <c r="S92" i="1"/>
  <c r="Q92" i="1"/>
  <c r="U72" i="1"/>
  <c r="T72" i="1"/>
  <c r="V72" i="1"/>
  <c r="W39" i="1"/>
  <c r="S39" i="1"/>
  <c r="U39" i="1"/>
  <c r="V39" i="1"/>
  <c r="P39" i="1"/>
  <c r="R39" i="1"/>
  <c r="T50" i="1"/>
  <c r="V50" i="1"/>
  <c r="U50" i="1"/>
  <c r="U31" i="1"/>
  <c r="V31" i="1"/>
  <c r="R30" i="1"/>
  <c r="P30" i="1"/>
  <c r="S31" i="1"/>
  <c r="S30" i="1"/>
  <c r="T30" i="1"/>
  <c r="U30" i="1"/>
  <c r="V30" i="1"/>
  <c r="W30" i="1"/>
  <c r="T31" i="1"/>
  <c r="M35" i="1"/>
  <c r="Q35" i="1"/>
  <c r="S35" i="1"/>
  <c r="U33" i="1"/>
  <c r="Q93" i="1"/>
  <c r="S93" i="1"/>
  <c r="S101" i="1"/>
  <c r="T95" i="1"/>
  <c r="V95" i="1"/>
  <c r="U95" i="1"/>
  <c r="S36" i="1"/>
  <c r="W36" i="1"/>
  <c r="R36" i="1"/>
  <c r="P36" i="1"/>
  <c r="U47" i="1"/>
  <c r="T47" i="1"/>
  <c r="V47" i="1"/>
  <c r="V52" i="1"/>
  <c r="U52" i="1"/>
  <c r="T52" i="1"/>
  <c r="P56" i="1"/>
  <c r="V94" i="1"/>
  <c r="U100" i="1"/>
  <c r="U45" i="1"/>
  <c r="T68" i="1"/>
  <c r="T39" i="1"/>
  <c r="Q101" i="1"/>
  <c r="V74" i="1"/>
  <c r="U77" i="1"/>
  <c r="U75" i="1"/>
  <c r="U73" i="1"/>
  <c r="T77" i="1"/>
  <c r="S76" i="1"/>
  <c r="S74" i="1"/>
  <c r="T54" i="1"/>
  <c r="N20" i="1"/>
  <c r="U40" i="1"/>
  <c r="G19" i="1"/>
  <c r="S10" i="1"/>
  <c r="W97" i="1"/>
  <c r="W101" i="1"/>
  <c r="W37" i="1"/>
  <c r="Q37" i="1"/>
  <c r="V36" i="1"/>
  <c r="V33" i="1"/>
  <c r="V82" i="1"/>
  <c r="T82" i="1"/>
  <c r="U82" i="1"/>
  <c r="U38" i="1"/>
  <c r="V38" i="1"/>
  <c r="T38" i="1"/>
  <c r="S38" i="1"/>
  <c r="T67" i="1"/>
  <c r="U67" i="1"/>
  <c r="V67" i="1"/>
  <c r="S85" i="1"/>
  <c r="V92" i="1"/>
  <c r="U92" i="1"/>
  <c r="T92" i="1"/>
  <c r="T40" i="1"/>
  <c r="T44" i="1"/>
  <c r="U35" i="1"/>
  <c r="T35" i="1"/>
  <c r="V35" i="1"/>
  <c r="U94" i="1"/>
  <c r="T91" i="1"/>
  <c r="V65" i="1"/>
  <c r="V54" i="1"/>
  <c r="U53" i="1"/>
  <c r="T55" i="1"/>
  <c r="T53" i="1"/>
  <c r="R54" i="1"/>
  <c r="U84" i="1"/>
  <c r="V97" i="1"/>
  <c r="U85" i="1"/>
  <c r="V28" i="1"/>
  <c r="V32" i="1"/>
  <c r="R56" i="1"/>
  <c r="T8" i="1"/>
  <c r="W56" i="1"/>
  <c r="T13" i="1"/>
  <c r="T33" i="1"/>
  <c r="U36" i="1"/>
  <c r="U90" i="1"/>
  <c r="T90" i="1"/>
  <c r="V90" i="1"/>
  <c r="V93" i="1"/>
  <c r="T93" i="1"/>
  <c r="U93" i="1"/>
  <c r="T36" i="1"/>
  <c r="T85" i="1"/>
  <c r="U44" i="1"/>
  <c r="V85" i="1"/>
  <c r="V101" i="1"/>
  <c r="S37" i="1"/>
  <c r="S56" i="1"/>
  <c r="Q56" i="1"/>
  <c r="T7" i="1" s="1"/>
  <c r="U7" i="1" s="1"/>
  <c r="T37" i="1"/>
  <c r="U37" i="1"/>
  <c r="U56" i="1"/>
  <c r="V37" i="1"/>
  <c r="V56" i="1"/>
  <c r="T101" i="1"/>
  <c r="T56" i="1"/>
  <c r="U101" i="1"/>
  <c r="T11" i="1" l="1"/>
  <c r="T10" i="1"/>
  <c r="T12" i="1"/>
  <c r="T6" i="1"/>
  <c r="U6" i="1" s="1"/>
  <c r="S11" i="1"/>
  <c r="U11" i="1" s="1"/>
  <c r="U13" i="1"/>
  <c r="U10" i="1"/>
  <c r="T9" i="1"/>
  <c r="U9" i="1" s="1"/>
  <c r="S12" i="1"/>
  <c r="U12" i="1" s="1"/>
  <c r="U8" i="1"/>
</calcChain>
</file>

<file path=xl/comments1.xml><?xml version="1.0" encoding="utf-8"?>
<comments xmlns="http://schemas.openxmlformats.org/spreadsheetml/2006/main">
  <authors>
    <author>kmdみやぎ</author>
  </authors>
  <commentList>
    <comment ref="D11" authorId="0">
      <text>
        <r>
          <rPr>
            <sz val="9"/>
            <color indexed="81"/>
            <rFont val="Meiryo UI"/>
            <family val="3"/>
            <charset val="128"/>
          </rPr>
          <t>　このセルをクリックすると右隣に下向きボタンが出ます。計算したい年度を選択願います。
　最下段の表(資源･エネルギー関係項目の経年統計)に空欄があれば､関係項目がゼロとなり利用できません。</t>
        </r>
      </text>
    </comment>
  </commentList>
</comments>
</file>

<file path=xl/sharedStrings.xml><?xml version="1.0" encoding="utf-8"?>
<sst xmlns="http://schemas.openxmlformats.org/spreadsheetml/2006/main" count="530" uniqueCount="330">
  <si>
    <t>紙生産時熱量1kcal</t>
  </si>
  <si>
    <t>紙・ごみ1t焼却</t>
  </si>
  <si>
    <t>都市ガス1kcal消費</t>
  </si>
  <si>
    <t>200ml容器1本当り削減量</t>
  </si>
  <si>
    <t>葉面積1㎡1日当り吸収</t>
  </si>
  <si>
    <t>(本)</t>
  </si>
  <si>
    <t>立木</t>
  </si>
  <si>
    <t>(百万kcal)</t>
  </si>
  <si>
    <t>(t)</t>
  </si>
  <si>
    <t>アクション</t>
  </si>
  <si>
    <t>単位重量等</t>
  </si>
  <si>
    <t>消費･使用量</t>
  </si>
  <si>
    <t>削減量</t>
  </si>
  <si>
    <t>実行割合</t>
  </si>
  <si>
    <t>水</t>
  </si>
  <si>
    <t>ごみ</t>
  </si>
  <si>
    <t>(％世帯)</t>
  </si>
  <si>
    <t>(kl)</t>
  </si>
  <si>
    <t>(tC)</t>
  </si>
  <si>
    <t>古新聞古雑誌焼却量減少</t>
  </si>
  <si>
    <t>古紙70％→100(使用量75kg/年)</t>
  </si>
  <si>
    <t>88.3(枚/戸/年)を1/5に減</t>
  </si>
  <si>
    <t>布おむつ洗濯で洗濯機使用</t>
  </si>
  <si>
    <t>年間456本/世帯､25回再使用</t>
  </si>
  <si>
    <t>200ml容器1本当り1069kcal削減</t>
  </si>
  <si>
    <t>年間1人46.58kg全て堆肥化､焼却不要</t>
  </si>
  <si>
    <t>トレイ包装商品の購入量半減､焼却量半減</t>
  </si>
  <si>
    <t>単位当り</t>
  </si>
  <si>
    <t>白熱灯を全て蛍光灯に替える</t>
  </si>
  <si>
    <t>使用時間を毎日1時間短縮</t>
  </si>
  <si>
    <t>朝晩1時間使用短縮</t>
  </si>
  <si>
    <t>暖房温度1℃下げる</t>
  </si>
  <si>
    <t>冷房温度1℃上げる</t>
  </si>
  <si>
    <t>1日1時間使用時間を短縮</t>
  </si>
  <si>
    <t>乾燥機使用を月3回減らす</t>
  </si>
  <si>
    <t>内容積の1/3まで</t>
  </si>
  <si>
    <t>2度焚きを週2回減らす</t>
  </si>
  <si>
    <t>熱効率(湯沸し0.8､やかん0.45)</t>
  </si>
  <si>
    <t>燃焼効率2.5%向上</t>
  </si>
  <si>
    <t>5cc無駄になる急加速1日1回減らす</t>
  </si>
  <si>
    <t>10cc無駄になる急発進1日1回減らす</t>
  </si>
  <si>
    <t>積載量1kg減1km走行で0.16cc</t>
  </si>
  <si>
    <t>月に自動車40km減(885kcal/km)</t>
  </si>
  <si>
    <t>太陽熱温水器省エネ量1140Mcal/戸/年</t>
  </si>
  <si>
    <t>削減可能量</t>
  </si>
  <si>
    <t>削減効果(%)</t>
  </si>
  <si>
    <t>人口(千人･住民基本台帳9/30)</t>
  </si>
  <si>
    <t>使用電力量合計(百万kwh)</t>
  </si>
  <si>
    <t>一般廃棄物焼却量(t/d)</t>
  </si>
  <si>
    <t>発電量(火力･百万kwh)</t>
  </si>
  <si>
    <t>発電量(水力･百万kwh)</t>
  </si>
  <si>
    <t>発電量(原子力･百万kwh)</t>
  </si>
  <si>
    <t>発電量合計(百万kwh)</t>
  </si>
  <si>
    <t>使用電力量(電灯･百万kwh)</t>
  </si>
  <si>
    <t>使用電力量(電力･百万kwh)</t>
  </si>
  <si>
    <t>使用電力量(大口電力･百万kwh)</t>
  </si>
  <si>
    <t>ガス生産･購入量(百万ｍ3)</t>
  </si>
  <si>
    <t>揮発油販売量(kl)</t>
  </si>
  <si>
    <t>ナフサ販売量</t>
  </si>
  <si>
    <t>ジェット燃料販売量</t>
  </si>
  <si>
    <t>灯油販売量</t>
  </si>
  <si>
    <t>軽油販売量</t>
  </si>
  <si>
    <t>Ａ重油販売量</t>
  </si>
  <si>
    <t>Ｂ重油販売量</t>
  </si>
  <si>
    <t>重油販売量小計</t>
  </si>
  <si>
    <t>電力(kwh)</t>
  </si>
  <si>
    <t>エネルギー</t>
  </si>
  <si>
    <t>牛乳パックを50mlで洗浄(BOD7800x2ml残)</t>
  </si>
  <si>
    <t>牛乳パック焼却量減少</t>
  </si>
  <si>
    <t>パック125本/戸/年､2695kcal/本(生産時)</t>
  </si>
  <si>
    <t>125本/戸/年を全てリサイクル</t>
  </si>
  <si>
    <t>年間170本全てリサイクル</t>
  </si>
  <si>
    <t>年間437本全てリサイクル</t>
  </si>
  <si>
    <t>アルミ缶1ｔ当り削減量</t>
  </si>
  <si>
    <t>アルミ缶1ｔ当り51.5百万kcal削減</t>
  </si>
  <si>
    <t>スチール缶1ｔ当り削減量</t>
  </si>
  <si>
    <t>スチール缶1ｔ当り2.904百万kcal削減</t>
  </si>
  <si>
    <t>集じん袋･フィルターの清掃</t>
  </si>
  <si>
    <t>200ml容器1本洗浄に1リットル</t>
  </si>
  <si>
    <t>2リットル､2回/日､湯沸し+やかん322kcal､やかん400kcal</t>
  </si>
  <si>
    <t>月10分アイドリング減らし200cc削減</t>
  </si>
  <si>
    <t>断熱材と二重サッシで7.9%省エネ</t>
  </si>
  <si>
    <t>ソーラーシステム省エネ量2650Mcal/戸/年</t>
  </si>
  <si>
    <t>ビニール袋使用半分､焼却量も半減</t>
  </si>
  <si>
    <t>ダイレクトメール430通の半分返送･回収</t>
  </si>
  <si>
    <t>ダイレクトメール焼却量減少</t>
  </si>
  <si>
    <t>使用量30％減(1回ティッシュ5g使用)</t>
  </si>
  <si>
    <t>牛乳ビン625本(25回再使用)､512kcal/本(生産時)</t>
  </si>
  <si>
    <t>牛乳ビン100mlで洗浄(BOD7800x1ml残)</t>
  </si>
  <si>
    <t>CO2</t>
  </si>
  <si>
    <t>SOx</t>
  </si>
  <si>
    <t>NOx</t>
  </si>
  <si>
    <t>BOD</t>
  </si>
  <si>
    <t>ガソリン1リットル消費</t>
  </si>
  <si>
    <t>電力1kwh消費</t>
  </si>
  <si>
    <t>電力1kcal消費</t>
  </si>
  <si>
    <t>SOx(t)</t>
  </si>
  <si>
    <t>NOx(t)</t>
  </si>
  <si>
    <t>BOD(t)</t>
  </si>
  <si>
    <t>行動内容</t>
  </si>
  <si>
    <t>計算条件</t>
  </si>
  <si>
    <t>台拭きで代用</t>
  </si>
  <si>
    <t>布おむつで代用</t>
  </si>
  <si>
    <t>タンクにびんを入れ使用量減らす(リットル/回)</t>
  </si>
  <si>
    <t>夏70日間､1分/日使用を短く(リットル/分)</t>
    <rPh sb="21" eb="22">
      <t>フン</t>
    </rPh>
    <phoneticPr fontId="1"/>
  </si>
  <si>
    <t>まとめ洗いし回数を2/3に減らす(リットル/回)</t>
  </si>
  <si>
    <t>残り湯40リットルを洗濯に使用(リットル/回)</t>
  </si>
  <si>
    <t>バケツ汲置き水で水道使用量1/8に(リットル/回)</t>
  </si>
  <si>
    <t>米のとぎ汁を下水道に流さない(リットル/日)</t>
    <rPh sb="20" eb="21">
      <t>ニチ</t>
    </rPh>
    <phoneticPr fontId="1"/>
  </si>
  <si>
    <t>揚物月2回､3.5回再使用､BOD百万mg/l(cc/回)</t>
  </si>
  <si>
    <t>BOD35g/lのみそ汁10ml流さず(g/リットル)</t>
  </si>
  <si>
    <t>皿のBOD1.2g/人を拭取り洗う(g/人)</t>
    <rPh sb="20" eb="21">
      <t>ニン</t>
    </rPh>
    <phoneticPr fontId="1"/>
  </si>
  <si>
    <t>水使用量も3リットル減る(リットル/回)</t>
  </si>
  <si>
    <t>事項＼年度</t>
  </si>
  <si>
    <t>燃料油販売量計(kl)</t>
  </si>
  <si>
    <t>月に鉄道40km利用(101.2kcal/人キロ)</t>
  </si>
  <si>
    <t>kg/個</t>
    <rPh sb="3" eb="4">
      <t>コ</t>
    </rPh>
    <phoneticPr fontId="1"/>
  </si>
  <si>
    <t>kg/回</t>
    <rPh sb="3" eb="4">
      <t>カイ</t>
    </rPh>
    <phoneticPr fontId="1"/>
  </si>
  <si>
    <t>kg/枚</t>
    <rPh sb="3" eb="4">
      <t>マイ</t>
    </rPh>
    <phoneticPr fontId="1"/>
  </si>
  <si>
    <t>リットル/回</t>
  </si>
  <si>
    <t>リットル/回</t>
    <rPh sb="5" eb="6">
      <t>カイ</t>
    </rPh>
    <phoneticPr fontId="1"/>
  </si>
  <si>
    <t>千kcal</t>
    <rPh sb="0" eb="1">
      <t>セン</t>
    </rPh>
    <phoneticPr fontId="1"/>
  </si>
  <si>
    <t>本</t>
    <rPh sb="0" eb="1">
      <t>ホン</t>
    </rPh>
    <phoneticPr fontId="1"/>
  </si>
  <si>
    <t>回/年</t>
    <rPh sb="0" eb="1">
      <t>カイ</t>
    </rPh>
    <rPh sb="2" eb="3">
      <t>ネン</t>
    </rPh>
    <phoneticPr fontId="1"/>
  </si>
  <si>
    <t>kwh/年</t>
    <rPh sb="4" eb="5">
      <t>ネン</t>
    </rPh>
    <phoneticPr fontId="1"/>
  </si>
  <si>
    <t>kw</t>
  </si>
  <si>
    <t>回/日</t>
    <rPh sb="0" eb="1">
      <t>カイ</t>
    </rPh>
    <rPh sb="2" eb="3">
      <t>ニチ</t>
    </rPh>
    <phoneticPr fontId="1"/>
  </si>
  <si>
    <t>cc/回</t>
    <rPh sb="3" eb="4">
      <t>カイ</t>
    </rPh>
    <phoneticPr fontId="1"/>
  </si>
  <si>
    <t>cc/分</t>
    <rPh sb="3" eb="4">
      <t>フン</t>
    </rPh>
    <phoneticPr fontId="1"/>
  </si>
  <si>
    <t>kcal</t>
  </si>
  <si>
    <t>個</t>
    <rPh sb="0" eb="1">
      <t>コ</t>
    </rPh>
    <phoneticPr fontId="1"/>
  </si>
  <si>
    <t>日/年</t>
    <rPh sb="0" eb="1">
      <t>ニチ</t>
    </rPh>
    <rPh sb="2" eb="3">
      <t>ネン</t>
    </rPh>
    <phoneticPr fontId="1"/>
  </si>
  <si>
    <t>時/回</t>
    <rPh sb="0" eb="1">
      <t>ジ</t>
    </rPh>
    <rPh sb="2" eb="3">
      <t>カイ</t>
    </rPh>
    <phoneticPr fontId="1"/>
  </si>
  <si>
    <t>km/月</t>
    <rPh sb="3" eb="4">
      <t>ツキ</t>
    </rPh>
    <phoneticPr fontId="1"/>
  </si>
  <si>
    <t>分/月</t>
    <rPh sb="0" eb="1">
      <t>フン</t>
    </rPh>
    <rPh sb="2" eb="3">
      <t>ツキ</t>
    </rPh>
    <phoneticPr fontId="1"/>
  </si>
  <si>
    <t>cm2</t>
  </si>
  <si>
    <t>リットル/分</t>
    <rPh sb="5" eb="6">
      <t>フン</t>
    </rPh>
    <phoneticPr fontId="1"/>
  </si>
  <si>
    <t>リットル/日</t>
    <rPh sb="5" eb="6">
      <t>ニチ</t>
    </rPh>
    <phoneticPr fontId="1"/>
  </si>
  <si>
    <t>g/日</t>
    <rPh sb="2" eb="3">
      <t>ニチ</t>
    </rPh>
    <phoneticPr fontId="1"/>
  </si>
  <si>
    <t>g/人</t>
    <rPh sb="2" eb="3">
      <t>ニン</t>
    </rPh>
    <phoneticPr fontId="1"/>
  </si>
  <si>
    <t>g/年</t>
    <rPh sb="2" eb="3">
      <t>ネン</t>
    </rPh>
    <phoneticPr fontId="1"/>
  </si>
  <si>
    <t>cc/日</t>
    <rPh sb="3" eb="4">
      <t>ニチ</t>
    </rPh>
    <phoneticPr fontId="1"/>
  </si>
  <si>
    <t>kg</t>
    <phoneticPr fontId="1"/>
  </si>
  <si>
    <t>kcal</t>
    <phoneticPr fontId="1"/>
  </si>
  <si>
    <t>cc/回</t>
    <phoneticPr fontId="1"/>
  </si>
  <si>
    <t>g/リットル</t>
    <phoneticPr fontId="1"/>
  </si>
  <si>
    <t>mg/l</t>
    <phoneticPr fontId="1"/>
  </si>
  <si>
    <t>kw</t>
    <phoneticPr fontId="1"/>
  </si>
  <si>
    <t>wh/リットル</t>
    <phoneticPr fontId="1"/>
  </si>
  <si>
    <t>g</t>
    <phoneticPr fontId="1"/>
  </si>
  <si>
    <t>mg/リットル</t>
    <phoneticPr fontId="1"/>
  </si>
  <si>
    <t>葉面積500cm2の鉢植え5個置く</t>
  </si>
  <si>
    <t>上水1m3製造</t>
  </si>
  <si>
    <t>下水1m3処理</t>
  </si>
  <si>
    <t>葉面積1000cm2の苗3本植える</t>
  </si>
  <si>
    <t>音消し1日1回減､下水も同量(リットル/回)</t>
    <rPh sb="18" eb="19">
      <t>カイ</t>
    </rPh>
    <phoneticPr fontId="1"/>
  </si>
  <si>
    <t>網で台所排水BODの30%カット(g/日)</t>
    <rPh sb="15" eb="16">
      <t>ニチ</t>
    </rPh>
    <phoneticPr fontId="1"/>
  </si>
  <si>
    <t>CO2(tC)</t>
    <phoneticPr fontId="1"/>
  </si>
  <si>
    <t>新聞雑誌リサイクル</t>
    <phoneticPr fontId="1"/>
  </si>
  <si>
    <t>ダイレクトメール拒否リサイクル</t>
    <phoneticPr fontId="1"/>
  </si>
  <si>
    <t>再生トイレットペーパー</t>
    <phoneticPr fontId="1"/>
  </si>
  <si>
    <t>ティシュ使用減30%</t>
    <phoneticPr fontId="1"/>
  </si>
  <si>
    <t>紙おむつ使用減</t>
    <phoneticPr fontId="1"/>
  </si>
  <si>
    <t>牛乳パックリサイクル</t>
    <phoneticPr fontId="1"/>
  </si>
  <si>
    <t>ビン入り牛乳購入</t>
    <phoneticPr fontId="1"/>
  </si>
  <si>
    <t>ビン類のリサイクル</t>
    <phoneticPr fontId="1"/>
  </si>
  <si>
    <t>アルミ缶リサイクル</t>
    <phoneticPr fontId="1"/>
  </si>
  <si>
    <t>スチール缶リサイクル</t>
    <phoneticPr fontId="1"/>
  </si>
  <si>
    <t>生ごみコンポスト化</t>
    <phoneticPr fontId="1"/>
  </si>
  <si>
    <t>買物袋持参</t>
    <phoneticPr fontId="1"/>
  </si>
  <si>
    <t>トレイ商品未使用</t>
    <phoneticPr fontId="1"/>
  </si>
  <si>
    <t>蛍光灯使用</t>
    <phoneticPr fontId="1"/>
  </si>
  <si>
    <t>テレビ使用節減</t>
    <phoneticPr fontId="1"/>
  </si>
  <si>
    <t>掃除器の手入れ</t>
    <phoneticPr fontId="1"/>
  </si>
  <si>
    <t>エアコン使用節減</t>
    <phoneticPr fontId="1"/>
  </si>
  <si>
    <t>暖房温度適正化</t>
    <phoneticPr fontId="1"/>
  </si>
  <si>
    <t>冷房温度適正化</t>
    <phoneticPr fontId="1"/>
  </si>
  <si>
    <t>照明使用節減</t>
    <phoneticPr fontId="1"/>
  </si>
  <si>
    <t>乾燥機使用節減</t>
    <phoneticPr fontId="1"/>
  </si>
  <si>
    <t>冷蔵庫適正管理</t>
    <phoneticPr fontId="1"/>
  </si>
  <si>
    <t>二度焚き節減</t>
    <rPh sb="0" eb="1">
      <t>ニ</t>
    </rPh>
    <phoneticPr fontId="1"/>
  </si>
  <si>
    <t>湯沸し+やかん</t>
    <phoneticPr fontId="1"/>
  </si>
  <si>
    <t>ガスバーナ掃除</t>
    <phoneticPr fontId="1"/>
  </si>
  <si>
    <t>急加速を減らす</t>
    <phoneticPr fontId="1"/>
  </si>
  <si>
    <t>急発進を減らす</t>
    <phoneticPr fontId="1"/>
  </si>
  <si>
    <t>積載量適正化</t>
    <phoneticPr fontId="1"/>
  </si>
  <si>
    <t>無計画運転削減</t>
    <phoneticPr fontId="1"/>
  </si>
  <si>
    <t>アイドリング削減</t>
    <phoneticPr fontId="1"/>
  </si>
  <si>
    <t>公共輸送機関利用</t>
    <phoneticPr fontId="1"/>
  </si>
  <si>
    <t>ベランダ緑化</t>
    <phoneticPr fontId="1"/>
  </si>
  <si>
    <t>庭の緑化</t>
    <phoneticPr fontId="1"/>
  </si>
  <si>
    <t>断熱材使用</t>
    <phoneticPr fontId="1"/>
  </si>
  <si>
    <t>太陽熱給湯導入</t>
    <phoneticPr fontId="1"/>
  </si>
  <si>
    <t>トイレ音消し回数削減</t>
    <phoneticPr fontId="1"/>
  </si>
  <si>
    <t>トイレ水量節減</t>
    <phoneticPr fontId="1"/>
  </si>
  <si>
    <t>シャワー使用節減</t>
    <phoneticPr fontId="1"/>
  </si>
  <si>
    <t>洗濯まとめ洗い</t>
    <phoneticPr fontId="1"/>
  </si>
  <si>
    <t>風呂水洗濯利用</t>
    <phoneticPr fontId="1"/>
  </si>
  <si>
    <t>洗車でバケツ使用</t>
    <phoneticPr fontId="1"/>
  </si>
  <si>
    <t>とぎ汁流さず</t>
    <phoneticPr fontId="1"/>
  </si>
  <si>
    <t>ろ紙設置</t>
    <phoneticPr fontId="1"/>
  </si>
  <si>
    <t>油を流さない</t>
    <phoneticPr fontId="1"/>
  </si>
  <si>
    <t>みそ汁流さず</t>
    <phoneticPr fontId="1"/>
  </si>
  <si>
    <t>油料理皿拭取り</t>
    <phoneticPr fontId="1"/>
  </si>
  <si>
    <t>月10分運転時間減らし500cc削減</t>
    <phoneticPr fontId="1"/>
  </si>
  <si>
    <t>資源･エネルギー関係項目の経年統計</t>
    <rPh sb="0" eb="2">
      <t>シゲン</t>
    </rPh>
    <rPh sb="8" eb="10">
      <t>カンケイ</t>
    </rPh>
    <rPh sb="10" eb="12">
      <t>コウモク</t>
    </rPh>
    <rPh sb="13" eb="15">
      <t>ケイネン</t>
    </rPh>
    <rPh sb="15" eb="17">
      <t>トウケイ</t>
    </rPh>
    <phoneticPr fontId="1"/>
  </si>
  <si>
    <t>立木</t>
    <phoneticPr fontId="1"/>
  </si>
  <si>
    <t>(本/年)</t>
    <phoneticPr fontId="1"/>
  </si>
  <si>
    <t>水消費量</t>
    <phoneticPr fontId="1"/>
  </si>
  <si>
    <t>(ｍ3/年)</t>
    <phoneticPr fontId="1"/>
  </si>
  <si>
    <t>一般廃棄物排出量</t>
    <phoneticPr fontId="1"/>
  </si>
  <si>
    <t>(t/年)</t>
    <phoneticPr fontId="1"/>
  </si>
  <si>
    <t>エネルギー消費量</t>
    <phoneticPr fontId="1"/>
  </si>
  <si>
    <t>CO2排出量</t>
    <phoneticPr fontId="1"/>
  </si>
  <si>
    <t>(tC/年)</t>
    <phoneticPr fontId="1"/>
  </si>
  <si>
    <t>SOx排出量</t>
    <phoneticPr fontId="1"/>
  </si>
  <si>
    <t>NOx排出量</t>
    <phoneticPr fontId="1"/>
  </si>
  <si>
    <t>BOD排出量</t>
    <phoneticPr fontId="1"/>
  </si>
  <si>
    <t>(百万kcal/年)</t>
    <phoneticPr fontId="1"/>
  </si>
  <si>
    <t>H01</t>
    <phoneticPr fontId="1"/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</si>
  <si>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</si>
  <si>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</si>
  <si>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</si>
  <si>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</si>
  <si>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</si>
  <si>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</si>
  <si>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</si>
  <si>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</si>
  <si>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</si>
  <si>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</si>
  <si>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</si>
  <si>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</si>
  <si>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</si>
  <si>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</si>
  <si>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</si>
  <si>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</si>
  <si>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</si>
  <si>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</si>
  <si>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</si>
  <si>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</si>
  <si>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</si>
  <si>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</si>
  <si>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</si>
  <si>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</si>
  <si>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r>
      <t>年間給水量</t>
    </r>
    <r>
      <rPr>
        <sz val="7.5"/>
        <rFont val="Meiryo UI"/>
        <family val="3"/>
        <charset val="128"/>
      </rPr>
      <t>(上水道+簡易水道･千m3)</t>
    </r>
    <phoneticPr fontId="1"/>
  </si>
  <si>
    <t>←環や暮手3-2.xlsの377行から404行を参照</t>
    <rPh sb="1" eb="2">
      <t>カン</t>
    </rPh>
    <rPh sb="3" eb="4">
      <t>ク</t>
    </rPh>
    <rPh sb="4" eb="5">
      <t>テ</t>
    </rPh>
    <rPh sb="16" eb="17">
      <t>ギョウ</t>
    </rPh>
    <rPh sb="22" eb="23">
      <t>ギョウ</t>
    </rPh>
    <rPh sb="24" eb="26">
      <t>サンショウ</t>
    </rPh>
    <phoneticPr fontId="1"/>
  </si>
  <si>
    <t>消費･使用量</t>
    <phoneticPr fontId="1"/>
  </si>
  <si>
    <t>削減量</t>
    <phoneticPr fontId="1"/>
  </si>
  <si>
    <t>(tC)</t>
    <phoneticPr fontId="1"/>
  </si>
  <si>
    <t>古紙1t利用による削減量</t>
    <rPh sb="4" eb="6">
      <t>リヨウ</t>
    </rPh>
    <phoneticPr fontId="1"/>
  </si>
  <si>
    <t>生活排水1tのBOD負荷</t>
    <rPh sb="10" eb="12">
      <t>フカ</t>
    </rPh>
    <phoneticPr fontId="1"/>
  </si>
  <si>
    <r>
      <t>立木</t>
    </r>
    <r>
      <rPr>
        <sz val="8"/>
        <rFont val="Meiryo UI"/>
        <family val="3"/>
        <charset val="128"/>
      </rPr>
      <t>(下径17上径10cm高8ｍ､本)</t>
    </r>
    <phoneticPr fontId="1"/>
  </si>
  <si>
    <t>kg/通</t>
    <rPh sb="3" eb="4">
      <t>ツウ</t>
    </rPh>
    <phoneticPr fontId="1"/>
  </si>
  <si>
    <t>県全体の年間の削減効果(実行割合で補正)</t>
    <rPh sb="0" eb="3">
      <t>ケンゼンタイ</t>
    </rPh>
    <rPh sb="4" eb="6">
      <t>ネンカン</t>
    </rPh>
    <rPh sb="7" eb="9">
      <t>サクゲン</t>
    </rPh>
    <rPh sb="9" eb="11">
      <t>コウカ</t>
    </rPh>
    <rPh sb="12" eb="14">
      <t>ジッコウ</t>
    </rPh>
    <rPh sb="14" eb="16">
      <t>ワリアイ</t>
    </rPh>
    <rPh sb="17" eb="19">
      <t>ホセイ</t>
    </rPh>
    <phoneticPr fontId="1"/>
  </si>
  <si>
    <t>食用油1m3のBOD負荷</t>
    <rPh sb="0" eb="2">
      <t>ショクヨウ</t>
    </rPh>
    <rPh sb="2" eb="3">
      <t>アブラ</t>
    </rPh>
    <rPh sb="10" eb="12">
      <t>フカ</t>
    </rPh>
    <phoneticPr fontId="1"/>
  </si>
  <si>
    <t>みそ汁1m3のBOD負荷</t>
    <rPh sb="2" eb="3">
      <t>シル</t>
    </rPh>
    <rPh sb="10" eb="12">
      <t>フカ</t>
    </rPh>
    <phoneticPr fontId="1"/>
  </si>
  <si>
    <t>世帯(住民基本台帳9/30)</t>
    <rPh sb="0" eb="2">
      <t>セタイ</t>
    </rPh>
    <phoneticPr fontId="1"/>
  </si>
  <si>
    <t>古紙利用せず紙1t生産で消費又は排出</t>
    <rPh sb="0" eb="2">
      <t>コシ</t>
    </rPh>
    <rPh sb="2" eb="4">
      <t>リヨウ</t>
    </rPh>
    <rPh sb="9" eb="11">
      <t>セイサン</t>
    </rPh>
    <rPh sb="12" eb="14">
      <t>ショウヒ</t>
    </rPh>
    <rPh sb="14" eb="15">
      <t>マタ</t>
    </rPh>
    <rPh sb="16" eb="18">
      <t>ハイシュツ</t>
    </rPh>
    <phoneticPr fontId="1"/>
  </si>
  <si>
    <t>年度</t>
    <rPh sb="0" eb="2">
      <t>ネンド</t>
    </rPh>
    <phoneticPr fontId="1"/>
  </si>
  <si>
    <t>世帯</t>
    <rPh sb="0" eb="2">
      <t>セタイ</t>
    </rPh>
    <phoneticPr fontId="1"/>
  </si>
  <si>
    <t>人口</t>
    <rPh sb="0" eb="2">
      <t>ジンコウ</t>
    </rPh>
    <phoneticPr fontId="1"/>
  </si>
  <si>
    <t>資源･エネルギー･大気･水環境への削減効果計算表</t>
    <rPh sb="17" eb="19">
      <t>サクゲン</t>
    </rPh>
    <phoneticPr fontId="1"/>
  </si>
  <si>
    <t>環境負荷の原単位表</t>
    <rPh sb="8" eb="9">
      <t>ヒョウ</t>
    </rPh>
    <phoneticPr fontId="1"/>
  </si>
  <si>
    <t>｢水を大切にする｣配慮行動の実行による削減効果</t>
    <phoneticPr fontId="1"/>
  </si>
  <si>
    <t>｢資源を大切にする｣配慮行動の実行による削減効果</t>
    <phoneticPr fontId="1"/>
  </si>
  <si>
    <t>｢エネルギーを大切にする｣配慮行動の実行による削減効果</t>
    <phoneticPr fontId="1"/>
  </si>
  <si>
    <t>　 ３つの配慮行動～｢資源を大切にする｣･｢エネルギーを大切にする｣</t>
    <rPh sb="5" eb="7">
      <t>ハイリョ</t>
    </rPh>
    <rPh sb="7" eb="9">
      <t>コウドウ</t>
    </rPh>
    <rPh sb="11" eb="13">
      <t>シゲン</t>
    </rPh>
    <rPh sb="14" eb="16">
      <t>タイセツ</t>
    </rPh>
    <phoneticPr fontId="1"/>
  </si>
  <si>
    <t xml:space="preserve"> 　</t>
    <phoneticPr fontId="1"/>
  </si>
  <si>
    <t>配慮なし</t>
    <rPh sb="0" eb="2">
      <t>ハイリョ</t>
    </rPh>
    <phoneticPr fontId="1"/>
  </si>
  <si>
    <t>↓年度のリストから選択する。各年度9月末の世帯数と人口が表示され､</t>
    <rPh sb="1" eb="3">
      <t>ネンド</t>
    </rPh>
    <rPh sb="9" eb="11">
      <t>センタク</t>
    </rPh>
    <rPh sb="14" eb="17">
      <t>カクネンド</t>
    </rPh>
    <rPh sb="18" eb="20">
      <t>ガツマツ</t>
    </rPh>
    <rPh sb="21" eb="24">
      <t>セタイスウ</t>
    </rPh>
    <rPh sb="25" eb="27">
      <t>ジンコウ</t>
    </rPh>
    <rPh sb="28" eb="30">
      <t>ヒョウジ</t>
    </rPh>
    <phoneticPr fontId="1"/>
  </si>
  <si>
    <t>　 自動表示される。各アクション別の効果は下の各表を参照。</t>
    <phoneticPr fontId="1"/>
  </si>
  <si>
    <t>(環境配慮行動の実行による宮城県全体・年間での削減効果)</t>
    <rPh sb="1" eb="3">
      <t>カンキョウ</t>
    </rPh>
    <phoneticPr fontId="1"/>
  </si>
  <si>
    <t>　　　(平成8年ころ､宮城県保健環境部が発行した小冊子｢環境にやさしい暮らしの手引き｣中､ステップ2･ｱｸｼｮﾝ１～46を３表に集約したもの)</t>
    <rPh sb="28" eb="30">
      <t>カンキョウ</t>
    </rPh>
    <rPh sb="35" eb="36">
      <t>ク</t>
    </rPh>
    <rPh sb="39" eb="41">
      <t>テビ</t>
    </rPh>
    <rPh sb="43" eb="44">
      <t>チュウ</t>
    </rPh>
    <rPh sb="62" eb="63">
      <t>ヒョウ</t>
    </rPh>
    <rPh sb="64" eb="66">
      <t>シュウヤク</t>
    </rPh>
    <phoneticPr fontId="1"/>
  </si>
  <si>
    <t>　 各年度 "配慮なし"の欄は実行割合0％の場合｡</t>
    <phoneticPr fontId="1"/>
  </si>
  <si>
    <t>(注)実行割合欄の”％人”は世帯割合でなく人口割合</t>
    <rPh sb="1" eb="2">
      <t>チュウ</t>
    </rPh>
    <rPh sb="3" eb="5">
      <t>ジッコウ</t>
    </rPh>
    <rPh sb="5" eb="7">
      <t>ワリアイ</t>
    </rPh>
    <rPh sb="7" eb="8">
      <t>ラン</t>
    </rPh>
    <rPh sb="11" eb="12">
      <t>ニン</t>
    </rPh>
    <rPh sb="14" eb="16">
      <t>セタイ</t>
    </rPh>
    <rPh sb="16" eb="18">
      <t>ワリアイ</t>
    </rPh>
    <rPh sb="21" eb="23">
      <t>ジンコウ</t>
    </rPh>
    <rPh sb="23" eb="25">
      <t>ワリアイ</t>
    </rPh>
    <phoneticPr fontId="1"/>
  </si>
  <si>
    <t>(/戸/年)</t>
    <phoneticPr fontId="1"/>
  </si>
  <si>
    <t>kg/戸/年</t>
  </si>
  <si>
    <t>kg/戸/年</t>
    <phoneticPr fontId="1"/>
  </si>
  <si>
    <t>25gの台拭き680回洗濯(1000回使用可)</t>
    <phoneticPr fontId="1"/>
  </si>
  <si>
    <t>kl/戸/年</t>
    <rPh sb="3" eb="4">
      <t>ト</t>
    </rPh>
    <rPh sb="5" eb="6">
      <t>ネン</t>
    </rPh>
    <phoneticPr fontId="1"/>
  </si>
  <si>
    <t>本/戸/年</t>
    <rPh sb="0" eb="1">
      <t>ホン</t>
    </rPh>
    <phoneticPr fontId="1"/>
  </si>
  <si>
    <t>kg/戸/年</t>
    <phoneticPr fontId="1"/>
  </si>
  <si>
    <t>kcal/戸/年</t>
    <phoneticPr fontId="1"/>
  </si>
  <si>
    <t>kg/人/年</t>
    <rPh sb="3" eb="4">
      <t>ニン</t>
    </rPh>
    <phoneticPr fontId="1"/>
  </si>
  <si>
    <t>台拭の洗濯で上下水道使用量増加</t>
    <phoneticPr fontId="1"/>
  </si>
  <si>
    <t>布おむつ洗濯で上下水道使用増加</t>
    <phoneticPr fontId="1"/>
  </si>
  <si>
    <t>古新聞古雑誌(40kg/月)半分回収</t>
    <phoneticPr fontId="1"/>
  </si>
  <si>
    <t>[1年間1世帯当たり] と [1年間県全体の値]</t>
    <phoneticPr fontId="1"/>
  </si>
  <si>
    <t>(注)オリジナル(小冊子) "配慮なし"の欄の根拠不明､</t>
    <rPh sb="1" eb="2">
      <t>チュウ</t>
    </rPh>
    <rPh sb="9" eb="12">
      <t>ショウサッシ</t>
    </rPh>
    <rPh sb="15" eb="17">
      <t>ハイリョ</t>
    </rPh>
    <rPh sb="21" eb="22">
      <t>ラン</t>
    </rPh>
    <rPh sb="23" eb="25">
      <t>コンキョ</t>
    </rPh>
    <rPh sb="25" eb="27">
      <t>フメイ</t>
    </rPh>
    <phoneticPr fontId="1"/>
  </si>
  <si>
    <t>水道統計の年間給水量</t>
    <rPh sb="0" eb="2">
      <t>スイドウ</t>
    </rPh>
    <rPh sb="2" eb="4">
      <t>トウケイ</t>
    </rPh>
    <rPh sb="5" eb="7">
      <t>ネンカン</t>
    </rPh>
    <rPh sb="7" eb="9">
      <t>キュウスイ</t>
    </rPh>
    <rPh sb="9" eb="10">
      <t>リョウ</t>
    </rPh>
    <phoneticPr fontId="1"/>
  </si>
  <si>
    <t>ダミー値</t>
    <rPh sb="3" eb="4">
      <t>チ</t>
    </rPh>
    <phoneticPr fontId="1"/>
  </si>
  <si>
    <t>原単位表から積上げ</t>
    <rPh sb="0" eb="3">
      <t>ゲンタンイ</t>
    </rPh>
    <rPh sb="3" eb="4">
      <t>ヒョウ</t>
    </rPh>
    <rPh sb="6" eb="8">
      <t>ツミア</t>
    </rPh>
    <phoneticPr fontId="1"/>
  </si>
  <si>
    <t>原単位表から積上げ､総合調査では</t>
    <rPh sb="0" eb="3">
      <t>ゲンタンイ</t>
    </rPh>
    <rPh sb="3" eb="4">
      <t>ヒョウ</t>
    </rPh>
    <rPh sb="6" eb="8">
      <t>ツミア</t>
    </rPh>
    <rPh sb="10" eb="12">
      <t>ソウゴウ</t>
    </rPh>
    <rPh sb="12" eb="14">
      <t>チョウサ</t>
    </rPh>
    <phoneticPr fontId="1"/>
  </si>
  <si>
    <t>(注) 検算(H01)の欄は､オリジナル(小冊子) のH01年度の数値とこの計算表で算出される数値の対比用｡</t>
    <rPh sb="1" eb="2">
      <t>チュウ</t>
    </rPh>
    <rPh sb="4" eb="6">
      <t>ケンザン</t>
    </rPh>
    <rPh sb="12" eb="13">
      <t>ラン</t>
    </rPh>
    <rPh sb="21" eb="24">
      <t>ショウサッシ</t>
    </rPh>
    <rPh sb="30" eb="32">
      <t>ネンド</t>
    </rPh>
    <rPh sb="33" eb="35">
      <t>スウチ</t>
    </rPh>
    <rPh sb="38" eb="40">
      <t>ケイサン</t>
    </rPh>
    <rPh sb="40" eb="41">
      <t>ヒョウ</t>
    </rPh>
    <rPh sb="42" eb="44">
      <t>サンシュツ</t>
    </rPh>
    <rPh sb="47" eb="49">
      <t>スウチ</t>
    </rPh>
    <rPh sb="50" eb="52">
      <t>タイヒ</t>
    </rPh>
    <rPh sb="52" eb="53">
      <t>ヨウ</t>
    </rPh>
    <phoneticPr fontId="1"/>
  </si>
  <si>
    <t>(注) 大気汚染物質排出量総合調査は移動発生源を含まないので参考値｡</t>
    <phoneticPr fontId="1"/>
  </si>
  <si>
    <t>　 ･｢水を大切にする｣～による県全体の削減可能量と削減効果が右の表に</t>
    <rPh sb="16" eb="19">
      <t>ケンゼンタイ</t>
    </rPh>
    <rPh sb="31" eb="32">
      <t>ミギ</t>
    </rPh>
    <rPh sb="33" eb="34">
      <t>ヒョウ</t>
    </rPh>
    <phoneticPr fontId="1"/>
  </si>
  <si>
    <t>(kwh/戸/年)</t>
    <phoneticPr fontId="1"/>
  </si>
  <si>
    <t>kg/戸/年</t>
    <rPh sb="3" eb="4">
      <t>ト</t>
    </rPh>
    <rPh sb="5" eb="6">
      <t>ネン</t>
    </rPh>
    <phoneticPr fontId="1"/>
  </si>
  <si>
    <t>kwh/戸/年</t>
    <phoneticPr fontId="1"/>
  </si>
  <si>
    <t>kl/戸/年</t>
    <phoneticPr fontId="1"/>
  </si>
  <si>
    <t>l/戸/年</t>
    <phoneticPr fontId="1"/>
  </si>
  <si>
    <t>m2/戸/日</t>
    <rPh sb="3" eb="4">
      <t>ト</t>
    </rPh>
    <rPh sb="5" eb="6">
      <t>ニチ</t>
    </rPh>
    <phoneticPr fontId="1"/>
  </si>
  <si>
    <t>(/回/年など)</t>
    <rPh sb="2" eb="3">
      <t>カイ</t>
    </rPh>
    <phoneticPr fontId="1"/>
  </si>
  <si>
    <t>(/人/年または/戸/年)</t>
    <rPh sb="2" eb="3">
      <t>ニン</t>
    </rPh>
    <phoneticPr fontId="1"/>
  </si>
  <si>
    <t>kl/人/年</t>
    <rPh sb="3" eb="4">
      <t>ニン</t>
    </rPh>
    <phoneticPr fontId="1"/>
  </si>
  <si>
    <t>kg/人/年</t>
    <rPh sb="3" eb="4">
      <t>ニン</t>
    </rPh>
    <rPh sb="5" eb="6">
      <t>ネン</t>
    </rPh>
    <phoneticPr fontId="1"/>
  </si>
  <si>
    <t>千kcal/戸/年</t>
    <phoneticPr fontId="1"/>
  </si>
  <si>
    <t>千kcal/戸/年</t>
    <rPh sb="0" eb="1">
      <t>セン</t>
    </rPh>
    <phoneticPr fontId="1"/>
  </si>
  <si>
    <t>千kcal/戸/年</t>
    <phoneticPr fontId="1"/>
  </si>
  <si>
    <r>
      <t>エネルギー</t>
    </r>
    <r>
      <rPr>
        <sz val="8"/>
        <rFont val="Meiryo UI"/>
        <family val="3"/>
        <charset val="128"/>
      </rPr>
      <t>(百万kcal)</t>
    </r>
    <rPh sb="6" eb="8">
      <t>ヒャクマン</t>
    </rPh>
    <phoneticPr fontId="1"/>
  </si>
  <si>
    <t>下水道処理人口普及率</t>
    <phoneticPr fontId="1"/>
  </si>
  <si>
    <t>ごみ総排出量(t/年)</t>
    <rPh sb="9" eb="10">
      <t>ネン</t>
    </rPh>
    <phoneticPr fontId="1"/>
  </si>
  <si>
    <t>ごみ総排出量(t/日)</t>
    <rPh sb="9" eb="10">
      <t>ニチ</t>
    </rPh>
    <phoneticPr fontId="1"/>
  </si>
  <si>
    <t>廃棄物処理事業実態調査の総排出量</t>
    <rPh sb="0" eb="3">
      <t>ハイキブツ</t>
    </rPh>
    <rPh sb="3" eb="5">
      <t>ショリ</t>
    </rPh>
    <rPh sb="5" eb="7">
      <t>ジギョウ</t>
    </rPh>
    <rPh sb="7" eb="9">
      <t>ジッタイ</t>
    </rPh>
    <rPh sb="9" eb="11">
      <t>チョウサ</t>
    </rPh>
    <rPh sb="12" eb="13">
      <t>ソウ</t>
    </rPh>
    <rPh sb="13" eb="15">
      <t>ハイシュツ</t>
    </rPh>
    <rPh sb="15" eb="16">
      <t>リョウ</t>
    </rPh>
    <phoneticPr fontId="1"/>
  </si>
  <si>
    <t>｢大気保全統計経年.xls｣､｢水質保全統計経年.xls｣､｢ごみ処理市町村別経年.xls｣､｢下水道普及率処理率各市町経年.xls｣を参照</t>
    <rPh sb="1" eb="3">
      <t>タイキ</t>
    </rPh>
    <rPh sb="3" eb="5">
      <t>ホゼン</t>
    </rPh>
    <rPh sb="5" eb="7">
      <t>トウケイ</t>
    </rPh>
    <rPh sb="7" eb="9">
      <t>ケイネン</t>
    </rPh>
    <rPh sb="16" eb="18">
      <t>スイシツ</t>
    </rPh>
    <rPh sb="33" eb="35">
      <t>ショリ</t>
    </rPh>
    <rPh sb="35" eb="38">
      <t>シチョウソン</t>
    </rPh>
    <rPh sb="38" eb="39">
      <t>ベツ</t>
    </rPh>
    <rPh sb="48" eb="51">
      <t>ゲスイドウ</t>
    </rPh>
    <rPh sb="51" eb="53">
      <t>フキュウ</t>
    </rPh>
    <rPh sb="53" eb="54">
      <t>リツ</t>
    </rPh>
    <rPh sb="54" eb="56">
      <t>ショリ</t>
    </rPh>
    <rPh sb="56" eb="57">
      <t>リツ</t>
    </rPh>
    <rPh sb="57" eb="60">
      <t>カクシチョウ</t>
    </rPh>
    <rPh sb="68" eb="70">
      <t>サンショウ</t>
    </rPh>
    <phoneticPr fontId="1"/>
  </si>
  <si>
    <t>｢配慮なし｣の推定法</t>
    <rPh sb="1" eb="3">
      <t>ハイリョ</t>
    </rPh>
    <rPh sb="7" eb="10">
      <t>スイテイホウ</t>
    </rPh>
    <phoneticPr fontId="1"/>
  </si>
  <si>
    <t>原単位ｘ下水道未普及率</t>
    <rPh sb="0" eb="3">
      <t>ゲンタンイ</t>
    </rPh>
    <rPh sb="4" eb="7">
      <t>ゲスイドウ</t>
    </rPh>
    <rPh sb="7" eb="8">
      <t>ミ</t>
    </rPh>
    <rPh sb="8" eb="10">
      <t>フキュウ</t>
    </rPh>
    <rPh sb="10" eb="11">
      <t>リツ</t>
    </rPh>
    <phoneticPr fontId="1"/>
  </si>
  <si>
    <t>H26</t>
  </si>
  <si>
    <t>H27</t>
  </si>
  <si>
    <t>H28</t>
  </si>
  <si>
    <t>：統計値未採録のため当面､前年同値･按分･線形回帰など合理的な推定を行った</t>
  </si>
  <si>
    <t>SOx (t/年 大気汚染物質排出量総合調査)</t>
    <rPh sb="7" eb="8">
      <t>ネン</t>
    </rPh>
    <rPh sb="9" eb="11">
      <t>タイキ</t>
    </rPh>
    <rPh sb="11" eb="13">
      <t>オセン</t>
    </rPh>
    <rPh sb="13" eb="15">
      <t>ブッシツ</t>
    </rPh>
    <rPh sb="15" eb="17">
      <t>ハイシュツ</t>
    </rPh>
    <rPh sb="17" eb="18">
      <t>リョウ</t>
    </rPh>
    <rPh sb="18" eb="20">
      <t>ソウゴウ</t>
    </rPh>
    <rPh sb="20" eb="22">
      <t>チョウサ</t>
    </rPh>
    <phoneticPr fontId="4"/>
  </si>
  <si>
    <t>NOx (t/年 大気汚染物質排出量総合調査)</t>
    <rPh sb="7" eb="8">
      <t>ネン</t>
    </rPh>
    <rPh sb="9" eb="11">
      <t>タイキ</t>
    </rPh>
    <rPh sb="11" eb="13">
      <t>オセン</t>
    </rPh>
    <rPh sb="13" eb="15">
      <t>ブッシツ</t>
    </rPh>
    <rPh sb="15" eb="17">
      <t>ハイシュツ</t>
    </rPh>
    <rPh sb="17" eb="18">
      <t>リョウ</t>
    </rPh>
    <rPh sb="18" eb="20">
      <t>ソウゴウ</t>
    </rPh>
    <rPh sb="20" eb="22">
      <t>チョウサ</t>
    </rPh>
    <phoneticPr fontId="4"/>
  </si>
  <si>
    <t>ばいじん (t/年 大気汚染物質排出量総合調査)</t>
    <rPh sb="8" eb="9">
      <t>ネン</t>
    </rPh>
    <rPh sb="10" eb="12">
      <t>タイキ</t>
    </rPh>
    <rPh sb="12" eb="14">
      <t>オセン</t>
    </rPh>
    <rPh sb="14" eb="16">
      <t>ブッシツ</t>
    </rPh>
    <rPh sb="16" eb="18">
      <t>ハイシュツ</t>
    </rPh>
    <rPh sb="18" eb="19">
      <t>リョウ</t>
    </rPh>
    <rPh sb="19" eb="21">
      <t>ソウゴウ</t>
    </rPh>
    <rPh sb="21" eb="23">
      <t>チョウサ</t>
    </rPh>
    <phoneticPr fontId="4"/>
  </si>
  <si>
    <t>Ｃ→　B･C重油販売量</t>
    <phoneticPr fontId="1"/>
  </si>
  <si>
    <t>H29</t>
  </si>
  <si>
    <t>H30</t>
  </si>
  <si>
    <t>-</t>
  </si>
  <si>
    <t xml:space="preserve">     オリジナル(H01)</t>
    <phoneticPr fontId="1"/>
  </si>
  <si>
    <t xml:space="preserve">     検算(H01)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</si>
</sst>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176" formatCode="0_ "/>
    <numFmt numFmtId="177" formatCode="0.00E+0"/>
    <numFmt numFmtId="178" formatCode="0.00_ "/>
    <numFmt numFmtId="179" formatCode="0&quot;本&quot;"/>
    <numFmt numFmtId="180" formatCode="0&quot;千kcal&quot;"/>
    <numFmt numFmtId="181" formatCode="0&quot;mg/l&quot;"/>
    <numFmt numFmtId="182" formatCode="0&quot;kg&quot;"/>
    <numFmt numFmtId="183" formatCode="0.0"/>
    <numFmt numFmtId="184" formatCode="0&quot;％人&quot;"/>
    <numFmt numFmtId="185" formatCode="0&quot;%人&quot;"/>
    <numFmt numFmtId="186" formatCode="0.0&quot;kg/人&quot;"/>
    <numFmt numFmtId="187" formatCode="0&quot;日/年&quot;"/>
    <numFmt numFmtId="188" formatCode="0.00&quot;kw&quot;"/>
    <numFmt numFmtId="189" formatCode="0&quot;kcal&quot;"/>
    <numFmt numFmtId="190" formatCode="0.0&quot;時/回&quot;"/>
    <numFmt numFmtId="191" formatCode="0&quot;回/日&quot;"/>
    <numFmt numFmtId="192" formatCode="0.00&quot;Gcal&quot;"/>
    <numFmt numFmtId="193" formatCode="0&quot;cc/回&quot;"/>
    <numFmt numFmtId="194" formatCode="0&quot;km/月&quot;"/>
    <numFmt numFmtId="195" formatCode="0&quot;個&quot;"/>
    <numFmt numFmtId="196" formatCode="0&quot;c㎡&quot;"/>
    <numFmt numFmtId="197" formatCode="0.00&quot;kl&quot;"/>
    <numFmt numFmtId="198" formatCode="0&quot;回/年&quot;"/>
    <numFmt numFmtId="199" formatCode="0&quot;g/年&quot;"/>
    <numFmt numFmtId="200" formatCode="0&quot;cc/日&quot;"/>
    <numFmt numFmtId="201" formatCode="0.00&quot;枚/年&quot;"/>
    <numFmt numFmtId="202" formatCode="0&quot;回/枚&quot;"/>
    <numFmt numFmtId="203" formatCode="0.00&quot;kl/年&quot;"/>
    <numFmt numFmtId="204" formatCode="0.00&quot;回/年&quot;"/>
    <numFmt numFmtId="205" formatCode="0.00&quot;kwh/年&quot;"/>
    <numFmt numFmtId="206" formatCode="0.000_ "/>
    <numFmt numFmtId="207" formatCode="0.0000_ "/>
    <numFmt numFmtId="208" formatCode="0.000&quot;kg/個&quot;"/>
    <numFmt numFmtId="209" formatCode="0.00&quot;kg&quot;"/>
    <numFmt numFmtId="210" formatCode="0.0&quot;kg&quot;"/>
    <numFmt numFmtId="211" formatCode="0.00000&quot;kg&quot;"/>
    <numFmt numFmtId="212" formatCode="0.0&quot;kwh&quot;"/>
    <numFmt numFmtId="213" formatCode="0.0_ "/>
    <numFmt numFmtId="214" formatCode="#,##0_);[Red]\(#,##0\)"/>
    <numFmt numFmtId="215" formatCode="#,##0.0_);[Red]\(#,##0.0\)"/>
    <numFmt numFmtId="216" formatCode="0.0000_);[Red]\(0.0000\)"/>
    <numFmt numFmtId="217" formatCode="0.0E+00"/>
    <numFmt numFmtId="218" formatCode="0.000_);[Red]\(0.000\)"/>
    <numFmt numFmtId="219" formatCode="0_);[Red]\(0\)"/>
    <numFmt numFmtId="220" formatCode="0.00_);[Red]\(0.00\)"/>
    <numFmt numFmtId="221" formatCode="0.0_);[Red]\(0.0\)"/>
  </numFmts>
  <fonts count="28"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8.5"/>
      <name val="Meiryo UI"/>
      <family val="3"/>
      <charset val="128"/>
    </font>
    <font>
      <sz val="7.5"/>
      <name val="Meiryo UI"/>
      <family val="3"/>
      <charset val="128"/>
    </font>
    <font>
      <u/>
      <sz val="9"/>
      <color indexed="12"/>
      <name val="ＭＳ 明朝"/>
      <family val="1"/>
      <charset val="128"/>
    </font>
    <font>
      <b/>
      <sz val="9"/>
      <color indexed="12"/>
      <name val="Meiryo UI"/>
      <family val="3"/>
      <charset val="128"/>
    </font>
    <font>
      <sz val="14"/>
      <color indexed="12"/>
      <name val="Meiryo UI"/>
      <family val="3"/>
      <charset val="128"/>
    </font>
    <font>
      <sz val="9"/>
      <color indexed="12"/>
      <name val="ＭＳ 明朝"/>
      <family val="1"/>
      <charset val="128"/>
    </font>
    <font>
      <b/>
      <sz val="8"/>
      <color indexed="53"/>
      <name val="Meiryo UI"/>
      <family val="3"/>
      <charset val="128"/>
    </font>
    <font>
      <u/>
      <sz val="9"/>
      <name val="Meiryo UI"/>
      <family val="3"/>
      <charset val="128"/>
    </font>
    <font>
      <sz val="7"/>
      <name val="Meiryo UI"/>
      <family val="3"/>
      <charset val="128"/>
    </font>
    <font>
      <sz val="8.5"/>
      <color indexed="8"/>
      <name val="Meiryo UI"/>
      <family val="3"/>
      <charset val="128"/>
    </font>
    <font>
      <sz val="9"/>
      <color indexed="81"/>
      <name val="Meiryo UI"/>
      <family val="3"/>
      <charset val="128"/>
    </font>
    <font>
      <b/>
      <sz val="10"/>
      <color indexed="12"/>
      <name val="Meiryo UI"/>
      <family val="3"/>
      <charset val="128"/>
    </font>
    <font>
      <sz val="12"/>
      <name val="Meiryo UI"/>
      <family val="3"/>
      <charset val="128"/>
    </font>
    <font>
      <sz val="8.5"/>
      <color indexed="14"/>
      <name val="Meiryo UI"/>
      <family val="3"/>
      <charset val="128"/>
    </font>
    <font>
      <sz val="9"/>
      <color indexed="14"/>
      <name val="Meiryo UI"/>
      <family val="3"/>
      <charset val="128"/>
    </font>
    <font>
      <sz val="7.5"/>
      <color indexed="8"/>
      <name val="Meiryo UI"/>
      <family val="3"/>
      <charset val="128"/>
    </font>
    <font>
      <sz val="7"/>
      <color indexed="14"/>
      <name val="Meiryo UI"/>
      <family val="3"/>
      <charset val="128"/>
    </font>
    <font>
      <sz val="7.5"/>
      <color indexed="14"/>
      <name val="Meiryo UI"/>
      <family val="3"/>
      <charset val="128"/>
    </font>
    <font>
      <sz val="6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12"/>
      </left>
      <right/>
      <top style="double">
        <color indexed="12"/>
      </top>
      <bottom style="double">
        <color indexed="12"/>
      </bottom>
      <diagonal/>
    </border>
    <border>
      <left/>
      <right/>
      <top style="double">
        <color indexed="12"/>
      </top>
      <bottom style="double">
        <color indexed="12"/>
      </bottom>
      <diagonal/>
    </border>
    <border>
      <left/>
      <right style="double">
        <color indexed="12"/>
      </right>
      <top style="double">
        <color indexed="12"/>
      </top>
      <bottom style="double">
        <color indexed="1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Fill="1" applyBorder="1" applyAlignment="1">
      <alignment horizontal="right" vertical="center" shrinkToFit="1"/>
    </xf>
    <xf numFmtId="177" fontId="4" fillId="0" borderId="1" xfId="0" applyNumberFormat="1" applyFont="1" applyFill="1" applyBorder="1" applyAlignment="1">
      <alignment horizontal="right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3" fillId="0" borderId="1" xfId="0" quotePrefix="1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83" fontId="3" fillId="0" borderId="1" xfId="0" applyNumberFormat="1" applyFont="1" applyBorder="1" applyAlignment="1">
      <alignment horizontal="center" vertical="center" shrinkToFit="1"/>
    </xf>
    <xf numFmtId="0" fontId="4" fillId="0" borderId="2" xfId="0" applyNumberFormat="1" applyFont="1" applyBorder="1" applyAlignment="1">
      <alignment horizontal="center" vertical="center" shrinkToFit="1"/>
    </xf>
    <xf numFmtId="0" fontId="3" fillId="0" borderId="2" xfId="0" quotePrefix="1" applyNumberFormat="1" applyFont="1" applyBorder="1" applyAlignment="1">
      <alignment horizontal="center" vertical="center" shrinkToFit="1"/>
    </xf>
    <xf numFmtId="176" fontId="3" fillId="0" borderId="2" xfId="0" quotePrefix="1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6" fillId="0" borderId="2" xfId="0" quotePrefix="1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8" fontId="6" fillId="0" borderId="2" xfId="0" quotePrefix="1" applyNumberFormat="1" applyFont="1" applyFill="1" applyBorder="1" applyAlignment="1">
      <alignment horizontal="center" vertical="center" shrinkToFit="1"/>
    </xf>
    <xf numFmtId="0" fontId="3" fillId="0" borderId="2" xfId="0" quotePrefix="1" applyNumberFormat="1" applyFont="1" applyFill="1" applyBorder="1" applyAlignment="1">
      <alignment horizontal="center" vertical="center" shrinkToFit="1"/>
    </xf>
    <xf numFmtId="176" fontId="3" fillId="0" borderId="2" xfId="0" quotePrefix="1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178" fontId="3" fillId="0" borderId="2" xfId="0" quotePrefix="1" applyNumberFormat="1" applyFont="1" applyFill="1" applyBorder="1" applyAlignment="1">
      <alignment horizontal="center" vertical="center" shrinkToFit="1"/>
    </xf>
    <xf numFmtId="1" fontId="3" fillId="0" borderId="2" xfId="0" applyNumberFormat="1" applyFont="1" applyBorder="1" applyAlignment="1">
      <alignment horizontal="center" vertical="center" shrinkToFit="1"/>
    </xf>
    <xf numFmtId="183" fontId="3" fillId="0" borderId="2" xfId="0" applyNumberFormat="1" applyFont="1" applyBorder="1" applyAlignment="1">
      <alignment horizontal="center" vertical="center" shrinkToFit="1"/>
    </xf>
    <xf numFmtId="0" fontId="4" fillId="0" borderId="3" xfId="0" applyNumberFormat="1" applyFont="1" applyBorder="1" applyAlignment="1">
      <alignment horizontal="center" vertical="center" shrinkToFit="1"/>
    </xf>
    <xf numFmtId="0" fontId="3" fillId="0" borderId="3" xfId="0" quotePrefix="1" applyNumberFormat="1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3" xfId="0" applyNumberFormat="1" applyFont="1" applyFill="1" applyBorder="1" applyAlignment="1">
      <alignment horizontal="center" vertical="center" shrinkToFit="1"/>
    </xf>
    <xf numFmtId="0" fontId="3" fillId="0" borderId="3" xfId="0" quotePrefix="1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6" fillId="0" borderId="4" xfId="0" quotePrefix="1" applyNumberFormat="1" applyFont="1" applyFill="1" applyBorder="1" applyAlignment="1">
      <alignment horizontal="center" vertical="center" shrinkToFit="1"/>
    </xf>
    <xf numFmtId="176" fontId="6" fillId="0" borderId="4" xfId="0" quotePrefix="1" applyNumberFormat="1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78" fontId="6" fillId="0" borderId="4" xfId="0" quotePrefix="1" applyNumberFormat="1" applyFont="1" applyFill="1" applyBorder="1" applyAlignment="1">
      <alignment horizontal="center" vertical="center" shrinkToFit="1"/>
    </xf>
    <xf numFmtId="0" fontId="3" fillId="0" borderId="4" xfId="0" quotePrefix="1" applyNumberFormat="1" applyFont="1" applyFill="1" applyBorder="1" applyAlignment="1">
      <alignment horizontal="center" vertical="center" shrinkToFit="1"/>
    </xf>
    <xf numFmtId="176" fontId="3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Border="1" applyAlignment="1">
      <alignment horizontal="center" vertical="center" shrinkToFit="1"/>
    </xf>
    <xf numFmtId="0" fontId="3" fillId="0" borderId="4" xfId="0" quotePrefix="1" applyNumberFormat="1" applyFont="1" applyBorder="1" applyAlignment="1">
      <alignment horizontal="center" vertical="center" shrinkToFit="1"/>
    </xf>
    <xf numFmtId="176" fontId="3" fillId="0" borderId="4" xfId="0" quotePrefix="1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183" fontId="3" fillId="0" borderId="3" xfId="0" applyNumberFormat="1" applyFont="1" applyBorder="1" applyAlignment="1">
      <alignment horizontal="center" vertical="center" shrinkToFit="1"/>
    </xf>
    <xf numFmtId="183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6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5" xfId="0" quotePrefix="1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1" xfId="0" quotePrefix="1" applyFont="1" applyBorder="1" applyAlignment="1">
      <alignment horizontal="left" vertical="center"/>
    </xf>
    <xf numFmtId="0" fontId="4" fillId="0" borderId="12" xfId="0" quotePrefix="1" applyFont="1" applyBorder="1" applyAlignment="1">
      <alignment horizontal="left" vertical="center"/>
    </xf>
    <xf numFmtId="0" fontId="4" fillId="0" borderId="15" xfId="0" quotePrefix="1" applyFont="1" applyBorder="1" applyAlignment="1">
      <alignment horizontal="left" vertical="center"/>
    </xf>
    <xf numFmtId="0" fontId="4" fillId="0" borderId="9" xfId="0" quotePrefix="1" applyFont="1" applyBorder="1" applyAlignment="1">
      <alignment horizontal="left" vertical="center"/>
    </xf>
    <xf numFmtId="0" fontId="4" fillId="0" borderId="10" xfId="0" quotePrefix="1" applyFont="1" applyBorder="1" applyAlignment="1">
      <alignment horizontal="left" vertical="center"/>
    </xf>
    <xf numFmtId="0" fontId="4" fillId="0" borderId="13" xfId="0" quotePrefix="1" applyFont="1" applyBorder="1" applyAlignment="1">
      <alignment horizontal="left" vertical="center"/>
    </xf>
    <xf numFmtId="0" fontId="3" fillId="2" borderId="14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4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3" xfId="0" quotePrefix="1" applyNumberFormat="1" applyFont="1" applyBorder="1" applyAlignment="1">
      <alignment horizontal="center" vertical="center" shrinkToFit="1"/>
    </xf>
    <xf numFmtId="0" fontId="4" fillId="0" borderId="4" xfId="0" quotePrefix="1" applyNumberFormat="1" applyFont="1" applyBorder="1" applyAlignment="1">
      <alignment horizontal="center" vertical="center" shrinkToFit="1"/>
    </xf>
    <xf numFmtId="0" fontId="4" fillId="0" borderId="2" xfId="0" quotePrefix="1" applyNumberFormat="1" applyFont="1" applyBorder="1" applyAlignment="1">
      <alignment horizontal="center" vertical="center" shrinkToFit="1"/>
    </xf>
    <xf numFmtId="0" fontId="4" fillId="2" borderId="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4" xfId="0" applyNumberFormat="1" applyFont="1" applyFill="1" applyBorder="1" applyAlignment="1">
      <alignment horizontal="center" vertical="center" shrinkToFit="1"/>
    </xf>
    <xf numFmtId="0" fontId="4" fillId="2" borderId="4" xfId="0" quotePrefix="1" applyNumberFormat="1" applyFont="1" applyFill="1" applyBorder="1" applyAlignment="1">
      <alignment horizontal="center" vertical="center" shrinkToFit="1"/>
    </xf>
    <xf numFmtId="0" fontId="4" fillId="2" borderId="1" xfId="0" applyNumberFormat="1" applyFont="1" applyFill="1" applyBorder="1" applyAlignment="1">
      <alignment horizontal="center" vertical="center" shrinkToFit="1"/>
    </xf>
    <xf numFmtId="0" fontId="5" fillId="2" borderId="4" xfId="0" applyNumberFormat="1" applyFont="1" applyFill="1" applyBorder="1" applyAlignment="1">
      <alignment horizontal="center" vertical="center" shrinkToFit="1"/>
    </xf>
    <xf numFmtId="206" fontId="4" fillId="0" borderId="1" xfId="0" applyNumberFormat="1" applyFont="1" applyBorder="1" applyAlignment="1">
      <alignment horizontal="center" vertical="center" shrinkToFit="1"/>
    </xf>
    <xf numFmtId="207" fontId="4" fillId="2" borderId="1" xfId="0" applyNumberFormat="1" applyFont="1" applyFill="1" applyBorder="1" applyAlignment="1">
      <alignment horizontal="center" vertical="center" shrinkToFit="1"/>
    </xf>
    <xf numFmtId="206" fontId="3" fillId="2" borderId="2" xfId="0" quotePrefix="1" applyNumberFormat="1" applyFont="1" applyFill="1" applyBorder="1" applyAlignment="1">
      <alignment horizontal="center" vertical="center" shrinkToFit="1"/>
    </xf>
    <xf numFmtId="187" fontId="3" fillId="0" borderId="1" xfId="0" applyNumberFormat="1" applyFont="1" applyBorder="1" applyAlignment="1">
      <alignment horizontal="center" vertical="center" shrinkToFit="1"/>
    </xf>
    <xf numFmtId="190" fontId="3" fillId="0" borderId="1" xfId="0" applyNumberFormat="1" applyFont="1" applyBorder="1" applyAlignment="1">
      <alignment horizontal="center" vertical="center" shrinkToFit="1"/>
    </xf>
    <xf numFmtId="192" fontId="3" fillId="0" borderId="1" xfId="0" applyNumberFormat="1" applyFont="1" applyBorder="1" applyAlignment="1">
      <alignment horizontal="center" vertical="center" shrinkToFit="1"/>
    </xf>
    <xf numFmtId="194" fontId="3" fillId="0" borderId="1" xfId="0" applyNumberFormat="1" applyFont="1" applyBorder="1" applyAlignment="1">
      <alignment horizontal="center" vertical="center" shrinkToFit="1"/>
    </xf>
    <xf numFmtId="196" fontId="3" fillId="0" borderId="1" xfId="0" applyNumberFormat="1" applyFont="1" applyBorder="1" applyAlignment="1">
      <alignment horizontal="center" vertical="center" shrinkToFit="1"/>
    </xf>
    <xf numFmtId="188" fontId="3" fillId="0" borderId="1" xfId="0" applyNumberFormat="1" applyFont="1" applyBorder="1" applyAlignment="1">
      <alignment horizontal="center" vertical="center" shrinkToFit="1"/>
    </xf>
    <xf numFmtId="191" fontId="3" fillId="0" borderId="3" xfId="0" applyNumberFormat="1" applyFont="1" applyBorder="1" applyAlignment="1">
      <alignment horizontal="center" vertical="center" shrinkToFit="1"/>
    </xf>
    <xf numFmtId="193" fontId="3" fillId="0" borderId="1" xfId="0" applyNumberFormat="1" applyFont="1" applyBorder="1" applyAlignment="1">
      <alignment horizontal="center" vertical="center" shrinkToFit="1"/>
    </xf>
    <xf numFmtId="182" fontId="3" fillId="0" borderId="1" xfId="0" applyNumberFormat="1" applyFont="1" applyBorder="1" applyAlignment="1">
      <alignment horizontal="center" vertical="center" shrinkToFit="1"/>
    </xf>
    <xf numFmtId="189" fontId="3" fillId="0" borderId="3" xfId="0" applyNumberFormat="1" applyFont="1" applyBorder="1" applyAlignment="1">
      <alignment horizontal="center" vertical="center" shrinkToFit="1"/>
    </xf>
    <xf numFmtId="189" fontId="3" fillId="0" borderId="2" xfId="0" applyNumberFormat="1" applyFont="1" applyBorder="1" applyAlignment="1">
      <alignment horizontal="center" vertical="center" shrinkToFit="1"/>
    </xf>
    <xf numFmtId="195" fontId="3" fillId="0" borderId="1" xfId="0" applyNumberFormat="1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shrinkToFit="1"/>
    </xf>
    <xf numFmtId="0" fontId="3" fillId="0" borderId="3" xfId="0" applyNumberFormat="1" applyFont="1" applyBorder="1" applyAlignment="1">
      <alignment horizontal="center" vertical="center" shrinkToFit="1"/>
    </xf>
    <xf numFmtId="0" fontId="3" fillId="0" borderId="2" xfId="0" applyNumberFormat="1" applyFont="1" applyBorder="1" applyAlignment="1">
      <alignment horizontal="center" vertical="center" shrinkToFit="1"/>
    </xf>
    <xf numFmtId="198" fontId="3" fillId="0" borderId="1" xfId="0" applyNumberFormat="1" applyFont="1" applyBorder="1" applyAlignment="1">
      <alignment horizontal="center" vertical="center" shrinkToFit="1"/>
    </xf>
    <xf numFmtId="181" fontId="3" fillId="0" borderId="1" xfId="0" applyNumberFormat="1" applyFont="1" applyBorder="1" applyAlignment="1">
      <alignment horizontal="center" vertical="center" shrinkToFit="1"/>
    </xf>
    <xf numFmtId="199" fontId="3" fillId="0" borderId="1" xfId="0" applyNumberFormat="1" applyFont="1" applyBorder="1" applyAlignment="1">
      <alignment horizontal="center" vertical="center" shrinkToFit="1"/>
    </xf>
    <xf numFmtId="200" fontId="3" fillId="0" borderId="1" xfId="0" applyNumberFormat="1" applyFont="1" applyBorder="1" applyAlignment="1">
      <alignment horizontal="center" vertical="center" shrinkToFit="1"/>
    </xf>
    <xf numFmtId="198" fontId="3" fillId="0" borderId="3" xfId="0" applyNumberFormat="1" applyFont="1" applyBorder="1" applyAlignment="1">
      <alignment horizontal="center" vertical="center" shrinkToFit="1"/>
    </xf>
    <xf numFmtId="198" fontId="3" fillId="0" borderId="2" xfId="0" applyNumberFormat="1" applyFont="1" applyBorder="1" applyAlignment="1">
      <alignment horizontal="center" vertical="center" shrinkToFit="1"/>
    </xf>
    <xf numFmtId="208" fontId="3" fillId="0" borderId="3" xfId="0" applyNumberFormat="1" applyFont="1" applyBorder="1" applyAlignment="1">
      <alignment horizontal="center" vertical="center" shrinkToFit="1"/>
    </xf>
    <xf numFmtId="208" fontId="3" fillId="0" borderId="4" xfId="0" applyNumberFormat="1" applyFont="1" applyBorder="1" applyAlignment="1">
      <alignment horizontal="center" vertical="center" shrinkToFit="1"/>
    </xf>
    <xf numFmtId="207" fontId="4" fillId="2" borderId="4" xfId="0" applyNumberFormat="1" applyFont="1" applyFill="1" applyBorder="1" applyAlignment="1">
      <alignment horizontal="center" vertical="center" shrinkToFit="1"/>
    </xf>
    <xf numFmtId="213" fontId="4" fillId="2" borderId="4" xfId="0" applyNumberFormat="1" applyFont="1" applyFill="1" applyBorder="1" applyAlignment="1">
      <alignment horizontal="center" vertical="center" shrinkToFit="1"/>
    </xf>
    <xf numFmtId="194" fontId="3" fillId="0" borderId="2" xfId="0" applyNumberFormat="1" applyFont="1" applyBorder="1" applyAlignment="1">
      <alignment horizontal="center" vertical="center" shrinkToFit="1"/>
    </xf>
    <xf numFmtId="194" fontId="3" fillId="0" borderId="3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208" fontId="3" fillId="0" borderId="2" xfId="0" applyNumberFormat="1" applyFont="1" applyBorder="1" applyAlignment="1">
      <alignment horizontal="center" vertical="center" shrinkToFit="1"/>
    </xf>
    <xf numFmtId="0" fontId="3" fillId="0" borderId="13" xfId="0" applyFont="1" applyBorder="1" applyAlignment="1">
      <alignment vertical="center"/>
    </xf>
    <xf numFmtId="214" fontId="3" fillId="0" borderId="1" xfId="0" applyNumberFormat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2" borderId="1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206" fontId="3" fillId="2" borderId="3" xfId="0" quotePrefix="1" applyNumberFormat="1" applyFont="1" applyFill="1" applyBorder="1" applyAlignment="1">
      <alignment horizontal="center" vertical="center" shrinkToFit="1"/>
    </xf>
    <xf numFmtId="216" fontId="3" fillId="2" borderId="2" xfId="0" quotePrefix="1" applyNumberFormat="1" applyFont="1" applyFill="1" applyBorder="1" applyAlignment="1">
      <alignment horizontal="center" vertical="center" shrinkToFit="1"/>
    </xf>
    <xf numFmtId="216" fontId="3" fillId="2" borderId="3" xfId="0" quotePrefix="1" applyNumberFormat="1" applyFont="1" applyFill="1" applyBorder="1" applyAlignment="1">
      <alignment horizontal="center" vertical="center" shrinkToFit="1"/>
    </xf>
    <xf numFmtId="217" fontId="3" fillId="2" borderId="2" xfId="0" quotePrefix="1" applyNumberFormat="1" applyFont="1" applyFill="1" applyBorder="1" applyAlignment="1">
      <alignment horizontal="center" vertical="center" shrinkToFit="1"/>
    </xf>
    <xf numFmtId="11" fontId="3" fillId="2" borderId="3" xfId="0" quotePrefix="1" applyNumberFormat="1" applyFont="1" applyFill="1" applyBorder="1" applyAlignment="1">
      <alignment horizontal="center" vertical="center" shrinkToFit="1"/>
    </xf>
    <xf numFmtId="11" fontId="3" fillId="2" borderId="2" xfId="0" quotePrefix="1" applyNumberFormat="1" applyFont="1" applyFill="1" applyBorder="1" applyAlignment="1">
      <alignment horizontal="center" vertical="center" shrinkToFit="1"/>
    </xf>
    <xf numFmtId="207" fontId="3" fillId="2" borderId="3" xfId="0" applyNumberFormat="1" applyFont="1" applyFill="1" applyBorder="1" applyAlignment="1">
      <alignment horizontal="center" vertical="center" shrinkToFit="1"/>
    </xf>
    <xf numFmtId="207" fontId="3" fillId="2" borderId="3" xfId="0" quotePrefix="1" applyNumberFormat="1" applyFont="1" applyFill="1" applyBorder="1" applyAlignment="1">
      <alignment horizontal="center" vertical="center" shrinkToFit="1"/>
    </xf>
    <xf numFmtId="206" fontId="3" fillId="2" borderId="4" xfId="0" quotePrefix="1" applyNumberFormat="1" applyFont="1" applyFill="1" applyBorder="1" applyAlignment="1">
      <alignment horizontal="center" vertical="center" shrinkToFit="1"/>
    </xf>
    <xf numFmtId="217" fontId="3" fillId="2" borderId="4" xfId="0" quotePrefix="1" applyNumberFormat="1" applyFont="1" applyFill="1" applyBorder="1" applyAlignment="1">
      <alignment horizontal="center" vertical="center" shrinkToFit="1"/>
    </xf>
    <xf numFmtId="217" fontId="3" fillId="2" borderId="2" xfId="0" applyNumberFormat="1" applyFont="1" applyFill="1" applyBorder="1" applyAlignment="1">
      <alignment horizontal="center" vertical="center" shrinkToFit="1"/>
    </xf>
    <xf numFmtId="11" fontId="3" fillId="2" borderId="1" xfId="0" applyNumberFormat="1" applyFont="1" applyFill="1" applyBorder="1" applyAlignment="1">
      <alignment horizontal="center" vertical="center" shrinkToFit="1"/>
    </xf>
    <xf numFmtId="11" fontId="3" fillId="2" borderId="3" xfId="0" applyNumberFormat="1" applyFont="1" applyFill="1" applyBorder="1" applyAlignment="1">
      <alignment horizontal="center" vertical="center" shrinkToFit="1"/>
    </xf>
    <xf numFmtId="11" fontId="3" fillId="0" borderId="2" xfId="0" applyNumberFormat="1" applyFont="1" applyBorder="1" applyAlignment="1">
      <alignment horizontal="center" vertical="center" shrinkToFit="1"/>
    </xf>
    <xf numFmtId="11" fontId="3" fillId="2" borderId="2" xfId="0" applyNumberFormat="1" applyFont="1" applyFill="1" applyBorder="1" applyAlignment="1">
      <alignment horizontal="center" vertical="center" shrinkToFit="1"/>
    </xf>
    <xf numFmtId="11" fontId="3" fillId="0" borderId="1" xfId="0" applyNumberFormat="1" applyFont="1" applyBorder="1" applyAlignment="1">
      <alignment horizontal="center" vertical="center" shrinkToFit="1"/>
    </xf>
    <xf numFmtId="218" fontId="3" fillId="2" borderId="1" xfId="0" applyNumberFormat="1" applyFont="1" applyFill="1" applyBorder="1" applyAlignment="1">
      <alignment horizontal="center" vertical="center" shrinkToFit="1"/>
    </xf>
    <xf numFmtId="218" fontId="3" fillId="2" borderId="3" xfId="0" applyNumberFormat="1" applyFont="1" applyFill="1" applyBorder="1" applyAlignment="1">
      <alignment horizontal="center" vertical="center" shrinkToFit="1"/>
    </xf>
    <xf numFmtId="218" fontId="3" fillId="0" borderId="2" xfId="0" applyNumberFormat="1" applyFont="1" applyBorder="1" applyAlignment="1">
      <alignment horizontal="center" vertical="center" shrinkToFit="1"/>
    </xf>
    <xf numFmtId="218" fontId="3" fillId="2" borderId="2" xfId="0" applyNumberFormat="1" applyFont="1" applyFill="1" applyBorder="1" applyAlignment="1">
      <alignment horizontal="center" vertical="center" shrinkToFit="1"/>
    </xf>
    <xf numFmtId="218" fontId="3" fillId="0" borderId="1" xfId="0" applyNumberFormat="1" applyFont="1" applyBorder="1" applyAlignment="1">
      <alignment horizontal="center" vertical="center" shrinkToFit="1"/>
    </xf>
    <xf numFmtId="206" fontId="3" fillId="2" borderId="3" xfId="0" applyNumberFormat="1" applyFont="1" applyFill="1" applyBorder="1" applyAlignment="1">
      <alignment horizontal="center" vertical="center" shrinkToFit="1"/>
    </xf>
    <xf numFmtId="11" fontId="3" fillId="0" borderId="3" xfId="0" applyNumberFormat="1" applyFont="1" applyBorder="1" applyAlignment="1">
      <alignment horizontal="center" vertical="center" shrinkToFit="1"/>
    </xf>
    <xf numFmtId="11" fontId="3" fillId="0" borderId="4" xfId="0" applyNumberFormat="1" applyFont="1" applyBorder="1" applyAlignment="1">
      <alignment horizontal="center" vertical="center" shrinkToFit="1"/>
    </xf>
    <xf numFmtId="11" fontId="3" fillId="2" borderId="4" xfId="0" applyNumberFormat="1" applyFont="1" applyFill="1" applyBorder="1" applyAlignment="1">
      <alignment horizontal="center" vertical="center" shrinkToFit="1"/>
    </xf>
    <xf numFmtId="11" fontId="3" fillId="0" borderId="4" xfId="0" applyNumberFormat="1" applyFont="1" applyFill="1" applyBorder="1" applyAlignment="1">
      <alignment horizontal="center" vertical="center" shrinkToFit="1"/>
    </xf>
    <xf numFmtId="11" fontId="3" fillId="0" borderId="2" xfId="0" applyNumberFormat="1" applyFont="1" applyFill="1" applyBorder="1" applyAlignment="1">
      <alignment horizontal="center" vertical="center" shrinkToFit="1"/>
    </xf>
    <xf numFmtId="11" fontId="3" fillId="0" borderId="2" xfId="0" quotePrefix="1" applyNumberFormat="1" applyFont="1" applyFill="1" applyBorder="1" applyAlignment="1">
      <alignment horizontal="center" vertical="center" shrinkToFit="1"/>
    </xf>
    <xf numFmtId="206" fontId="3" fillId="0" borderId="2" xfId="0" applyNumberFormat="1" applyFont="1" applyBorder="1" applyAlignment="1">
      <alignment horizontal="center" vertical="center" shrinkToFit="1"/>
    </xf>
    <xf numFmtId="206" fontId="3" fillId="2" borderId="1" xfId="0" applyNumberFormat="1" applyFont="1" applyFill="1" applyBorder="1" applyAlignment="1">
      <alignment horizontal="center" vertical="center" shrinkToFit="1"/>
    </xf>
    <xf numFmtId="217" fontId="6" fillId="2" borderId="4" xfId="0" quotePrefix="1" applyNumberFormat="1" applyFont="1" applyFill="1" applyBorder="1" applyAlignment="1">
      <alignment horizontal="center" vertical="center" shrinkToFit="1"/>
    </xf>
    <xf numFmtId="217" fontId="3" fillId="2" borderId="4" xfId="0" applyNumberFormat="1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left" vertical="center"/>
    </xf>
    <xf numFmtId="0" fontId="10" fillId="0" borderId="15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176" fontId="3" fillId="0" borderId="1" xfId="0" applyNumberFormat="1" applyFont="1" applyBorder="1" applyAlignment="1">
      <alignment vertical="center" shrinkToFit="1"/>
    </xf>
    <xf numFmtId="206" fontId="3" fillId="0" borderId="1" xfId="0" applyNumberFormat="1" applyFont="1" applyBorder="1" applyAlignment="1">
      <alignment vertical="center" shrinkToFi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184" fontId="4" fillId="0" borderId="1" xfId="0" quotePrefix="1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84" fontId="4" fillId="0" borderId="3" xfId="0" quotePrefix="1" applyNumberFormat="1" applyFont="1" applyFill="1" applyBorder="1" applyAlignment="1">
      <alignment horizontal="center" vertical="center" shrinkToFit="1"/>
    </xf>
    <xf numFmtId="184" fontId="4" fillId="0" borderId="2" xfId="0" quotePrefix="1" applyNumberFormat="1" applyFont="1" applyFill="1" applyBorder="1" applyAlignment="1">
      <alignment horizontal="center" vertical="center" shrinkToFit="1"/>
    </xf>
    <xf numFmtId="0" fontId="3" fillId="0" borderId="1" xfId="0" quotePrefix="1" applyFont="1" applyFill="1" applyBorder="1" applyAlignment="1">
      <alignment horizontal="center" vertical="center" shrinkToFit="1"/>
    </xf>
    <xf numFmtId="0" fontId="3" fillId="0" borderId="3" xfId="0" quotePrefix="1" applyFont="1" applyFill="1" applyBorder="1" applyAlignment="1">
      <alignment horizontal="center" vertical="center" shrinkToFit="1"/>
    </xf>
    <xf numFmtId="0" fontId="3" fillId="0" borderId="2" xfId="0" quotePrefix="1" applyFont="1" applyFill="1" applyBorder="1" applyAlignment="1">
      <alignment horizontal="center" vertical="center" shrinkToFit="1"/>
    </xf>
    <xf numFmtId="185" fontId="3" fillId="0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214" fontId="3" fillId="0" borderId="2" xfId="0" applyNumberFormat="1" applyFont="1" applyBorder="1" applyAlignment="1">
      <alignment vertical="center" shrinkToFit="1"/>
    </xf>
    <xf numFmtId="219" fontId="3" fillId="2" borderId="1" xfId="0" applyNumberFormat="1" applyFont="1" applyFill="1" applyBorder="1" applyAlignment="1">
      <alignment horizontal="center" vertical="center" shrinkToFit="1"/>
    </xf>
    <xf numFmtId="0" fontId="3" fillId="3" borderId="16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3" borderId="18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9" xfId="0" quotePrefix="1" applyFont="1" applyFill="1" applyBorder="1" applyAlignment="1">
      <alignment vertical="center"/>
    </xf>
    <xf numFmtId="0" fontId="3" fillId="3" borderId="14" xfId="0" quotePrefix="1" applyFont="1" applyFill="1" applyBorder="1" applyAlignment="1">
      <alignment vertical="center"/>
    </xf>
    <xf numFmtId="0" fontId="3" fillId="3" borderId="19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3" borderId="20" xfId="0" quotePrefix="1" applyFont="1" applyFill="1" applyBorder="1" applyAlignment="1">
      <alignment vertical="center"/>
    </xf>
    <xf numFmtId="0" fontId="3" fillId="3" borderId="21" xfId="0" quotePrefix="1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quotePrefix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9" xfId="0" quotePrefix="1" applyFont="1" applyFill="1" applyBorder="1" applyAlignment="1">
      <alignment vertical="center"/>
    </xf>
    <xf numFmtId="0" fontId="3" fillId="3" borderId="12" xfId="0" quotePrefix="1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3" xfId="0" quotePrefix="1" applyFont="1" applyFill="1" applyBorder="1" applyAlignment="1">
      <alignment horizontal="left" vertical="center"/>
    </xf>
    <xf numFmtId="0" fontId="3" fillId="3" borderId="3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3" xfId="0" quotePrefix="1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center" vertical="center" shrinkToFit="1"/>
    </xf>
    <xf numFmtId="0" fontId="3" fillId="3" borderId="2" xfId="0" quotePrefix="1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center" vertical="center" shrinkToFit="1"/>
    </xf>
    <xf numFmtId="0" fontId="3" fillId="3" borderId="9" xfId="0" quotePrefix="1" applyFont="1" applyFill="1" applyBorder="1" applyAlignment="1">
      <alignment horizontal="left" vertical="center"/>
    </xf>
    <xf numFmtId="0" fontId="3" fillId="3" borderId="12" xfId="0" quotePrefix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Alignment="1"/>
    <xf numFmtId="220" fontId="3" fillId="2" borderId="1" xfId="0" applyNumberFormat="1" applyFont="1" applyFill="1" applyBorder="1" applyAlignment="1">
      <alignment horizontal="center" vertical="center" shrinkToFit="1"/>
    </xf>
    <xf numFmtId="220" fontId="3" fillId="0" borderId="1" xfId="0" applyNumberFormat="1" applyFont="1" applyBorder="1" applyAlignment="1">
      <alignment horizontal="center" vertical="center" shrinkToFit="1"/>
    </xf>
    <xf numFmtId="220" fontId="3" fillId="0" borderId="3" xfId="0" applyNumberFormat="1" applyFont="1" applyBorder="1" applyAlignment="1">
      <alignment horizontal="center" vertical="center" shrinkToFit="1"/>
    </xf>
    <xf numFmtId="220" fontId="3" fillId="2" borderId="2" xfId="0" applyNumberFormat="1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16" fillId="0" borderId="0" xfId="1" applyFont="1" applyAlignment="1" applyProtection="1">
      <alignment vertical="center"/>
    </xf>
    <xf numFmtId="0" fontId="3" fillId="3" borderId="21" xfId="0" applyFont="1" applyFill="1" applyBorder="1" applyAlignment="1">
      <alignment vertical="center"/>
    </xf>
    <xf numFmtId="0" fontId="3" fillId="3" borderId="22" xfId="0" applyFont="1" applyFill="1" applyBorder="1" applyAlignment="1">
      <alignment horizontal="center" vertical="center" shrinkToFit="1"/>
    </xf>
    <xf numFmtId="214" fontId="3" fillId="0" borderId="25" xfId="0" applyNumberFormat="1" applyFont="1" applyBorder="1" applyAlignment="1">
      <alignment vertical="center" shrinkToFit="1"/>
    </xf>
    <xf numFmtId="215" fontId="3" fillId="0" borderId="26" xfId="0" applyNumberFormat="1" applyFont="1" applyBorder="1" applyAlignment="1">
      <alignment vertical="center" shrinkToFit="1"/>
    </xf>
    <xf numFmtId="214" fontId="3" fillId="0" borderId="27" xfId="0" applyNumberFormat="1" applyFont="1" applyBorder="1" applyAlignment="1">
      <alignment vertical="center" shrinkToFit="1"/>
    </xf>
    <xf numFmtId="215" fontId="3" fillId="0" borderId="28" xfId="0" applyNumberFormat="1" applyFont="1" applyBorder="1" applyAlignment="1">
      <alignment vertical="center" shrinkToFit="1"/>
    </xf>
    <xf numFmtId="214" fontId="3" fillId="0" borderId="29" xfId="0" applyNumberFormat="1" applyFont="1" applyBorder="1" applyAlignment="1">
      <alignment vertical="center" shrinkToFit="1"/>
    </xf>
    <xf numFmtId="214" fontId="3" fillId="0" borderId="30" xfId="0" applyNumberFormat="1" applyFont="1" applyBorder="1" applyAlignment="1">
      <alignment vertical="center" shrinkToFit="1"/>
    </xf>
    <xf numFmtId="215" fontId="3" fillId="0" borderId="31" xfId="0" applyNumberFormat="1" applyFont="1" applyBorder="1" applyAlignment="1">
      <alignment vertical="center" shrinkToFit="1"/>
    </xf>
    <xf numFmtId="214" fontId="12" fillId="4" borderId="25" xfId="0" applyNumberFormat="1" applyFont="1" applyFill="1" applyBorder="1" applyAlignment="1">
      <alignment vertical="center" shrinkToFit="1"/>
    </xf>
    <xf numFmtId="214" fontId="12" fillId="4" borderId="2" xfId="0" applyNumberFormat="1" applyFont="1" applyFill="1" applyBorder="1" applyAlignment="1">
      <alignment vertical="center" shrinkToFit="1"/>
    </xf>
    <xf numFmtId="215" fontId="12" fillId="4" borderId="26" xfId="0" applyNumberFormat="1" applyFont="1" applyFill="1" applyBorder="1" applyAlignment="1">
      <alignment vertical="center" shrinkToFit="1"/>
    </xf>
    <xf numFmtId="214" fontId="12" fillId="4" borderId="27" xfId="0" applyNumberFormat="1" applyFont="1" applyFill="1" applyBorder="1" applyAlignment="1">
      <alignment vertical="center" shrinkToFit="1"/>
    </xf>
    <xf numFmtId="214" fontId="12" fillId="4" borderId="1" xfId="0" applyNumberFormat="1" applyFont="1" applyFill="1" applyBorder="1" applyAlignment="1">
      <alignment vertical="center" shrinkToFit="1"/>
    </xf>
    <xf numFmtId="215" fontId="12" fillId="4" borderId="28" xfId="0" applyNumberFormat="1" applyFont="1" applyFill="1" applyBorder="1" applyAlignment="1">
      <alignment vertical="center" shrinkToFit="1"/>
    </xf>
    <xf numFmtId="214" fontId="12" fillId="4" borderId="29" xfId="0" applyNumberFormat="1" applyFont="1" applyFill="1" applyBorder="1" applyAlignment="1">
      <alignment vertical="center" shrinkToFit="1"/>
    </xf>
    <xf numFmtId="214" fontId="12" fillId="4" borderId="30" xfId="0" applyNumberFormat="1" applyFont="1" applyFill="1" applyBorder="1" applyAlignment="1">
      <alignment vertical="center" shrinkToFit="1"/>
    </xf>
    <xf numFmtId="215" fontId="12" fillId="4" borderId="31" xfId="0" applyNumberFormat="1" applyFont="1" applyFill="1" applyBorder="1" applyAlignment="1">
      <alignment vertical="center" shrinkToFit="1"/>
    </xf>
    <xf numFmtId="0" fontId="3" fillId="3" borderId="32" xfId="0" applyFont="1" applyFill="1" applyBorder="1" applyAlignment="1">
      <alignment vertical="center"/>
    </xf>
    <xf numFmtId="0" fontId="3" fillId="3" borderId="33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8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12" fillId="4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vertical="center"/>
    </xf>
    <xf numFmtId="0" fontId="4" fillId="0" borderId="7" xfId="0" applyNumberFormat="1" applyFont="1" applyBorder="1" applyAlignment="1">
      <alignment horizontal="center" vertical="center" shrinkToFit="1"/>
    </xf>
    <xf numFmtId="0" fontId="4" fillId="0" borderId="6" xfId="0" applyNumberFormat="1" applyFont="1" applyBorder="1" applyAlignment="1">
      <alignment horizontal="center" vertical="center" shrinkToFit="1"/>
    </xf>
    <xf numFmtId="0" fontId="4" fillId="0" borderId="5" xfId="0" applyNumberFormat="1" applyFont="1" applyBorder="1" applyAlignment="1">
      <alignment horizontal="center" vertical="center" shrinkToFit="1"/>
    </xf>
    <xf numFmtId="182" fontId="9" fillId="0" borderId="3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210" fontId="9" fillId="0" borderId="3" xfId="0" applyNumberFormat="1" applyFont="1" applyBorder="1" applyAlignment="1">
      <alignment horizontal="center" vertical="center" shrinkToFit="1"/>
    </xf>
    <xf numFmtId="208" fontId="9" fillId="0" borderId="2" xfId="0" applyNumberFormat="1" applyFont="1" applyBorder="1" applyAlignment="1">
      <alignment horizontal="center" vertical="center" shrinkToFit="1"/>
    </xf>
    <xf numFmtId="182" fontId="9" fillId="0" borderId="1" xfId="0" applyNumberFormat="1" applyFont="1" applyBorder="1" applyAlignment="1">
      <alignment horizontal="center" vertical="center" shrinkToFit="1"/>
    </xf>
    <xf numFmtId="209" fontId="9" fillId="0" borderId="3" xfId="0" applyNumberFormat="1" applyFont="1" applyFill="1" applyBorder="1" applyAlignment="1">
      <alignment horizontal="center" vertical="center" shrinkToFit="1"/>
    </xf>
    <xf numFmtId="202" fontId="18" fillId="0" borderId="4" xfId="0" applyNumberFormat="1" applyFont="1" applyFill="1" applyBorder="1" applyAlignment="1">
      <alignment horizontal="center" vertical="center" shrinkToFit="1"/>
    </xf>
    <xf numFmtId="203" fontId="18" fillId="0" borderId="2" xfId="0" applyNumberFormat="1" applyFont="1" applyFill="1" applyBorder="1" applyAlignment="1">
      <alignment horizontal="center" vertical="center" shrinkToFit="1"/>
    </xf>
    <xf numFmtId="204" fontId="9" fillId="0" borderId="4" xfId="0" applyNumberFormat="1" applyFont="1" applyFill="1" applyBorder="1" applyAlignment="1">
      <alignment horizontal="center" vertical="center" shrinkToFit="1"/>
    </xf>
    <xf numFmtId="205" fontId="9" fillId="0" borderId="2" xfId="0" applyNumberFormat="1" applyFont="1" applyFill="1" applyBorder="1" applyAlignment="1">
      <alignment horizontal="center" vertical="center" shrinkToFit="1"/>
    </xf>
    <xf numFmtId="209" fontId="9" fillId="0" borderId="3" xfId="0" applyNumberFormat="1" applyFont="1" applyBorder="1" applyAlignment="1">
      <alignment horizontal="center" vertical="center" shrinkToFit="1"/>
    </xf>
    <xf numFmtId="211" fontId="9" fillId="0" borderId="4" xfId="0" applyNumberFormat="1" applyFont="1" applyBorder="1" applyAlignment="1">
      <alignment horizontal="center" vertical="center" shrinkToFit="1"/>
    </xf>
    <xf numFmtId="209" fontId="9" fillId="0" borderId="2" xfId="0" applyNumberFormat="1" applyFont="1" applyBorder="1" applyAlignment="1">
      <alignment horizontal="center" vertical="center" shrinkToFit="1"/>
    </xf>
    <xf numFmtId="209" fontId="9" fillId="0" borderId="3" xfId="0" quotePrefix="1" applyNumberFormat="1" applyFont="1" applyBorder="1" applyAlignment="1">
      <alignment horizontal="center" vertical="center" shrinkToFit="1"/>
    </xf>
    <xf numFmtId="209" fontId="9" fillId="0" borderId="4" xfId="0" quotePrefix="1" applyNumberFormat="1" applyFont="1" applyBorder="1" applyAlignment="1">
      <alignment horizontal="center" vertical="center" shrinkToFit="1"/>
    </xf>
    <xf numFmtId="209" fontId="9" fillId="0" borderId="2" xfId="0" quotePrefix="1" applyNumberFormat="1" applyFont="1" applyBorder="1" applyAlignment="1">
      <alignment horizontal="center" vertical="center" shrinkToFit="1"/>
    </xf>
    <xf numFmtId="179" fontId="9" fillId="0" borderId="4" xfId="0" applyNumberFormat="1" applyFont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center" shrinkToFit="1"/>
    </xf>
    <xf numFmtId="186" fontId="9" fillId="0" borderId="1" xfId="0" applyNumberFormat="1" applyFont="1" applyBorder="1" applyAlignment="1">
      <alignment horizontal="center" vertical="center" shrinkToFit="1"/>
    </xf>
    <xf numFmtId="0" fontId="9" fillId="0" borderId="3" xfId="0" applyNumberFormat="1" applyFont="1" applyBorder="1" applyAlignment="1">
      <alignment horizontal="center" vertical="center" shrinkToFit="1"/>
    </xf>
    <xf numFmtId="0" fontId="9" fillId="0" borderId="2" xfId="0" applyNumberFormat="1" applyFont="1" applyBorder="1" applyAlignment="1">
      <alignment horizontal="center" vertical="center" shrinkToFit="1"/>
    </xf>
    <xf numFmtId="0" fontId="9" fillId="0" borderId="1" xfId="0" applyNumberFormat="1" applyFont="1" applyBorder="1" applyAlignment="1">
      <alignment horizontal="center" vertical="center" shrinkToFit="1"/>
    </xf>
    <xf numFmtId="0" fontId="9" fillId="0" borderId="3" xfId="0" applyNumberFormat="1" applyFont="1" applyFill="1" applyBorder="1" applyAlignment="1">
      <alignment horizontal="center" vertical="center" shrinkToFit="1"/>
    </xf>
    <xf numFmtId="201" fontId="18" fillId="0" borderId="4" xfId="0" applyNumberFormat="1" applyFont="1" applyFill="1" applyBorder="1" applyAlignment="1">
      <alignment horizontal="center" vertical="center" shrinkToFit="1"/>
    </xf>
    <xf numFmtId="203" fontId="9" fillId="0" borderId="4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180" fontId="9" fillId="0" borderId="4" xfId="0" applyNumberFormat="1" applyFont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/>
    </xf>
    <xf numFmtId="206" fontId="4" fillId="2" borderId="3" xfId="0" applyNumberFormat="1" applyFont="1" applyFill="1" applyBorder="1" applyAlignment="1">
      <alignment horizontal="center" vertical="center" shrinkToFit="1"/>
    </xf>
    <xf numFmtId="206" fontId="4" fillId="2" borderId="4" xfId="0" applyNumberFormat="1" applyFont="1" applyFill="1" applyBorder="1" applyAlignment="1">
      <alignment horizontal="center" vertical="center" shrinkToFit="1"/>
    </xf>
    <xf numFmtId="206" fontId="4" fillId="2" borderId="2" xfId="0" quotePrefix="1" applyNumberFormat="1" applyFont="1" applyFill="1" applyBorder="1" applyAlignment="1">
      <alignment horizontal="center" vertical="center" shrinkToFit="1"/>
    </xf>
    <xf numFmtId="206" fontId="4" fillId="2" borderId="3" xfId="0" quotePrefix="1" applyNumberFormat="1" applyFont="1" applyFill="1" applyBorder="1" applyAlignment="1">
      <alignment horizontal="center" vertical="center" shrinkToFit="1"/>
    </xf>
    <xf numFmtId="206" fontId="4" fillId="2" borderId="2" xfId="0" applyNumberFormat="1" applyFont="1" applyFill="1" applyBorder="1" applyAlignment="1">
      <alignment horizontal="center" vertical="center" shrinkToFit="1"/>
    </xf>
    <xf numFmtId="178" fontId="5" fillId="2" borderId="2" xfId="0" applyNumberFormat="1" applyFont="1" applyFill="1" applyBorder="1" applyAlignment="1">
      <alignment horizontal="center" vertical="center" shrinkToFit="1"/>
    </xf>
    <xf numFmtId="178" fontId="3" fillId="2" borderId="0" xfId="0" applyNumberFormat="1" applyFont="1" applyFill="1" applyAlignment="1">
      <alignment vertical="center"/>
    </xf>
    <xf numFmtId="0" fontId="4" fillId="0" borderId="28" xfId="0" applyFont="1" applyFill="1" applyBorder="1" applyAlignment="1">
      <alignment horizontal="right" vertical="center" shrinkToFit="1"/>
    </xf>
    <xf numFmtId="0" fontId="8" fillId="5" borderId="19" xfId="0" applyFont="1" applyFill="1" applyBorder="1" applyAlignment="1">
      <alignment vertical="center"/>
    </xf>
    <xf numFmtId="0" fontId="8" fillId="5" borderId="19" xfId="0" quotePrefix="1" applyFont="1" applyFill="1" applyBorder="1" applyAlignment="1">
      <alignment vertical="center"/>
    </xf>
    <xf numFmtId="177" fontId="4" fillId="0" borderId="28" xfId="0" applyNumberFormat="1" applyFont="1" applyFill="1" applyBorder="1" applyAlignment="1">
      <alignment horizontal="right" vertical="center" shrinkToFit="1"/>
    </xf>
    <xf numFmtId="0" fontId="8" fillId="5" borderId="20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right" vertical="center" shrinkToFit="1"/>
    </xf>
    <xf numFmtId="177" fontId="4" fillId="0" borderId="30" xfId="0" applyNumberFormat="1" applyFont="1" applyFill="1" applyBorder="1" applyAlignment="1">
      <alignment horizontal="right" vertical="center" shrinkToFit="1"/>
    </xf>
    <xf numFmtId="177" fontId="4" fillId="0" borderId="31" xfId="0" applyNumberFormat="1" applyFont="1" applyFill="1" applyBorder="1" applyAlignment="1">
      <alignment horizontal="right" vertical="center" shrinkToFit="1"/>
    </xf>
    <xf numFmtId="0" fontId="9" fillId="5" borderId="18" xfId="0" applyFont="1" applyFill="1" applyBorder="1" applyAlignment="1">
      <alignment horizontal="left" vertical="center"/>
    </xf>
    <xf numFmtId="0" fontId="4" fillId="0" borderId="2" xfId="0" quotePrefix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26" xfId="0" applyFont="1" applyFill="1" applyBorder="1" applyAlignment="1">
      <alignment horizontal="right" vertical="center" shrinkToFit="1"/>
    </xf>
    <xf numFmtId="0" fontId="2" fillId="5" borderId="16" xfId="0" applyFont="1" applyFill="1" applyBorder="1" applyAlignment="1">
      <alignment vertical="center"/>
    </xf>
    <xf numFmtId="0" fontId="9" fillId="5" borderId="23" xfId="0" applyFont="1" applyFill="1" applyBorder="1" applyAlignment="1">
      <alignment horizontal="left" vertical="top" wrapText="1"/>
    </xf>
    <xf numFmtId="0" fontId="9" fillId="5" borderId="23" xfId="0" quotePrefix="1" applyFont="1" applyFill="1" applyBorder="1" applyAlignment="1">
      <alignment horizontal="left" vertical="top" wrapText="1"/>
    </xf>
    <xf numFmtId="0" fontId="17" fillId="5" borderId="23" xfId="0" applyFont="1" applyFill="1" applyBorder="1" applyAlignment="1">
      <alignment horizontal="left" vertical="top" wrapText="1"/>
    </xf>
    <xf numFmtId="0" fontId="3" fillId="5" borderId="23" xfId="0" quotePrefix="1" applyFont="1" applyFill="1" applyBorder="1" applyAlignment="1">
      <alignment horizontal="left" vertical="top" wrapText="1"/>
    </xf>
    <xf numFmtId="0" fontId="3" fillId="5" borderId="23" xfId="0" applyFont="1" applyFill="1" applyBorder="1" applyAlignment="1">
      <alignment horizontal="left" vertical="top" wrapText="1"/>
    </xf>
    <xf numFmtId="0" fontId="9" fillId="5" borderId="24" xfId="0" applyFont="1" applyFill="1" applyBorder="1" applyAlignment="1">
      <alignment horizontal="left" vertical="top" wrapText="1"/>
    </xf>
    <xf numFmtId="0" fontId="9" fillId="5" borderId="41" xfId="0" applyFont="1" applyFill="1" applyBorder="1" applyAlignment="1">
      <alignment horizontal="left" vertical="top" wrapText="1"/>
    </xf>
    <xf numFmtId="0" fontId="4" fillId="0" borderId="5" xfId="0" quotePrefix="1" applyFont="1" applyFill="1" applyBorder="1" applyAlignment="1">
      <alignment horizontal="right" vertical="center" shrinkToFit="1"/>
    </xf>
    <xf numFmtId="177" fontId="4" fillId="0" borderId="7" xfId="0" applyNumberFormat="1" applyFont="1" applyFill="1" applyBorder="1" applyAlignment="1">
      <alignment horizontal="right" vertical="center" shrinkToFit="1"/>
    </xf>
    <xf numFmtId="0" fontId="4" fillId="0" borderId="42" xfId="0" applyFont="1" applyFill="1" applyBorder="1" applyAlignment="1">
      <alignment horizontal="right" vertical="center" shrinkToFit="1"/>
    </xf>
    <xf numFmtId="0" fontId="2" fillId="5" borderId="32" xfId="0" applyFont="1" applyFill="1" applyBorder="1" applyAlignment="1">
      <alignment vertical="center"/>
    </xf>
    <xf numFmtId="0" fontId="8" fillId="5" borderId="43" xfId="0" applyFont="1" applyFill="1" applyBorder="1" applyAlignment="1">
      <alignment vertical="center"/>
    </xf>
    <xf numFmtId="0" fontId="8" fillId="5" borderId="44" xfId="0" applyFont="1" applyFill="1" applyBorder="1" applyAlignment="1">
      <alignment vertical="center"/>
    </xf>
    <xf numFmtId="0" fontId="8" fillId="5" borderId="44" xfId="0" quotePrefix="1" applyFont="1" applyFill="1" applyBorder="1" applyAlignment="1">
      <alignment vertical="center"/>
    </xf>
    <xf numFmtId="0" fontId="8" fillId="5" borderId="45" xfId="0" applyFont="1" applyFill="1" applyBorder="1" applyAlignment="1">
      <alignment vertical="center"/>
    </xf>
    <xf numFmtId="216" fontId="3" fillId="2" borderId="1" xfId="0" applyNumberFormat="1" applyFont="1" applyFill="1" applyBorder="1" applyAlignment="1">
      <alignment horizontal="center" vertical="center" shrinkToFit="1"/>
    </xf>
    <xf numFmtId="216" fontId="3" fillId="2" borderId="3" xfId="0" applyNumberFormat="1" applyFont="1" applyFill="1" applyBorder="1" applyAlignment="1">
      <alignment horizontal="center" vertical="center" shrinkToFit="1"/>
    </xf>
    <xf numFmtId="216" fontId="3" fillId="0" borderId="2" xfId="0" applyNumberFormat="1" applyFont="1" applyBorder="1" applyAlignment="1">
      <alignment horizontal="center" vertical="center" shrinkToFit="1"/>
    </xf>
    <xf numFmtId="216" fontId="3" fillId="2" borderId="2" xfId="0" applyNumberFormat="1" applyFont="1" applyFill="1" applyBorder="1" applyAlignment="1">
      <alignment horizontal="center" vertical="center" shrinkToFit="1"/>
    </xf>
    <xf numFmtId="176" fontId="3" fillId="6" borderId="1" xfId="0" applyNumberFormat="1" applyFont="1" applyFill="1" applyBorder="1" applyAlignment="1">
      <alignment vertical="center" shrinkToFit="1"/>
    </xf>
    <xf numFmtId="0" fontId="3" fillId="6" borderId="12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vertical="center" shrinkToFit="1"/>
    </xf>
    <xf numFmtId="0" fontId="20" fillId="3" borderId="17" xfId="0" applyFont="1" applyFill="1" applyBorder="1" applyAlignment="1">
      <alignment horizontal="center" vertical="center"/>
    </xf>
    <xf numFmtId="212" fontId="9" fillId="0" borderId="1" xfId="0" applyNumberFormat="1" applyFont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2" xfId="0" quotePrefix="1" applyFont="1" applyFill="1" applyBorder="1" applyAlignment="1">
      <alignment horizontal="center" vertical="center" shrinkToFit="1"/>
    </xf>
    <xf numFmtId="197" fontId="9" fillId="0" borderId="1" xfId="0" applyNumberFormat="1" applyFont="1" applyBorder="1" applyAlignment="1">
      <alignment horizontal="center" vertical="center" shrinkToFit="1"/>
    </xf>
    <xf numFmtId="206" fontId="4" fillId="2" borderId="1" xfId="0" applyNumberFormat="1" applyFont="1" applyFill="1" applyBorder="1" applyAlignment="1">
      <alignment horizontal="center" vertical="center" shrinkToFit="1"/>
    </xf>
    <xf numFmtId="197" fontId="9" fillId="0" borderId="3" xfId="0" applyNumberFormat="1" applyFont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left" vertical="center"/>
    </xf>
    <xf numFmtId="212" fontId="9" fillId="0" borderId="3" xfId="0" applyNumberFormat="1" applyFont="1" applyBorder="1" applyAlignment="1">
      <alignment horizontal="center" vertical="center" shrinkToFit="1"/>
    </xf>
    <xf numFmtId="212" fontId="9" fillId="0" borderId="2" xfId="0" applyNumberFormat="1" applyFont="1" applyBorder="1" applyAlignment="1">
      <alignment horizontal="center" vertical="center" shrinkToFit="1"/>
    </xf>
    <xf numFmtId="221" fontId="4" fillId="2" borderId="1" xfId="0" applyNumberFormat="1" applyFont="1" applyFill="1" applyBorder="1" applyAlignment="1">
      <alignment horizontal="center" vertical="center" shrinkToFit="1"/>
    </xf>
    <xf numFmtId="221" fontId="4" fillId="2" borderId="3" xfId="0" applyNumberFormat="1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horizontal="left" vertical="center"/>
    </xf>
    <xf numFmtId="213" fontId="3" fillId="0" borderId="1" xfId="0" applyNumberFormat="1" applyFont="1" applyBorder="1" applyAlignment="1">
      <alignment vertical="center" shrinkToFit="1"/>
    </xf>
    <xf numFmtId="219" fontId="3" fillId="0" borderId="2" xfId="0" applyNumberFormat="1" applyFont="1" applyBorder="1" applyAlignment="1">
      <alignment horizontal="center" vertical="center" shrinkToFit="1"/>
    </xf>
    <xf numFmtId="219" fontId="3" fillId="0" borderId="4" xfId="0" quotePrefix="1" applyNumberFormat="1" applyFont="1" applyBorder="1" applyAlignment="1">
      <alignment horizontal="center" vertical="center" shrinkToFit="1"/>
    </xf>
    <xf numFmtId="219" fontId="3" fillId="0" borderId="2" xfId="0" quotePrefix="1" applyNumberFormat="1" applyFont="1" applyBorder="1" applyAlignment="1">
      <alignment horizontal="center" vertical="center" shrinkToFit="1"/>
    </xf>
    <xf numFmtId="219" fontId="3" fillId="0" borderId="3" xfId="0" applyNumberFormat="1" applyFont="1" applyBorder="1" applyAlignment="1">
      <alignment horizontal="center" vertical="center" shrinkToFit="1"/>
    </xf>
    <xf numFmtId="219" fontId="3" fillId="0" borderId="4" xfId="0" applyNumberFormat="1" applyFont="1" applyBorder="1" applyAlignment="1">
      <alignment horizontal="center" vertical="center" shrinkToFit="1"/>
    </xf>
    <xf numFmtId="219" fontId="3" fillId="0" borderId="1" xfId="0" applyNumberFormat="1" applyFont="1" applyBorder="1" applyAlignment="1">
      <alignment horizontal="center" vertical="center" shrinkToFit="1"/>
    </xf>
    <xf numFmtId="0" fontId="3" fillId="2" borderId="3" xfId="0" quotePrefix="1" applyNumberFormat="1" applyFont="1" applyFill="1" applyBorder="1" applyAlignment="1">
      <alignment horizontal="center" vertical="center" shrinkToFit="1"/>
    </xf>
    <xf numFmtId="207" fontId="3" fillId="0" borderId="0" xfId="0" applyNumberFormat="1" applyFont="1" applyAlignment="1">
      <alignment vertical="center"/>
    </xf>
    <xf numFmtId="207" fontId="6" fillId="0" borderId="4" xfId="0" quotePrefix="1" applyNumberFormat="1" applyFont="1" applyFill="1" applyBorder="1" applyAlignment="1">
      <alignment horizontal="center" vertical="center" shrinkToFit="1"/>
    </xf>
    <xf numFmtId="207" fontId="6" fillId="0" borderId="2" xfId="0" quotePrefix="1" applyNumberFormat="1" applyFont="1" applyFill="1" applyBorder="1" applyAlignment="1">
      <alignment horizontal="center" vertical="center" shrinkToFit="1"/>
    </xf>
    <xf numFmtId="207" fontId="3" fillId="0" borderId="4" xfId="0" quotePrefix="1" applyNumberFormat="1" applyFont="1" applyFill="1" applyBorder="1" applyAlignment="1">
      <alignment horizontal="center" vertical="center" shrinkToFit="1"/>
    </xf>
    <xf numFmtId="207" fontId="3" fillId="0" borderId="2" xfId="0" quotePrefix="1" applyNumberFormat="1" applyFont="1" applyFill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/>
    <xf numFmtId="1" fontId="3" fillId="0" borderId="1" xfId="0" applyNumberFormat="1" applyFont="1" applyBorder="1" applyAlignment="1">
      <alignment vertical="center" shrinkToFit="1"/>
    </xf>
    <xf numFmtId="0" fontId="3" fillId="0" borderId="49" xfId="0" applyFont="1" applyBorder="1" applyAlignment="1">
      <alignment horizontal="center" vertical="top" wrapText="1"/>
    </xf>
    <xf numFmtId="178" fontId="3" fillId="0" borderId="49" xfId="0" applyNumberFormat="1" applyFont="1" applyBorder="1" applyAlignment="1">
      <alignment vertical="center" shrinkToFit="1"/>
    </xf>
    <xf numFmtId="178" fontId="3" fillId="6" borderId="49" xfId="0" applyNumberFormat="1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center"/>
    </xf>
    <xf numFmtId="0" fontId="10" fillId="0" borderId="10" xfId="0" quotePrefix="1" applyFont="1" applyBorder="1" applyAlignment="1">
      <alignment horizontal="left" vertical="center"/>
    </xf>
    <xf numFmtId="0" fontId="24" fillId="0" borderId="15" xfId="0" applyFont="1" applyFill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3" xfId="0" quotePrefix="1" applyFont="1" applyBorder="1" applyAlignment="1">
      <alignment horizontal="left" vertical="center"/>
    </xf>
    <xf numFmtId="0" fontId="3" fillId="2" borderId="13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top" wrapText="1"/>
    </xf>
    <xf numFmtId="176" fontId="3" fillId="7" borderId="1" xfId="0" applyNumberFormat="1" applyFont="1" applyFill="1" applyBorder="1" applyAlignment="1">
      <alignment vertical="center" shrinkToFit="1"/>
    </xf>
    <xf numFmtId="1" fontId="3" fillId="7" borderId="1" xfId="0" applyNumberFormat="1" applyFont="1" applyFill="1" applyBorder="1" applyAlignment="1">
      <alignment vertical="center" shrinkToFit="1"/>
    </xf>
    <xf numFmtId="176" fontId="3" fillId="0" borderId="0" xfId="0" applyNumberFormat="1" applyFont="1" applyAlignment="1">
      <alignment vertical="center"/>
    </xf>
    <xf numFmtId="0" fontId="10" fillId="0" borderId="1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176" fontId="3" fillId="8" borderId="1" xfId="0" applyNumberFormat="1" applyFont="1" applyFill="1" applyBorder="1" applyAlignment="1">
      <alignment vertical="center" shrinkToFit="1"/>
    </xf>
    <xf numFmtId="213" fontId="3" fillId="0" borderId="1" xfId="0" applyNumberFormat="1" applyFont="1" applyBorder="1" applyAlignment="1">
      <alignment horizontal="center" vertical="center" shrinkToFit="1"/>
    </xf>
    <xf numFmtId="0" fontId="17" fillId="3" borderId="24" xfId="0" applyFont="1" applyFill="1" applyBorder="1" applyAlignment="1">
      <alignment horizontal="center" vertical="top" wrapText="1"/>
    </xf>
    <xf numFmtId="0" fontId="10" fillId="3" borderId="23" xfId="0" applyFont="1" applyFill="1" applyBorder="1" applyAlignment="1">
      <alignment horizontal="center" vertical="top" wrapText="1"/>
    </xf>
    <xf numFmtId="0" fontId="27" fillId="3" borderId="14" xfId="0" applyFont="1" applyFill="1" applyBorder="1" applyAlignment="1">
      <alignment horizontal="right" vertical="center"/>
    </xf>
    <xf numFmtId="0" fontId="27" fillId="2" borderId="31" xfId="0" applyFont="1" applyFill="1" applyBorder="1" applyAlignment="1">
      <alignment vertical="center"/>
    </xf>
    <xf numFmtId="0" fontId="13" fillId="3" borderId="46" xfId="0" applyFont="1" applyFill="1" applyBorder="1" applyAlignment="1">
      <alignment horizontal="center" vertical="center" shrinkToFit="1"/>
    </xf>
    <xf numFmtId="0" fontId="14" fillId="3" borderId="47" xfId="0" applyFont="1" applyFill="1" applyBorder="1" applyAlignment="1">
      <alignment horizontal="center" vertical="center" shrinkToFit="1"/>
    </xf>
    <xf numFmtId="0" fontId="14" fillId="3" borderId="48" xfId="0" applyFont="1" applyFill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kmdmyg.info/index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85725</xdr:colOff>
      <xdr:row>0</xdr:row>
      <xdr:rowOff>0</xdr:rowOff>
    </xdr:from>
    <xdr:to>
      <xdr:col>22</xdr:col>
      <xdr:colOff>123825</xdr:colOff>
      <xdr:row>1</xdr:row>
      <xdr:rowOff>85725</xdr:rowOff>
    </xdr:to>
    <xdr:sp macro="" textlink="">
      <xdr:nvSpPr>
        <xdr:cNvPr id="1062" name="AutoShape 46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267700" y="0"/>
          <a:ext cx="933450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7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29872;&#12420;&#26286;&#25163;3-2.xls!r377c1:r430c1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AG134"/>
  <sheetViews>
    <sheetView tabSelected="1" topLeftCell="A5" zoomScaleNormal="100" workbookViewId="0">
      <selection activeCell="Z19" sqref="Z19"/>
    </sheetView>
  </sheetViews>
  <sheetFormatPr defaultRowHeight="12"/>
  <cols>
    <col min="1" max="1" width="1.83203125" style="1" customWidth="1"/>
    <col min="2" max="2" width="5" style="1" customWidth="1"/>
    <col min="3" max="13" width="7.83203125" style="1" customWidth="1"/>
    <col min="14" max="20" width="7.1640625" style="1" customWidth="1"/>
    <col min="21" max="22" width="7.83203125" style="1" customWidth="1"/>
    <col min="23" max="23" width="7.1640625" style="1" customWidth="1"/>
    <col min="24" max="24" width="6.6640625" style="1" customWidth="1"/>
    <col min="25" max="31" width="7.83203125" style="1" customWidth="1"/>
    <col min="32" max="32" width="5.1640625" style="1" customWidth="1"/>
    <col min="33" max="35" width="10.1640625" style="1" customWidth="1"/>
    <col min="36" max="16384" width="9.33203125" style="1"/>
  </cols>
  <sheetData>
    <row r="1" spans="2:26" ht="8.25" customHeight="1" thickBot="1"/>
    <row r="2" spans="2:26" ht="22.5" customHeight="1" thickTop="1" thickBot="1">
      <c r="B2" s="415" t="s">
        <v>261</v>
      </c>
      <c r="C2" s="416"/>
      <c r="D2" s="416"/>
      <c r="E2" s="416"/>
      <c r="F2" s="416"/>
      <c r="G2" s="416"/>
      <c r="H2" s="416"/>
      <c r="I2" s="417"/>
      <c r="J2" s="387" t="s">
        <v>272</v>
      </c>
    </row>
    <row r="3" spans="2:26" s="4" customFormat="1" ht="8.25" customHeight="1" thickTop="1">
      <c r="B3" s="238"/>
      <c r="C3" s="239"/>
      <c r="D3" s="239"/>
      <c r="E3" s="239"/>
      <c r="F3" s="239"/>
      <c r="G3" s="239"/>
      <c r="H3" s="239"/>
      <c r="I3" s="239"/>
      <c r="J3" s="240"/>
    </row>
    <row r="4" spans="2:26" ht="17.25" customHeight="1">
      <c r="B4" s="11" t="s">
        <v>271</v>
      </c>
      <c r="J4" s="272"/>
      <c r="K4" s="273"/>
      <c r="L4" s="274"/>
      <c r="M4" s="194" t="s">
        <v>328</v>
      </c>
      <c r="N4" s="195"/>
      <c r="O4" s="195"/>
      <c r="P4" s="194" t="s">
        <v>329</v>
      </c>
      <c r="Q4" s="195"/>
      <c r="R4" s="195"/>
      <c r="S4" s="194"/>
      <c r="T4" s="354" t="str">
        <f>D11</f>
        <v>H10</v>
      </c>
      <c r="U4" s="269"/>
    </row>
    <row r="5" spans="2:26" ht="22.5">
      <c r="B5" s="182" t="s">
        <v>269</v>
      </c>
      <c r="J5" s="270"/>
      <c r="K5" s="271"/>
      <c r="L5" s="271"/>
      <c r="M5" s="252" t="s">
        <v>268</v>
      </c>
      <c r="N5" s="412" t="s">
        <v>44</v>
      </c>
      <c r="O5" s="411" t="s">
        <v>45</v>
      </c>
      <c r="P5" s="252" t="s">
        <v>268</v>
      </c>
      <c r="Q5" s="412" t="s">
        <v>44</v>
      </c>
      <c r="R5" s="411" t="s">
        <v>45</v>
      </c>
      <c r="S5" s="252" t="s">
        <v>268</v>
      </c>
      <c r="T5" s="412" t="s">
        <v>44</v>
      </c>
      <c r="U5" s="411" t="s">
        <v>45</v>
      </c>
      <c r="V5" s="1" t="s">
        <v>315</v>
      </c>
    </row>
    <row r="6" spans="2:26">
      <c r="B6" s="182" t="s">
        <v>266</v>
      </c>
      <c r="J6" s="196" t="s">
        <v>206</v>
      </c>
      <c r="K6" s="197"/>
      <c r="L6" s="197" t="s">
        <v>207</v>
      </c>
      <c r="M6" s="253">
        <v>19690000</v>
      </c>
      <c r="N6" s="192">
        <v>812455</v>
      </c>
      <c r="O6" s="254">
        <v>4.13</v>
      </c>
      <c r="P6" s="253">
        <v>8141663.0516545996</v>
      </c>
      <c r="Q6" s="192">
        <v>780681.81828473613</v>
      </c>
      <c r="R6" s="254">
        <f t="shared" ref="R6:R13" si="0">Q6/P6*100</f>
        <v>9.5887266929584012</v>
      </c>
      <c r="S6" s="260">
        <f>(K28+K30+K32+K33+K36+K39+K42)/1000*G17*世帯</f>
        <v>9607644.2981064003</v>
      </c>
      <c r="T6" s="261">
        <f>P56+P85+P101</f>
        <v>921250.75337702408</v>
      </c>
      <c r="U6" s="262">
        <f>T6/S6*100</f>
        <v>9.5887266929583994</v>
      </c>
      <c r="V6" s="191" t="s">
        <v>291</v>
      </c>
    </row>
    <row r="7" spans="2:26">
      <c r="B7" s="182" t="s">
        <v>295</v>
      </c>
      <c r="J7" s="198" t="s">
        <v>208</v>
      </c>
      <c r="K7" s="199"/>
      <c r="L7" s="201" t="s">
        <v>209</v>
      </c>
      <c r="M7" s="255">
        <v>216604000</v>
      </c>
      <c r="N7" s="137">
        <v>5462006</v>
      </c>
      <c r="O7" s="256">
        <v>2.52</v>
      </c>
      <c r="P7" s="255">
        <v>259132000</v>
      </c>
      <c r="Q7" s="137">
        <v>3730432.7105187001</v>
      </c>
      <c r="R7" s="256">
        <f t="shared" si="0"/>
        <v>1.4395878203072952</v>
      </c>
      <c r="S7" s="263">
        <f>INDEX(E105:E134,MATCH(T4,B105:B134,0),1)*1000</f>
        <v>288070000</v>
      </c>
      <c r="T7" s="264">
        <f>Q56+Q85+Q101</f>
        <v>3950250.055210799</v>
      </c>
      <c r="U7" s="265">
        <f t="shared" ref="U7:U13" si="1">T7/S7*100</f>
        <v>1.3712813049643486</v>
      </c>
      <c r="V7" s="191" t="s">
        <v>289</v>
      </c>
    </row>
    <row r="8" spans="2:26">
      <c r="B8" s="182" t="s">
        <v>270</v>
      </c>
      <c r="J8" s="200" t="s">
        <v>210</v>
      </c>
      <c r="K8" s="201"/>
      <c r="L8" s="201" t="s">
        <v>211</v>
      </c>
      <c r="M8" s="255">
        <v>788035</v>
      </c>
      <c r="N8" s="137">
        <v>75451</v>
      </c>
      <c r="O8" s="256">
        <v>9.57</v>
      </c>
      <c r="P8" s="255">
        <v>834817</v>
      </c>
      <c r="Q8" s="137">
        <v>72756.818358086821</v>
      </c>
      <c r="R8" s="256">
        <f t="shared" si="0"/>
        <v>8.715301480215043</v>
      </c>
      <c r="S8" s="263">
        <f>INDEX(G105:G134,MATCH(T4,B105:B134,0),1)</f>
        <v>944331</v>
      </c>
      <c r="T8" s="264">
        <f>R56+R85+R101</f>
        <v>84394.109120251218</v>
      </c>
      <c r="U8" s="265">
        <f t="shared" si="1"/>
        <v>8.9369203298685758</v>
      </c>
      <c r="V8" s="191" t="s">
        <v>313</v>
      </c>
    </row>
    <row r="9" spans="2:26">
      <c r="C9" s="182" t="s">
        <v>267</v>
      </c>
      <c r="J9" s="200" t="s">
        <v>212</v>
      </c>
      <c r="K9" s="201"/>
      <c r="L9" s="413" t="s">
        <v>218</v>
      </c>
      <c r="M9" s="255">
        <v>39360000</v>
      </c>
      <c r="N9" s="137">
        <v>637411</v>
      </c>
      <c r="O9" s="256">
        <v>1.62</v>
      </c>
      <c r="P9" s="255">
        <v>28393395.666966997</v>
      </c>
      <c r="Q9" s="137">
        <v>515179.75795859745</v>
      </c>
      <c r="R9" s="256">
        <f t="shared" si="0"/>
        <v>1.814435173592005</v>
      </c>
      <c r="S9" s="263">
        <f>INDEX(P105:P134,MATCH(T4,B105:B134,0),1)*1000000*I18+INDEX(U105:U134,MATCH(T4,B105:B134,0),1)*1000*K18+INDEX(V105:V134,MATCH(T4,B105:B134,0),1)*1000*L18</f>
        <v>38584154.178686999</v>
      </c>
      <c r="T9" s="264">
        <f>S56+S85+S101</f>
        <v>586557.87607233308</v>
      </c>
      <c r="U9" s="265">
        <f t="shared" si="1"/>
        <v>1.5202040541200568</v>
      </c>
      <c r="V9" s="191" t="s">
        <v>291</v>
      </c>
    </row>
    <row r="10" spans="2:26">
      <c r="D10" s="275" t="s">
        <v>258</v>
      </c>
      <c r="E10" s="276" t="s">
        <v>259</v>
      </c>
      <c r="F10" s="277" t="s">
        <v>260</v>
      </c>
      <c r="J10" s="198" t="s">
        <v>213</v>
      </c>
      <c r="K10" s="199"/>
      <c r="L10" s="201" t="s">
        <v>214</v>
      </c>
      <c r="M10" s="255">
        <v>3668000</v>
      </c>
      <c r="N10" s="137">
        <v>52632</v>
      </c>
      <c r="O10" s="256">
        <v>1.43</v>
      </c>
      <c r="P10" s="255">
        <v>2076068.3085583495</v>
      </c>
      <c r="Q10" s="137">
        <v>31287.830913637772</v>
      </c>
      <c r="R10" s="256">
        <f t="shared" si="0"/>
        <v>1.5070713610268669</v>
      </c>
      <c r="S10" s="263">
        <f>(K28+K30+K32+K33+K36)/1000*世帯*G19+INDEX(E105:E134,MATCH(T4,B105:B134,0),1)*1000*M19+INDEX(E105:E134,MATCH(T4,B105:B134,0),1)*1000*N19+INDEX(I105:I134,MATCH(T4,B105:B134,0),1)*365*H19+INDEX(P105:P134,MATCH(T4,B105:B134,0),1)*1000000*I19+INDEX(U105:U134,MATCH(T4,B105:B134,0),1)*1000000*K19+INDEX(V105:V134,MATCH(T4,B105:B134,0),1)*1000*L19</f>
        <v>2821097.9918452543</v>
      </c>
      <c r="T10" s="264">
        <f>T56+T85+T101</f>
        <v>35553.190334730149</v>
      </c>
      <c r="U10" s="265">
        <f t="shared" si="1"/>
        <v>1.2602607366883818</v>
      </c>
      <c r="V10" s="191" t="s">
        <v>291</v>
      </c>
    </row>
    <row r="11" spans="2:26">
      <c r="D11" s="278" t="s">
        <v>228</v>
      </c>
      <c r="E11" s="279">
        <f>INDEX(D105:D134,MATCH(D11,B105:B134,0),1)*1000</f>
        <v>813036</v>
      </c>
      <c r="F11" s="414">
        <f>INDEX(C105:C134,MATCH(D11,B105:B134,0),1)*1000</f>
        <v>2347560</v>
      </c>
      <c r="J11" s="200" t="s">
        <v>216</v>
      </c>
      <c r="K11" s="201"/>
      <c r="L11" s="201" t="s">
        <v>211</v>
      </c>
      <c r="M11" s="255">
        <v>29742</v>
      </c>
      <c r="N11" s="137">
        <v>328</v>
      </c>
      <c r="O11" s="256">
        <v>1.1000000000000001</v>
      </c>
      <c r="P11" s="255">
        <v>9820.1749965768795</v>
      </c>
      <c r="Q11" s="137">
        <v>178.34942804530965</v>
      </c>
      <c r="R11" s="256">
        <f t="shared" si="0"/>
        <v>1.8161532570191343</v>
      </c>
      <c r="S11" s="263">
        <f>(K28+K30+K32+K33+K36+K39)/1000*G20*世帯+S8*H20+INDEX(P105:P134,MATCH(T4,B105:B134,0),1)*1000000*I20+INDEX(U105:U134,MATCH(T4,B105:B134,0),1)*1000000*K20/10000+INDEX(V105:V134,MATCH(T4,B105:B134,0),1)*L20+S7*M20+S7*N20</f>
        <v>13100.778121378667</v>
      </c>
      <c r="T11" s="264">
        <f>U56+U85+U101</f>
        <v>201.99904347779153</v>
      </c>
      <c r="U11" s="265">
        <f>T11/S11*100</f>
        <v>1.541885845300722</v>
      </c>
      <c r="V11" s="191" t="s">
        <v>292</v>
      </c>
      <c r="Z11" s="264">
        <f>INDEX(K105:K134,MATCH(T4,B105:B134,0),1)</f>
        <v>15486.981473584508</v>
      </c>
    </row>
    <row r="12" spans="2:26">
      <c r="D12" s="408" t="s">
        <v>288</v>
      </c>
      <c r="J12" s="198" t="s">
        <v>215</v>
      </c>
      <c r="K12" s="199"/>
      <c r="L12" s="201" t="s">
        <v>211</v>
      </c>
      <c r="M12" s="255">
        <v>10475</v>
      </c>
      <c r="N12" s="137">
        <v>113</v>
      </c>
      <c r="O12" s="256">
        <v>1.08</v>
      </c>
      <c r="P12" s="255">
        <v>5708.3491451696636</v>
      </c>
      <c r="Q12" s="137">
        <v>116.54884994180904</v>
      </c>
      <c r="R12" s="256">
        <f t="shared" si="0"/>
        <v>2.041726022319978</v>
      </c>
      <c r="S12" s="263">
        <f>(K28+K30+K32+K33+K36+K39)/1000*G21*世帯+S8*H21+INDEX(P105:P134,MATCH(T4,B105:B134,0),1)*1000000*I21+INDEX(U105:U134,MATCH(T4,B105:B134,0),1)*1000000*K21/10000+INDEX(V105:V134,MATCH(T4,B105:B134,0),1)*L21+S7*M21+S7*N21</f>
        <v>7543.2577919999476</v>
      </c>
      <c r="T12" s="264">
        <f>V56+V85+V101</f>
        <v>132.29575816843686</v>
      </c>
      <c r="U12" s="265">
        <f t="shared" si="1"/>
        <v>1.7538278793645896</v>
      </c>
      <c r="V12" s="191" t="s">
        <v>292</v>
      </c>
      <c r="Z12" s="264">
        <f>INDEX(J105:J134,MATCH(T4,B105:B134,0),1)</f>
        <v>11096.451389636868</v>
      </c>
    </row>
    <row r="13" spans="2:26">
      <c r="D13" s="408" t="s">
        <v>273</v>
      </c>
      <c r="J13" s="202" t="s">
        <v>217</v>
      </c>
      <c r="K13" s="203"/>
      <c r="L13" s="251" t="s">
        <v>211</v>
      </c>
      <c r="M13" s="257">
        <v>20083</v>
      </c>
      <c r="N13" s="258">
        <v>8902</v>
      </c>
      <c r="O13" s="259">
        <v>44.33</v>
      </c>
      <c r="P13" s="257">
        <v>30923.187908311796</v>
      </c>
      <c r="Q13" s="258">
        <v>8594.4977788241795</v>
      </c>
      <c r="R13" s="259">
        <f t="shared" si="0"/>
        <v>27.793052269730822</v>
      </c>
      <c r="S13" s="266">
        <f>S7*S22*(100-INDEX(F105:F134,MATCH(T4,B105:B134,0),1))/100</f>
        <v>22048.299442983236</v>
      </c>
      <c r="T13" s="267">
        <f>W56+W85+W101</f>
        <v>10017.706079127118</v>
      </c>
      <c r="U13" s="268">
        <f t="shared" si="1"/>
        <v>45.435277695827935</v>
      </c>
      <c r="V13" s="191" t="s">
        <v>316</v>
      </c>
    </row>
    <row r="14" spans="2:26" ht="9.75" customHeight="1">
      <c r="J14" s="406" t="s">
        <v>293</v>
      </c>
      <c r="K14" s="407"/>
      <c r="L14" s="407"/>
      <c r="M14" s="407"/>
      <c r="N14" s="407"/>
      <c r="O14" s="407"/>
      <c r="P14" s="407"/>
      <c r="Q14" s="407"/>
      <c r="R14" s="407"/>
      <c r="S14" s="406" t="s">
        <v>294</v>
      </c>
    </row>
    <row r="15" spans="2:26" ht="15.75">
      <c r="C15" s="250" t="s">
        <v>262</v>
      </c>
      <c r="D15" s="11"/>
      <c r="F15" s="386" t="s">
        <v>245</v>
      </c>
    </row>
    <row r="16" spans="2:26" ht="38.25" customHeight="1">
      <c r="C16" s="331"/>
      <c r="D16" s="342"/>
      <c r="E16" s="338" t="s">
        <v>0</v>
      </c>
      <c r="F16" s="333" t="s">
        <v>249</v>
      </c>
      <c r="G16" s="334" t="s">
        <v>257</v>
      </c>
      <c r="H16" s="335" t="s">
        <v>1</v>
      </c>
      <c r="I16" s="332" t="s">
        <v>94</v>
      </c>
      <c r="J16" s="333" t="s">
        <v>95</v>
      </c>
      <c r="K16" s="333" t="s">
        <v>2</v>
      </c>
      <c r="L16" s="335" t="s">
        <v>93</v>
      </c>
      <c r="M16" s="336" t="s">
        <v>152</v>
      </c>
      <c r="N16" s="336" t="s">
        <v>153</v>
      </c>
      <c r="O16" s="333" t="s">
        <v>3</v>
      </c>
      <c r="P16" s="333" t="s">
        <v>73</v>
      </c>
      <c r="Q16" s="333" t="s">
        <v>75</v>
      </c>
      <c r="R16" s="333" t="s">
        <v>4</v>
      </c>
      <c r="S16" s="332" t="s">
        <v>250</v>
      </c>
      <c r="T16" s="332" t="s">
        <v>254</v>
      </c>
      <c r="U16" s="337" t="s">
        <v>255</v>
      </c>
    </row>
    <row r="17" spans="2:23" ht="12" customHeight="1">
      <c r="C17" s="327" t="s">
        <v>251</v>
      </c>
      <c r="D17" s="343"/>
      <c r="E17" s="339"/>
      <c r="F17" s="328">
        <v>20</v>
      </c>
      <c r="G17" s="328">
        <v>20</v>
      </c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30"/>
    </row>
    <row r="18" spans="2:23" ht="12" customHeight="1">
      <c r="C18" s="320" t="s">
        <v>309</v>
      </c>
      <c r="D18" s="344"/>
      <c r="E18" s="340">
        <f>((1*10^-6)/1)</f>
        <v>9.9999999999999995E-7</v>
      </c>
      <c r="F18" s="13">
        <f>((2523*10^-6)/1)</f>
        <v>2.5230000000000001E-3</v>
      </c>
      <c r="G18" s="13">
        <f>((3335*10^-6)/1)</f>
        <v>3.3349999999999999E-3</v>
      </c>
      <c r="H18" s="13"/>
      <c r="I18" s="13">
        <v>2.2499999999999998E-3</v>
      </c>
      <c r="J18" s="13">
        <v>9.9999999999999995E-7</v>
      </c>
      <c r="K18" s="13">
        <v>9.9999999999999995E-7</v>
      </c>
      <c r="L18" s="13">
        <v>8.3999999999999992E-6</v>
      </c>
      <c r="M18" s="13">
        <f>((M23*I18)/1)/1000</f>
        <v>8.0774999999999991E-7</v>
      </c>
      <c r="N18" s="13">
        <f>((N23*I18)/1)/1000</f>
        <v>1.1925E-6</v>
      </c>
      <c r="O18" s="13">
        <v>1.0690000000000001E-6</v>
      </c>
      <c r="P18" s="13">
        <v>5.1499999999999997E-2</v>
      </c>
      <c r="Q18" s="13">
        <v>2.9039999999999999E-3</v>
      </c>
      <c r="R18" s="12"/>
      <c r="S18" s="13"/>
      <c r="T18" s="12"/>
      <c r="U18" s="319"/>
    </row>
    <row r="19" spans="2:23" ht="12" customHeight="1">
      <c r="C19" s="321" t="s">
        <v>157</v>
      </c>
      <c r="D19" s="345"/>
      <c r="E19" s="340">
        <f>0.096*10^-6</f>
        <v>9.5999999999999999E-8</v>
      </c>
      <c r="F19" s="13">
        <f>E19*F18/E18</f>
        <v>2.4220800000000002E-4</v>
      </c>
      <c r="G19" s="13">
        <f>E19*G18/E18</f>
        <v>3.2016E-4</v>
      </c>
      <c r="H19" s="13">
        <f>0.219*10^0</f>
        <v>0.219</v>
      </c>
      <c r="I19" s="13">
        <f>110*10^-6</f>
        <v>1.0999999999999999E-4</v>
      </c>
      <c r="J19" s="13">
        <v>4.9000000000000002E-8</v>
      </c>
      <c r="K19" s="13">
        <v>5.8299999999999999E-8</v>
      </c>
      <c r="L19" s="13">
        <v>6.4300000000000002E-4</v>
      </c>
      <c r="M19" s="13">
        <f>M18*1000000*J19</f>
        <v>3.9579749999999994E-8</v>
      </c>
      <c r="N19" s="13">
        <f>N18*1000000*J19</f>
        <v>5.8432500000000011E-8</v>
      </c>
      <c r="O19" s="13"/>
      <c r="P19" s="13"/>
      <c r="Q19" s="13"/>
      <c r="R19" s="13">
        <v>2.7300000000000001E-6</v>
      </c>
      <c r="S19" s="13"/>
      <c r="T19" s="12"/>
      <c r="U19" s="319"/>
    </row>
    <row r="20" spans="2:23" ht="12" customHeight="1">
      <c r="C20" s="321" t="s">
        <v>97</v>
      </c>
      <c r="D20" s="345"/>
      <c r="E20" s="340">
        <f>0.002*10^-9</f>
        <v>2.0000000000000004E-12</v>
      </c>
      <c r="F20" s="13">
        <f>E20*F18/E18</f>
        <v>5.046000000000001E-9</v>
      </c>
      <c r="G20" s="13">
        <f>E20*G18/E18</f>
        <v>6.6700000000000012E-9</v>
      </c>
      <c r="H20" s="13">
        <f>1.283*10^-3</f>
        <v>1.2829999999999999E-3</v>
      </c>
      <c r="I20" s="13">
        <f>0.693*10^-6</f>
        <v>6.9299999999999987E-7</v>
      </c>
      <c r="J20" s="13">
        <v>3.0800000000000002E-10</v>
      </c>
      <c r="K20" s="13">
        <v>1.05E-10</v>
      </c>
      <c r="L20" s="13">
        <v>6.878E-6</v>
      </c>
      <c r="M20" s="13">
        <f>M18*1000000*J20</f>
        <v>2.4878699999999995E-10</v>
      </c>
      <c r="N20" s="13">
        <f>N18*1000000*J20</f>
        <v>3.6729000000000008E-10</v>
      </c>
      <c r="O20" s="13"/>
      <c r="P20" s="13"/>
      <c r="Q20" s="13"/>
      <c r="R20" s="13">
        <v>2.0000000000000001E-9</v>
      </c>
      <c r="S20" s="13"/>
      <c r="T20" s="12"/>
      <c r="U20" s="319"/>
    </row>
    <row r="21" spans="2:23" ht="12" customHeight="1">
      <c r="C21" s="321" t="s">
        <v>96</v>
      </c>
      <c r="D21" s="345"/>
      <c r="E21" s="340">
        <f>0.008*10^-9</f>
        <v>8.0000000000000015E-12</v>
      </c>
      <c r="F21" s="13">
        <f>E21*F18/E18</f>
        <v>2.0184000000000004E-8</v>
      </c>
      <c r="G21" s="13">
        <f>E21*G18/E18</f>
        <v>2.6680000000000005E-8</v>
      </c>
      <c r="H21" s="13">
        <f>1.125*10^-3</f>
        <v>1.1250000000000001E-3</v>
      </c>
      <c r="I21" s="13">
        <f>0.378*10^-6</f>
        <v>3.7799999999999997E-7</v>
      </c>
      <c r="J21" s="13">
        <v>1.6799999999999999E-10</v>
      </c>
      <c r="K21" s="13">
        <v>3.9999999999999998E-11</v>
      </c>
      <c r="L21" s="13">
        <v>2.6600000000000003E-7</v>
      </c>
      <c r="M21" s="13">
        <f>M18*1000000*J21</f>
        <v>1.3570199999999997E-10</v>
      </c>
      <c r="N21" s="13">
        <f>N18*1000000*J21</f>
        <v>2.0034E-10</v>
      </c>
      <c r="O21" s="13"/>
      <c r="P21" s="13"/>
      <c r="Q21" s="13"/>
      <c r="R21" s="13">
        <v>2.0000000000000001E-9</v>
      </c>
      <c r="S21" s="13"/>
      <c r="T21" s="12"/>
      <c r="U21" s="319"/>
    </row>
    <row r="22" spans="2:23" ht="12" customHeight="1">
      <c r="C22" s="320" t="s">
        <v>98</v>
      </c>
      <c r="D22" s="344"/>
      <c r="E22" s="340"/>
      <c r="F22" s="13"/>
      <c r="G22" s="13">
        <f>175/1000</f>
        <v>0.17499999999999999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>
        <f>2*10^-4</f>
        <v>2.0000000000000001E-4</v>
      </c>
      <c r="T22" s="13">
        <f>1*1</f>
        <v>1</v>
      </c>
      <c r="U22" s="322">
        <f>3.5*10^4/1000000</f>
        <v>3.5000000000000003E-2</v>
      </c>
    </row>
    <row r="23" spans="2:23" ht="12" customHeight="1">
      <c r="C23" s="323" t="s">
        <v>65</v>
      </c>
      <c r="D23" s="346"/>
      <c r="E23" s="341"/>
      <c r="F23" s="324"/>
      <c r="G23" s="324"/>
      <c r="H23" s="324"/>
      <c r="I23" s="325">
        <v>1</v>
      </c>
      <c r="J23" s="325">
        <f>1/2250</f>
        <v>4.4444444444444447E-4</v>
      </c>
      <c r="K23" s="325">
        <f>1/2250</f>
        <v>4.4444444444444447E-4</v>
      </c>
      <c r="L23" s="325"/>
      <c r="M23" s="325">
        <v>0.35899999999999999</v>
      </c>
      <c r="N23" s="325">
        <v>0.53</v>
      </c>
      <c r="O23" s="324"/>
      <c r="P23" s="324"/>
      <c r="Q23" s="324"/>
      <c r="R23" s="325"/>
      <c r="S23" s="324"/>
      <c r="T23" s="324"/>
      <c r="U23" s="326"/>
    </row>
    <row r="24" spans="2:23" ht="6.75" customHeight="1"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3" ht="15.75">
      <c r="B25" s="11" t="s">
        <v>264</v>
      </c>
      <c r="I25" s="249" t="s">
        <v>287</v>
      </c>
      <c r="L25" s="7"/>
      <c r="M25" s="5"/>
      <c r="N25" s="6"/>
      <c r="O25" s="191" t="s">
        <v>274</v>
      </c>
      <c r="P25" s="7"/>
      <c r="Q25" s="176"/>
      <c r="R25" s="5"/>
      <c r="S25" s="6"/>
      <c r="T25" s="5"/>
      <c r="U25" s="7"/>
    </row>
    <row r="26" spans="2:23">
      <c r="C26" s="204" t="s">
        <v>9</v>
      </c>
      <c r="D26" s="205"/>
      <c r="E26" s="206"/>
      <c r="F26" s="207" t="s">
        <v>99</v>
      </c>
      <c r="G26" s="207"/>
      <c r="H26" s="208"/>
      <c r="I26" s="209" t="s">
        <v>10</v>
      </c>
      <c r="J26" s="209"/>
      <c r="K26" s="209" t="s">
        <v>246</v>
      </c>
      <c r="L26" s="209"/>
      <c r="M26" s="210" t="s">
        <v>247</v>
      </c>
      <c r="N26" s="210"/>
      <c r="O26" s="210" t="s">
        <v>13</v>
      </c>
      <c r="P26" s="210" t="s">
        <v>6</v>
      </c>
      <c r="Q26" s="210" t="s">
        <v>14</v>
      </c>
      <c r="R26" s="210" t="s">
        <v>15</v>
      </c>
      <c r="S26" s="210" t="s">
        <v>66</v>
      </c>
      <c r="T26" s="211" t="s">
        <v>89</v>
      </c>
      <c r="U26" s="211" t="s">
        <v>91</v>
      </c>
      <c r="V26" s="211" t="s">
        <v>90</v>
      </c>
      <c r="W26" s="210" t="s">
        <v>92</v>
      </c>
    </row>
    <row r="27" spans="2:23">
      <c r="C27" s="212"/>
      <c r="D27" s="197"/>
      <c r="E27" s="212"/>
      <c r="F27" s="213" t="s">
        <v>100</v>
      </c>
      <c r="G27" s="197"/>
      <c r="H27" s="214"/>
      <c r="I27" s="215"/>
      <c r="J27" s="215"/>
      <c r="K27" s="311" t="s">
        <v>275</v>
      </c>
      <c r="L27" s="215"/>
      <c r="M27" s="311" t="s">
        <v>275</v>
      </c>
      <c r="N27" s="215"/>
      <c r="O27" s="367" t="s">
        <v>16</v>
      </c>
      <c r="P27" s="368" t="s">
        <v>5</v>
      </c>
      <c r="Q27" s="367" t="s">
        <v>17</v>
      </c>
      <c r="R27" s="367" t="s">
        <v>8</v>
      </c>
      <c r="S27" s="369" t="s">
        <v>7</v>
      </c>
      <c r="T27" s="368" t="s">
        <v>248</v>
      </c>
      <c r="U27" s="368" t="s">
        <v>8</v>
      </c>
      <c r="V27" s="368" t="s">
        <v>8</v>
      </c>
      <c r="W27" s="368" t="s">
        <v>8</v>
      </c>
    </row>
    <row r="28" spans="2:23">
      <c r="B28" s="134">
        <v>1</v>
      </c>
      <c r="C28" s="204" t="s">
        <v>158</v>
      </c>
      <c r="D28" s="205"/>
      <c r="E28" s="66" t="s">
        <v>286</v>
      </c>
      <c r="F28" s="67"/>
      <c r="G28" s="67"/>
      <c r="H28" s="54"/>
      <c r="I28" s="34"/>
      <c r="J28" s="36"/>
      <c r="K28" s="37">
        <v>480</v>
      </c>
      <c r="L28" s="283" t="s">
        <v>277</v>
      </c>
      <c r="M28" s="97">
        <v>240</v>
      </c>
      <c r="N28" s="302" t="s">
        <v>276</v>
      </c>
      <c r="O28" s="35">
        <v>20</v>
      </c>
      <c r="P28" s="377">
        <f>M28/1000*F17</f>
        <v>4.8</v>
      </c>
      <c r="Q28" s="36"/>
      <c r="R28" s="142">
        <f>M28/1000</f>
        <v>0.24</v>
      </c>
      <c r="S28" s="146">
        <f>M28*F18</f>
        <v>0.60552000000000006</v>
      </c>
      <c r="T28" s="146">
        <f>M28/1000*F19</f>
        <v>5.8129920000000002E-5</v>
      </c>
      <c r="U28" s="146">
        <f>M28/1000*F20</f>
        <v>1.2110400000000002E-9</v>
      </c>
      <c r="V28" s="146">
        <f>M28/1000*F21</f>
        <v>4.8441600000000008E-9</v>
      </c>
      <c r="W28" s="142">
        <f>M28/1000*G22</f>
        <v>4.1999999999999996E-2</v>
      </c>
    </row>
    <row r="29" spans="2:23">
      <c r="B29" s="134"/>
      <c r="C29" s="212"/>
      <c r="D29" s="197"/>
      <c r="E29" s="65" t="s">
        <v>19</v>
      </c>
      <c r="F29" s="68"/>
      <c r="G29" s="68"/>
      <c r="H29" s="53"/>
      <c r="I29" s="20"/>
      <c r="J29" s="23"/>
      <c r="K29" s="23"/>
      <c r="L29" s="284"/>
      <c r="M29" s="23"/>
      <c r="N29" s="303"/>
      <c r="O29" s="21"/>
      <c r="P29" s="121"/>
      <c r="Q29" s="23"/>
      <c r="R29" s="30"/>
      <c r="S29" s="28"/>
      <c r="T29" s="105">
        <f>M28/1000*H19</f>
        <v>5.2559999999999996E-2</v>
      </c>
      <c r="U29" s="147">
        <f>M28/1000*H20</f>
        <v>3.0791999999999994E-4</v>
      </c>
      <c r="V29" s="147">
        <f>M28/1000*H21</f>
        <v>2.7E-4</v>
      </c>
      <c r="W29" s="28"/>
    </row>
    <row r="30" spans="2:23">
      <c r="B30" s="134">
        <v>2</v>
      </c>
      <c r="C30" s="204" t="s">
        <v>159</v>
      </c>
      <c r="D30" s="205"/>
      <c r="E30" s="66" t="s">
        <v>84</v>
      </c>
      <c r="F30" s="67"/>
      <c r="G30" s="67"/>
      <c r="H30" s="54"/>
      <c r="I30" s="34">
        <v>0.03</v>
      </c>
      <c r="J30" s="128" t="s">
        <v>252</v>
      </c>
      <c r="K30" s="97">
        <f>430*I30</f>
        <v>12.9</v>
      </c>
      <c r="L30" s="285" t="s">
        <v>276</v>
      </c>
      <c r="M30" s="97">
        <f>K30/2</f>
        <v>6.45</v>
      </c>
      <c r="N30" s="302" t="s">
        <v>276</v>
      </c>
      <c r="O30" s="35">
        <v>20</v>
      </c>
      <c r="P30" s="149">
        <f>M30/1000*F17</f>
        <v>0.129</v>
      </c>
      <c r="Q30" s="36"/>
      <c r="R30" s="148">
        <f>M30/1000</f>
        <v>6.45E-3</v>
      </c>
      <c r="S30" s="146">
        <f>M30*F18</f>
        <v>1.6273350000000002E-2</v>
      </c>
      <c r="T30" s="146">
        <f>M30/1000*F19</f>
        <v>1.5622416000000002E-6</v>
      </c>
      <c r="U30" s="146">
        <f>M30/1000*F20</f>
        <v>3.2546700000000008E-11</v>
      </c>
      <c r="V30" s="146">
        <f>M30/1000*F21</f>
        <v>1.3018680000000003E-10</v>
      </c>
      <c r="W30" s="146">
        <f>M30/1000*G22</f>
        <v>1.12875E-3</v>
      </c>
    </row>
    <row r="31" spans="2:23">
      <c r="B31" s="134"/>
      <c r="C31" s="212"/>
      <c r="D31" s="197"/>
      <c r="E31" s="65" t="s">
        <v>85</v>
      </c>
      <c r="F31" s="68"/>
      <c r="G31" s="68"/>
      <c r="H31" s="53"/>
      <c r="I31" s="20"/>
      <c r="J31" s="135"/>
      <c r="K31" s="20"/>
      <c r="L31" s="286"/>
      <c r="M31" s="20"/>
      <c r="N31" s="286"/>
      <c r="O31" s="21"/>
      <c r="P31" s="378"/>
      <c r="Q31" s="23"/>
      <c r="R31" s="30"/>
      <c r="S31" s="147">
        <f>M30*F18</f>
        <v>1.6273350000000002E-2</v>
      </c>
      <c r="T31" s="143">
        <f>M30/1000*H19</f>
        <v>1.41255E-3</v>
      </c>
      <c r="U31" s="147">
        <f>M30/1000*H20</f>
        <v>8.2753499999999986E-6</v>
      </c>
      <c r="V31" s="147">
        <f>M30/1000*H21</f>
        <v>7.256250000000001E-6</v>
      </c>
      <c r="W31" s="22"/>
    </row>
    <row r="32" spans="2:23">
      <c r="B32" s="134">
        <v>3</v>
      </c>
      <c r="C32" s="217" t="s">
        <v>160</v>
      </c>
      <c r="D32" s="201"/>
      <c r="E32" s="69" t="s">
        <v>20</v>
      </c>
      <c r="F32" s="70"/>
      <c r="G32" s="70"/>
      <c r="H32" s="55"/>
      <c r="I32" s="14"/>
      <c r="J32" s="16"/>
      <c r="K32" s="14">
        <v>75</v>
      </c>
      <c r="L32" s="287" t="s">
        <v>276</v>
      </c>
      <c r="M32" s="101">
        <f>K32*0.3</f>
        <v>22.5</v>
      </c>
      <c r="N32" s="304" t="s">
        <v>276</v>
      </c>
      <c r="O32" s="15">
        <v>20</v>
      </c>
      <c r="P32" s="149">
        <f>M32/1000*F17</f>
        <v>0.44999999999999996</v>
      </c>
      <c r="Q32" s="36"/>
      <c r="R32" s="142">
        <f>M32/1000</f>
        <v>2.2499999999999999E-2</v>
      </c>
      <c r="S32" s="146">
        <f>M32*F18</f>
        <v>5.6767499999999999E-2</v>
      </c>
      <c r="T32" s="146">
        <f>M32/1000*F19</f>
        <v>5.44968E-6</v>
      </c>
      <c r="U32" s="146">
        <f>M32/1000*F20</f>
        <v>1.1353500000000001E-10</v>
      </c>
      <c r="V32" s="146">
        <f>M32/1000*F21</f>
        <v>4.5414000000000005E-10</v>
      </c>
      <c r="W32" s="146">
        <f>M32/1000*G22</f>
        <v>3.9375E-3</v>
      </c>
    </row>
    <row r="33" spans="2:23">
      <c r="B33" s="134">
        <v>4</v>
      </c>
      <c r="C33" s="204" t="s">
        <v>161</v>
      </c>
      <c r="D33" s="205"/>
      <c r="E33" s="71" t="s">
        <v>86</v>
      </c>
      <c r="F33" s="72"/>
      <c r="G33" s="72"/>
      <c r="H33" s="56"/>
      <c r="I33" s="37">
        <v>5.0000000000000001E-3</v>
      </c>
      <c r="J33" s="128" t="s">
        <v>117</v>
      </c>
      <c r="K33" s="37">
        <v>11.34</v>
      </c>
      <c r="L33" s="288" t="s">
        <v>277</v>
      </c>
      <c r="M33" s="97">
        <f>K33*0.3</f>
        <v>3.4019999999999997</v>
      </c>
      <c r="N33" s="305" t="s">
        <v>276</v>
      </c>
      <c r="O33" s="38">
        <v>20</v>
      </c>
      <c r="P33" s="149">
        <f>M33/1000*G17</f>
        <v>6.8039999999999989E-2</v>
      </c>
      <c r="Q33" s="39"/>
      <c r="R33" s="148">
        <f>M33/1000</f>
        <v>3.4019999999999996E-3</v>
      </c>
      <c r="S33" s="149">
        <f>M33*(G18+H18)</f>
        <v>1.1345669999999999E-2</v>
      </c>
      <c r="T33" s="144">
        <f>M33/1000*(G19+H19)</f>
        <v>7.4612718431999998E-4</v>
      </c>
      <c r="U33" s="146">
        <f>M33/1000*(G20+H20)</f>
        <v>4.3647886913399989E-6</v>
      </c>
      <c r="V33" s="146">
        <f>M33/1000*(G21+H21)</f>
        <v>3.8273407653600002E-6</v>
      </c>
      <c r="W33" s="146">
        <f>M33/1000*G22</f>
        <v>5.9534999999999992E-4</v>
      </c>
    </row>
    <row r="34" spans="2:23">
      <c r="B34" s="134"/>
      <c r="C34" s="218" t="s">
        <v>101</v>
      </c>
      <c r="D34" s="219"/>
      <c r="E34" s="396" t="s">
        <v>278</v>
      </c>
      <c r="F34" s="10"/>
      <c r="G34" s="10"/>
      <c r="H34" s="57"/>
      <c r="I34" s="90">
        <v>2.5000000000000001E-2</v>
      </c>
      <c r="J34" s="129" t="s">
        <v>118</v>
      </c>
      <c r="K34" s="102">
        <f>M33/I33*I34</f>
        <v>17.010000000000002</v>
      </c>
      <c r="L34" s="289" t="s">
        <v>277</v>
      </c>
      <c r="N34" s="306"/>
      <c r="O34" s="40">
        <v>20</v>
      </c>
      <c r="P34" s="379"/>
      <c r="Q34" s="42"/>
      <c r="R34" s="151">
        <f>-K34*I34/1000</f>
        <v>-4.2525000000000006E-4</v>
      </c>
      <c r="S34" s="41"/>
      <c r="T34" s="41"/>
      <c r="U34" s="43"/>
      <c r="V34" s="43"/>
      <c r="W34" s="43"/>
    </row>
    <row r="35" spans="2:23">
      <c r="B35" s="134"/>
      <c r="C35" s="220"/>
      <c r="D35" s="221"/>
      <c r="E35" s="73" t="s">
        <v>284</v>
      </c>
      <c r="F35" s="74"/>
      <c r="G35" s="74"/>
      <c r="H35" s="58"/>
      <c r="I35" s="91">
        <v>120</v>
      </c>
      <c r="J35" s="129" t="s">
        <v>120</v>
      </c>
      <c r="K35" s="317">
        <f>-I35*K34*I34/4</f>
        <v>-12.757500000000002</v>
      </c>
      <c r="L35" s="290" t="s">
        <v>279</v>
      </c>
      <c r="M35" s="318">
        <f>K35</f>
        <v>-12.757500000000002</v>
      </c>
      <c r="N35" s="290" t="s">
        <v>279</v>
      </c>
      <c r="O35" s="24">
        <v>20</v>
      </c>
      <c r="P35" s="380"/>
      <c r="Q35" s="317">
        <f>K35</f>
        <v>-12.757500000000002</v>
      </c>
      <c r="R35" s="25"/>
      <c r="S35" s="145">
        <f>Q35*(M18+N18)</f>
        <v>-2.5518189375000004E-5</v>
      </c>
      <c r="T35" s="145">
        <f>Q35*(M19+N19)</f>
        <v>-1.2503912793750003E-6</v>
      </c>
      <c r="U35" s="145">
        <f>Q35*(M20+N20)</f>
        <v>-7.8596023275000028E-9</v>
      </c>
      <c r="V35" s="145">
        <f>Q35*(M21+N21)</f>
        <v>-4.2870558150000008E-9</v>
      </c>
      <c r="W35" s="26"/>
    </row>
    <row r="36" spans="2:23">
      <c r="B36" s="134">
        <v>5</v>
      </c>
      <c r="C36" s="204" t="s">
        <v>162</v>
      </c>
      <c r="D36" s="205"/>
      <c r="E36" s="66" t="s">
        <v>21</v>
      </c>
      <c r="F36" s="67"/>
      <c r="G36" s="67"/>
      <c r="H36" s="54"/>
      <c r="I36" s="34">
        <v>3.8899999999999997E-2</v>
      </c>
      <c r="J36" s="128" t="s">
        <v>118</v>
      </c>
      <c r="K36" s="312">
        <f>I36*88.3</f>
        <v>3.4348699999999996</v>
      </c>
      <c r="L36" s="288" t="s">
        <v>277</v>
      </c>
      <c r="M36" s="312">
        <f>K36*4/5</f>
        <v>2.7478959999999999</v>
      </c>
      <c r="N36" s="302" t="s">
        <v>276</v>
      </c>
      <c r="O36" s="35">
        <v>20</v>
      </c>
      <c r="P36" s="149">
        <f>M36/1000*G17</f>
        <v>5.495792E-2</v>
      </c>
      <c r="Q36" s="39"/>
      <c r="R36" s="146">
        <f>M36/1000</f>
        <v>2.7478960000000001E-3</v>
      </c>
      <c r="S36" s="146">
        <f>M36*G18</f>
        <v>9.1642331599999984E-3</v>
      </c>
      <c r="T36" s="146">
        <f>M36/1000*(G19+H19)</f>
        <v>6.0266899038336006E-4</v>
      </c>
      <c r="U36" s="146">
        <f>M36/1000*(G20+H20)</f>
        <v>3.5255688964663196E-6</v>
      </c>
      <c r="V36" s="146">
        <f>M36/1000*(G21+H21)</f>
        <v>3.0914563138652808E-6</v>
      </c>
      <c r="W36" s="146">
        <f>M36/1000*G22</f>
        <v>4.8088180000000001E-4</v>
      </c>
    </row>
    <row r="37" spans="2:23">
      <c r="B37" s="134"/>
      <c r="C37" s="222" t="s">
        <v>102</v>
      </c>
      <c r="D37" s="223"/>
      <c r="E37" s="75" t="s">
        <v>285</v>
      </c>
      <c r="F37" s="9"/>
      <c r="G37" s="9"/>
      <c r="H37" s="59"/>
      <c r="I37" s="92">
        <v>7.5</v>
      </c>
      <c r="J37" s="129" t="s">
        <v>120</v>
      </c>
      <c r="K37" s="313">
        <f>-I37*88.3*4/5/1000</f>
        <v>-0.52979999999999994</v>
      </c>
      <c r="L37" s="291" t="s">
        <v>279</v>
      </c>
      <c r="M37" s="130">
        <f>K37*I37/1000</f>
        <v>-3.9734999999999996E-3</v>
      </c>
      <c r="N37" s="307" t="s">
        <v>279</v>
      </c>
      <c r="O37" s="44">
        <v>20</v>
      </c>
      <c r="P37" s="381"/>
      <c r="Q37" s="151">
        <f>M37</f>
        <v>-3.9734999999999996E-3</v>
      </c>
      <c r="R37" s="45"/>
      <c r="S37" s="151">
        <f>Q37*(M18+N18)</f>
        <v>-7.9479933749999986E-9</v>
      </c>
      <c r="T37" s="151">
        <f>Q37*(M19+N19)</f>
        <v>-3.8945167537499995E-10</v>
      </c>
      <c r="U37" s="151">
        <f>Q37*(M20+N20)</f>
        <v>-2.4479819595000003E-12</v>
      </c>
      <c r="V37" s="151">
        <f>Q37*(M21+N21)</f>
        <v>-1.3352628869999998E-12</v>
      </c>
      <c r="W37" s="151">
        <f>M37*S22</f>
        <v>-7.9469999999999999E-7</v>
      </c>
    </row>
    <row r="38" spans="2:23">
      <c r="B38" s="134"/>
      <c r="C38" s="212"/>
      <c r="D38" s="197"/>
      <c r="E38" s="76" t="s">
        <v>22</v>
      </c>
      <c r="F38" s="77"/>
      <c r="G38" s="77"/>
      <c r="H38" s="60"/>
      <c r="I38" s="93">
        <v>3.33</v>
      </c>
      <c r="J38" s="129" t="s">
        <v>148</v>
      </c>
      <c r="K38" s="316">
        <f>K37*1000*I38/1000</f>
        <v>-1.7642339999999999</v>
      </c>
      <c r="L38" s="292" t="s">
        <v>124</v>
      </c>
      <c r="M38" s="316">
        <f>K38</f>
        <v>-1.7642339999999999</v>
      </c>
      <c r="N38" s="292" t="s">
        <v>124</v>
      </c>
      <c r="O38" s="27">
        <v>20</v>
      </c>
      <c r="P38" s="382"/>
      <c r="Q38" s="29"/>
      <c r="R38" s="30"/>
      <c r="S38" s="145">
        <f>M38*I18</f>
        <v>-3.969526499999999E-3</v>
      </c>
      <c r="T38" s="145">
        <f>M38*J19</f>
        <v>-8.6447466000000003E-8</v>
      </c>
      <c r="U38" s="145">
        <f>M38*J20</f>
        <v>-5.4338407199999996E-10</v>
      </c>
      <c r="V38" s="145">
        <f>M38*J21</f>
        <v>-2.9639131199999998E-10</v>
      </c>
      <c r="W38" s="31"/>
    </row>
    <row r="39" spans="2:23">
      <c r="B39" s="134">
        <v>6</v>
      </c>
      <c r="C39" s="204" t="s">
        <v>163</v>
      </c>
      <c r="D39" s="205"/>
      <c r="E39" s="66" t="s">
        <v>70</v>
      </c>
      <c r="F39" s="67"/>
      <c r="G39" s="67"/>
      <c r="H39" s="54"/>
      <c r="I39" s="34">
        <v>3.27E-2</v>
      </c>
      <c r="J39" s="128" t="s">
        <v>116</v>
      </c>
      <c r="K39" s="312">
        <f>I39*125</f>
        <v>4.0875000000000004</v>
      </c>
      <c r="L39" s="293" t="s">
        <v>276</v>
      </c>
      <c r="M39" s="312">
        <f>K39*1</f>
        <v>4.0875000000000004</v>
      </c>
      <c r="N39" s="302" t="s">
        <v>276</v>
      </c>
      <c r="O39" s="35">
        <v>20</v>
      </c>
      <c r="P39" s="149">
        <f>M39/1000*F17</f>
        <v>8.1750000000000003E-2</v>
      </c>
      <c r="Q39" s="39"/>
      <c r="R39" s="148">
        <f>M39/1000</f>
        <v>4.0875E-3</v>
      </c>
      <c r="S39" s="149">
        <f>M39*F18</f>
        <v>1.0312762500000001E-2</v>
      </c>
      <c r="T39" s="144">
        <f>M39/1000*F19</f>
        <v>9.900252000000002E-7</v>
      </c>
      <c r="U39" s="146">
        <f>M39/1000*F20</f>
        <v>2.0625525000000002E-11</v>
      </c>
      <c r="V39" s="146">
        <f>M39/1000*F21</f>
        <v>8.250210000000001E-11</v>
      </c>
      <c r="W39" s="146">
        <f>M39/1000*G22</f>
        <v>7.1531249999999991E-4</v>
      </c>
    </row>
    <row r="40" spans="2:23">
      <c r="B40" s="134"/>
      <c r="C40" s="222"/>
      <c r="D40" s="223"/>
      <c r="E40" s="397" t="s">
        <v>67</v>
      </c>
      <c r="F40" s="8"/>
      <c r="G40" s="8"/>
      <c r="H40" s="61"/>
      <c r="I40" s="99">
        <f>7800*10^(-6)*2</f>
        <v>1.5599999999999999E-2</v>
      </c>
      <c r="J40" s="129" t="s">
        <v>149</v>
      </c>
      <c r="K40" s="130">
        <f>I40*125/1000</f>
        <v>1.9499999999999999E-3</v>
      </c>
      <c r="L40" s="294" t="s">
        <v>276</v>
      </c>
      <c r="M40" s="130">
        <f>-K40</f>
        <v>-1.9499999999999999E-3</v>
      </c>
      <c r="N40" s="308" t="s">
        <v>276</v>
      </c>
      <c r="O40" s="47">
        <v>20</v>
      </c>
      <c r="P40" s="381"/>
      <c r="Q40" s="151">
        <f>-50/1000000</f>
        <v>-5.0000000000000002E-5</v>
      </c>
      <c r="R40" s="45"/>
      <c r="S40" s="151">
        <f>Q40*(M18+N18)</f>
        <v>-1.0001250000000001E-10</v>
      </c>
      <c r="T40" s="151">
        <f>Q40*(M19+N19)</f>
        <v>-4.9006125000000003E-12</v>
      </c>
      <c r="U40" s="151">
        <f>Q40*(M20+N20)</f>
        <v>-3.0803850000000006E-14</v>
      </c>
      <c r="V40" s="151">
        <f>Q40*(M21+N21)</f>
        <v>-1.6802099999999999E-14</v>
      </c>
      <c r="W40" s="151">
        <f>M40/1000</f>
        <v>-1.95E-6</v>
      </c>
    </row>
    <row r="41" spans="2:23">
      <c r="B41" s="134"/>
      <c r="C41" s="212"/>
      <c r="D41" s="197"/>
      <c r="E41" s="65" t="s">
        <v>68</v>
      </c>
      <c r="F41" s="68"/>
      <c r="G41" s="68"/>
      <c r="H41" s="53"/>
      <c r="I41" s="20">
        <v>3.27E-2</v>
      </c>
      <c r="J41" s="129" t="s">
        <v>116</v>
      </c>
      <c r="K41" s="316">
        <f>I41*125</f>
        <v>4.0875000000000004</v>
      </c>
      <c r="L41" s="295" t="s">
        <v>276</v>
      </c>
      <c r="M41" s="316">
        <f>K41*1</f>
        <v>4.0875000000000004</v>
      </c>
      <c r="N41" s="303" t="s">
        <v>276</v>
      </c>
      <c r="O41" s="21">
        <v>20</v>
      </c>
      <c r="P41" s="382"/>
      <c r="Q41" s="29"/>
      <c r="R41" s="30"/>
      <c r="S41" s="28"/>
      <c r="T41" s="147">
        <f>M41/1000*H19</f>
        <v>8.9516249999999997E-4</v>
      </c>
      <c r="U41" s="147">
        <f>M41/1000*H20</f>
        <v>5.244262499999999E-6</v>
      </c>
      <c r="V41" s="147">
        <f>M41/1000*H21</f>
        <v>4.5984375000000008E-6</v>
      </c>
      <c r="W41" s="28"/>
    </row>
    <row r="42" spans="2:23">
      <c r="B42" s="134">
        <v>7</v>
      </c>
      <c r="C42" s="204" t="s">
        <v>164</v>
      </c>
      <c r="D42" s="205"/>
      <c r="E42" s="398" t="s">
        <v>69</v>
      </c>
      <c r="F42" s="78"/>
      <c r="G42" s="78"/>
      <c r="H42" s="62"/>
      <c r="I42" s="94">
        <v>3.27E-2</v>
      </c>
      <c r="J42" s="128" t="s">
        <v>116</v>
      </c>
      <c r="K42" s="315">
        <f>I42*125</f>
        <v>4.0875000000000004</v>
      </c>
      <c r="L42" s="296" t="s">
        <v>276</v>
      </c>
      <c r="M42" s="312">
        <f>K42</f>
        <v>4.0875000000000004</v>
      </c>
      <c r="N42" s="302" t="s">
        <v>276</v>
      </c>
      <c r="O42" s="35">
        <v>20</v>
      </c>
      <c r="P42" s="149">
        <f>M42/1000*G17</f>
        <v>8.1750000000000003E-2</v>
      </c>
      <c r="Q42" s="164"/>
      <c r="R42" s="154">
        <f>M42/1000</f>
        <v>4.0875E-3</v>
      </c>
      <c r="S42" s="142">
        <f>2695*125/1000000</f>
        <v>0.33687499999999998</v>
      </c>
      <c r="T42" s="142">
        <f>S42*1000000*J19</f>
        <v>1.6506875000000001E-2</v>
      </c>
      <c r="U42" s="146">
        <f>S42*1000000*J20</f>
        <v>1.0375750000000001E-4</v>
      </c>
      <c r="V42" s="146">
        <f>S42*1000000*J21</f>
        <v>5.6594999999999996E-5</v>
      </c>
      <c r="W42" s="146">
        <f>M42/1000*G22</f>
        <v>7.1531249999999991E-4</v>
      </c>
    </row>
    <row r="43" spans="2:23">
      <c r="B43" s="134"/>
      <c r="C43" s="222"/>
      <c r="D43" s="223"/>
      <c r="E43" s="175" t="s">
        <v>87</v>
      </c>
      <c r="F43" s="2"/>
      <c r="G43" s="2"/>
      <c r="H43" s="63"/>
      <c r="I43" s="95">
        <v>0.35</v>
      </c>
      <c r="J43" s="129" t="s">
        <v>116</v>
      </c>
      <c r="K43" s="100">
        <f>I43*625/25</f>
        <v>8.75</v>
      </c>
      <c r="L43" s="297" t="s">
        <v>276</v>
      </c>
      <c r="M43" s="99">
        <f>-K43</f>
        <v>-8.75</v>
      </c>
      <c r="N43" s="308" t="s">
        <v>276</v>
      </c>
      <c r="O43" s="47">
        <v>20</v>
      </c>
      <c r="P43" s="372"/>
      <c r="Q43" s="165"/>
      <c r="R43" s="173">
        <f>M43/1000</f>
        <v>-8.7500000000000008E-3</v>
      </c>
      <c r="S43" s="150">
        <f>-512*625/1000000</f>
        <v>-0.32</v>
      </c>
      <c r="T43" s="150">
        <f>S43*1000000*J19</f>
        <v>-1.5679999999999999E-2</v>
      </c>
      <c r="U43" s="151">
        <f>S43*1000000*J20</f>
        <v>-9.8560000000000005E-5</v>
      </c>
      <c r="V43" s="151">
        <f>S43*1000000*J21</f>
        <v>-5.3759999999999994E-5</v>
      </c>
      <c r="W43" s="48"/>
    </row>
    <row r="44" spans="2:23">
      <c r="B44" s="134"/>
      <c r="C44" s="222"/>
      <c r="D44" s="223"/>
      <c r="E44" s="175" t="s">
        <v>88</v>
      </c>
      <c r="F44" s="2"/>
      <c r="G44" s="2"/>
      <c r="H44" s="63"/>
      <c r="I44" s="99">
        <f>7800*10^(-6)*1</f>
        <v>7.7999999999999996E-3</v>
      </c>
      <c r="J44" s="129" t="s">
        <v>149</v>
      </c>
      <c r="K44" s="130">
        <f>I44*625/1000</f>
        <v>4.875E-3</v>
      </c>
      <c r="L44" s="294" t="s">
        <v>276</v>
      </c>
      <c r="M44" s="130">
        <f>-K44</f>
        <v>-4.875E-3</v>
      </c>
      <c r="N44" s="308" t="s">
        <v>276</v>
      </c>
      <c r="O44" s="47">
        <v>20</v>
      </c>
      <c r="P44" s="372"/>
      <c r="Q44" s="173">
        <f>-100/1000000</f>
        <v>-1E-4</v>
      </c>
      <c r="R44" s="167"/>
      <c r="S44" s="172">
        <f>Q44*(M18+N18)</f>
        <v>-2.0002500000000001E-10</v>
      </c>
      <c r="T44" s="172">
        <f>Q44*(M19+N19)</f>
        <v>-9.8012250000000006E-12</v>
      </c>
      <c r="U44" s="172">
        <f>Q44*(M20+N20)</f>
        <v>-6.1607700000000012E-14</v>
      </c>
      <c r="V44" s="172">
        <f>Q44*(M21+N21)</f>
        <v>-3.3604199999999998E-14</v>
      </c>
      <c r="W44" s="151">
        <f>M44/1000</f>
        <v>-4.8749999999999999E-6</v>
      </c>
    </row>
    <row r="45" spans="2:23">
      <c r="B45" s="134"/>
      <c r="C45" s="212"/>
      <c r="D45" s="197"/>
      <c r="E45" s="65" t="s">
        <v>68</v>
      </c>
      <c r="F45" s="79"/>
      <c r="G45" s="79"/>
      <c r="H45" s="64"/>
      <c r="I45" s="96">
        <v>3.27E-2</v>
      </c>
      <c r="J45" s="129" t="s">
        <v>116</v>
      </c>
      <c r="K45" s="314">
        <f>I45*125</f>
        <v>4.0875000000000004</v>
      </c>
      <c r="L45" s="298" t="s">
        <v>276</v>
      </c>
      <c r="M45" s="316">
        <f>K45</f>
        <v>4.0875000000000004</v>
      </c>
      <c r="N45" s="303" t="s">
        <v>276</v>
      </c>
      <c r="O45" s="21">
        <v>20</v>
      </c>
      <c r="P45" s="373"/>
      <c r="Q45" s="155"/>
      <c r="R45" s="168"/>
      <c r="S45" s="169"/>
      <c r="T45" s="147">
        <f>M45/1000*H19</f>
        <v>8.9516249999999997E-4</v>
      </c>
      <c r="U45" s="147">
        <f>M45/1000*H20</f>
        <v>5.244262499999999E-6</v>
      </c>
      <c r="V45" s="147">
        <f>M45/1000*H21</f>
        <v>4.5984375000000008E-6</v>
      </c>
      <c r="W45" s="28"/>
    </row>
    <row r="46" spans="2:23">
      <c r="B46" s="134">
        <v>8</v>
      </c>
      <c r="C46" s="204" t="s">
        <v>165</v>
      </c>
      <c r="D46" s="205"/>
      <c r="E46" s="66" t="s">
        <v>23</v>
      </c>
      <c r="F46" s="67"/>
      <c r="G46" s="67"/>
      <c r="H46" s="54"/>
      <c r="I46" s="34">
        <v>0.35</v>
      </c>
      <c r="J46" s="128" t="s">
        <v>116</v>
      </c>
      <c r="K46" s="97">
        <f>I46*456</f>
        <v>159.6</v>
      </c>
      <c r="L46" s="285" t="s">
        <v>281</v>
      </c>
      <c r="M46" s="97">
        <f>K46</f>
        <v>159.6</v>
      </c>
      <c r="N46" s="309" t="s">
        <v>276</v>
      </c>
      <c r="O46" s="36">
        <v>20</v>
      </c>
      <c r="P46" s="374"/>
      <c r="Q46" s="164"/>
      <c r="R46" s="163">
        <f>M46/1000*(1-1/25)</f>
        <v>0.15321599999999999</v>
      </c>
      <c r="S46" s="164"/>
      <c r="T46" s="164"/>
      <c r="U46" s="164"/>
      <c r="V46" s="164"/>
      <c r="W46" s="51"/>
    </row>
    <row r="47" spans="2:23">
      <c r="B47" s="134"/>
      <c r="C47" s="222"/>
      <c r="D47" s="223"/>
      <c r="E47" s="80" t="s">
        <v>24</v>
      </c>
      <c r="F47" s="8"/>
      <c r="G47" s="8"/>
      <c r="H47" s="61"/>
      <c r="I47" s="46">
        <v>1.069</v>
      </c>
      <c r="J47" s="129" t="s">
        <v>121</v>
      </c>
      <c r="K47" s="46">
        <v>456</v>
      </c>
      <c r="L47" s="299" t="s">
        <v>280</v>
      </c>
      <c r="M47" s="131">
        <f>K47*I47*(1-1/25)</f>
        <v>467.96544</v>
      </c>
      <c r="N47" s="310" t="s">
        <v>282</v>
      </c>
      <c r="O47" s="49">
        <v>20</v>
      </c>
      <c r="P47" s="375"/>
      <c r="Q47" s="165"/>
      <c r="R47" s="165"/>
      <c r="S47" s="151">
        <f>M47/1000000</f>
        <v>4.6796544000000001E-4</v>
      </c>
      <c r="T47" s="151">
        <f>S47/I18*I19</f>
        <v>2.2878310400000001E-5</v>
      </c>
      <c r="U47" s="166">
        <f>S47/I18*I20</f>
        <v>1.4413335551999999E-7</v>
      </c>
      <c r="V47" s="166">
        <f>S47/I18*I21</f>
        <v>7.861819392E-8</v>
      </c>
      <c r="W47" s="52"/>
    </row>
    <row r="48" spans="2:23">
      <c r="B48" s="134"/>
      <c r="C48" s="212"/>
      <c r="D48" s="197"/>
      <c r="E48" s="81" t="s">
        <v>78</v>
      </c>
      <c r="F48" s="68"/>
      <c r="G48" s="68"/>
      <c r="H48" s="53"/>
      <c r="I48" s="20">
        <v>200</v>
      </c>
      <c r="J48" s="129" t="s">
        <v>150</v>
      </c>
      <c r="K48" s="20">
        <v>456</v>
      </c>
      <c r="L48" s="300" t="s">
        <v>280</v>
      </c>
      <c r="M48" s="98">
        <f>-K48*1*I48/1000000</f>
        <v>-9.1200000000000003E-2</v>
      </c>
      <c r="N48" s="303" t="s">
        <v>276</v>
      </c>
      <c r="O48" s="23">
        <v>20</v>
      </c>
      <c r="P48" s="371"/>
      <c r="Q48" s="155"/>
      <c r="R48" s="155"/>
      <c r="S48" s="155"/>
      <c r="T48" s="155"/>
      <c r="U48" s="155"/>
      <c r="V48" s="155"/>
      <c r="W48" s="152">
        <f>M48/1000</f>
        <v>-9.1200000000000008E-5</v>
      </c>
    </row>
    <row r="49" spans="2:23">
      <c r="B49" s="134">
        <v>9</v>
      </c>
      <c r="C49" s="204" t="s">
        <v>166</v>
      </c>
      <c r="D49" s="205"/>
      <c r="E49" s="66" t="s">
        <v>71</v>
      </c>
      <c r="F49" s="67"/>
      <c r="G49" s="67"/>
      <c r="H49" s="54"/>
      <c r="I49" s="34">
        <v>2.5000000000000001E-2</v>
      </c>
      <c r="J49" s="128" t="s">
        <v>116</v>
      </c>
      <c r="K49" s="97">
        <f>I49*K50</f>
        <v>4.25</v>
      </c>
      <c r="L49" s="293" t="s">
        <v>276</v>
      </c>
      <c r="M49" s="97">
        <f>K49</f>
        <v>4.25</v>
      </c>
      <c r="N49" s="309" t="s">
        <v>276</v>
      </c>
      <c r="O49" s="36">
        <v>20</v>
      </c>
      <c r="P49" s="374"/>
      <c r="Q49" s="164"/>
      <c r="R49" s="154">
        <f>M49/1000</f>
        <v>4.2500000000000003E-3</v>
      </c>
      <c r="S49" s="164"/>
      <c r="T49" s="164"/>
      <c r="U49" s="164"/>
      <c r="V49" s="164"/>
      <c r="W49" s="51"/>
    </row>
    <row r="50" spans="2:23">
      <c r="B50" s="134"/>
      <c r="C50" s="224"/>
      <c r="D50" s="225"/>
      <c r="E50" s="81" t="s">
        <v>74</v>
      </c>
      <c r="F50" s="68"/>
      <c r="G50" s="68"/>
      <c r="H50" s="53"/>
      <c r="I50" s="20">
        <v>2.5000000000000001E-2</v>
      </c>
      <c r="J50" s="129" t="s">
        <v>116</v>
      </c>
      <c r="K50" s="20">
        <v>170</v>
      </c>
      <c r="L50" s="300" t="s">
        <v>280</v>
      </c>
      <c r="M50" s="98">
        <f>I50*K50</f>
        <v>4.25</v>
      </c>
      <c r="N50" s="284" t="s">
        <v>276</v>
      </c>
      <c r="O50" s="23">
        <v>20</v>
      </c>
      <c r="P50" s="371"/>
      <c r="Q50" s="155"/>
      <c r="R50" s="155"/>
      <c r="S50" s="145">
        <f>M50/1000000*P18</f>
        <v>2.1887499999999998E-7</v>
      </c>
      <c r="T50" s="145">
        <f>S50/I18*I19</f>
        <v>1.0700555555555554E-8</v>
      </c>
      <c r="U50" s="156">
        <f>S50/I18*I20</f>
        <v>6.7413499999999994E-11</v>
      </c>
      <c r="V50" s="156">
        <f>S50/I18*I21</f>
        <v>3.6771000000000002E-11</v>
      </c>
      <c r="W50" s="33"/>
    </row>
    <row r="51" spans="2:23">
      <c r="B51" s="134">
        <v>10</v>
      </c>
      <c r="C51" s="204" t="s">
        <v>167</v>
      </c>
      <c r="D51" s="205"/>
      <c r="E51" s="82" t="s">
        <v>72</v>
      </c>
      <c r="F51" s="67"/>
      <c r="G51" s="67"/>
      <c r="H51" s="54"/>
      <c r="I51" s="34">
        <v>0.03</v>
      </c>
      <c r="J51" s="128" t="s">
        <v>116</v>
      </c>
      <c r="K51" s="97">
        <f>I51*K52</f>
        <v>13.11</v>
      </c>
      <c r="L51" s="293" t="s">
        <v>276</v>
      </c>
      <c r="M51" s="97">
        <f>K51</f>
        <v>13.11</v>
      </c>
      <c r="N51" s="309" t="s">
        <v>276</v>
      </c>
      <c r="O51" s="36">
        <v>20</v>
      </c>
      <c r="P51" s="374"/>
      <c r="Q51" s="164"/>
      <c r="R51" s="163">
        <f>M51/1000</f>
        <v>1.311E-2</v>
      </c>
      <c r="S51" s="164"/>
      <c r="T51" s="164"/>
      <c r="U51" s="164"/>
      <c r="V51" s="164"/>
      <c r="W51" s="51"/>
    </row>
    <row r="52" spans="2:23">
      <c r="B52" s="134"/>
      <c r="C52" s="212"/>
      <c r="D52" s="197"/>
      <c r="E52" s="81" t="s">
        <v>76</v>
      </c>
      <c r="F52" s="68"/>
      <c r="G52" s="68"/>
      <c r="H52" s="53"/>
      <c r="I52" s="20">
        <v>0.03</v>
      </c>
      <c r="J52" s="129" t="s">
        <v>116</v>
      </c>
      <c r="K52" s="20">
        <v>437</v>
      </c>
      <c r="L52" s="300" t="s">
        <v>280</v>
      </c>
      <c r="M52" s="98">
        <f>I52*K52</f>
        <v>13.11</v>
      </c>
      <c r="N52" s="284" t="s">
        <v>276</v>
      </c>
      <c r="O52" s="23">
        <v>20</v>
      </c>
      <c r="P52" s="371"/>
      <c r="Q52" s="155"/>
      <c r="R52" s="170"/>
      <c r="S52" s="145">
        <f>M52/1000000*Q18</f>
        <v>3.8071439999999999E-8</v>
      </c>
      <c r="T52" s="145">
        <f>S52/I18*I19</f>
        <v>1.8612704E-9</v>
      </c>
      <c r="U52" s="156">
        <f>S52/I18*I20</f>
        <v>1.1726003519999999E-11</v>
      </c>
      <c r="V52" s="156">
        <f>S52/I18*I21</f>
        <v>6.3960019200000003E-12</v>
      </c>
      <c r="W52" s="33"/>
    </row>
    <row r="53" spans="2:23">
      <c r="B53" s="134">
        <v>11</v>
      </c>
      <c r="C53" s="226" t="s">
        <v>168</v>
      </c>
      <c r="D53" s="227"/>
      <c r="E53" s="398" t="s">
        <v>25</v>
      </c>
      <c r="F53" s="70"/>
      <c r="G53" s="70"/>
      <c r="H53" s="55"/>
      <c r="I53" s="14"/>
      <c r="J53" s="16"/>
      <c r="K53" s="14">
        <v>46.58</v>
      </c>
      <c r="L53" s="301" t="s">
        <v>283</v>
      </c>
      <c r="M53" s="101">
        <f>K53</f>
        <v>46.58</v>
      </c>
      <c r="N53" s="301" t="s">
        <v>283</v>
      </c>
      <c r="O53" s="190">
        <v>10</v>
      </c>
      <c r="P53" s="376"/>
      <c r="Q53" s="157"/>
      <c r="R53" s="171">
        <f>M53/1000</f>
        <v>4.6579999999999996E-2</v>
      </c>
      <c r="S53" s="157"/>
      <c r="T53" s="171">
        <f>M53/1000*H19</f>
        <v>1.020102E-2</v>
      </c>
      <c r="U53" s="153">
        <f>M53/1000*H20</f>
        <v>5.9762139999999991E-5</v>
      </c>
      <c r="V53" s="153">
        <f>M53/1000*H21</f>
        <v>5.2402500000000005E-5</v>
      </c>
      <c r="W53" s="19"/>
    </row>
    <row r="54" spans="2:23">
      <c r="B54" s="134">
        <v>12</v>
      </c>
      <c r="C54" s="217" t="s">
        <v>169</v>
      </c>
      <c r="D54" s="201"/>
      <c r="E54" s="83" t="s">
        <v>83</v>
      </c>
      <c r="F54" s="70"/>
      <c r="G54" s="70"/>
      <c r="H54" s="55"/>
      <c r="I54" s="14"/>
      <c r="J54" s="16"/>
      <c r="K54" s="14">
        <v>3.3580000000000001</v>
      </c>
      <c r="L54" s="301" t="s">
        <v>283</v>
      </c>
      <c r="M54" s="101">
        <f>K54/2</f>
        <v>1.679</v>
      </c>
      <c r="N54" s="301" t="s">
        <v>283</v>
      </c>
      <c r="O54" s="190">
        <v>20</v>
      </c>
      <c r="P54" s="376"/>
      <c r="Q54" s="157"/>
      <c r="R54" s="153">
        <f>M54/1000</f>
        <v>1.6790000000000002E-3</v>
      </c>
      <c r="S54" s="157"/>
      <c r="T54" s="153">
        <f>M54/1000*H19</f>
        <v>3.6770100000000001E-4</v>
      </c>
      <c r="U54" s="153">
        <f>M54/1000*H20</f>
        <v>2.1541569999999999E-6</v>
      </c>
      <c r="V54" s="153">
        <f>M54/1000*H21</f>
        <v>1.8888750000000004E-6</v>
      </c>
      <c r="W54" s="19"/>
    </row>
    <row r="55" spans="2:23">
      <c r="B55" s="134">
        <v>13</v>
      </c>
      <c r="C55" s="217" t="s">
        <v>170</v>
      </c>
      <c r="D55" s="201"/>
      <c r="E55" s="399" t="s">
        <v>26</v>
      </c>
      <c r="F55" s="70"/>
      <c r="G55" s="70"/>
      <c r="H55" s="55"/>
      <c r="I55" s="14"/>
      <c r="J55" s="16"/>
      <c r="K55" s="14">
        <v>1.548</v>
      </c>
      <c r="L55" s="301" t="s">
        <v>283</v>
      </c>
      <c r="M55" s="101">
        <f>K55/2</f>
        <v>0.77400000000000002</v>
      </c>
      <c r="N55" s="301" t="s">
        <v>283</v>
      </c>
      <c r="O55" s="190">
        <v>20</v>
      </c>
      <c r="P55" s="376"/>
      <c r="Q55" s="157"/>
      <c r="R55" s="153">
        <f>M55/1000</f>
        <v>7.7400000000000006E-4</v>
      </c>
      <c r="S55" s="157"/>
      <c r="T55" s="153">
        <f>M55/1000*H19</f>
        <v>1.6950600000000001E-4</v>
      </c>
      <c r="U55" s="153">
        <f>M55/1000*H20</f>
        <v>9.9304199999999995E-7</v>
      </c>
      <c r="V55" s="153">
        <f>M55/1000*H21</f>
        <v>8.707500000000002E-7</v>
      </c>
      <c r="W55" s="19"/>
    </row>
    <row r="56" spans="2:23">
      <c r="B56" s="134"/>
      <c r="C56" s="140"/>
      <c r="D56" s="174" t="s">
        <v>253</v>
      </c>
      <c r="E56" s="84"/>
      <c r="F56" s="84"/>
      <c r="G56" s="84"/>
      <c r="H56" s="85"/>
      <c r="I56" s="86"/>
      <c r="J56" s="86"/>
      <c r="K56" s="86"/>
      <c r="L56" s="86"/>
      <c r="M56" s="86"/>
      <c r="N56" s="86"/>
      <c r="O56" s="86"/>
      <c r="P56" s="87">
        <f t="shared" ref="P56:W56" si="2">SUM(P28:P52)*世帯*0.2+P53*人口*0.1+SUM(P54:P55)*人口*0.2</f>
        <v>921250.75337702408</v>
      </c>
      <c r="Q56" s="87">
        <f t="shared" si="2"/>
        <v>-2075131.8647892007</v>
      </c>
      <c r="R56" s="193">
        <f t="shared" si="2"/>
        <v>84394.109120251218</v>
      </c>
      <c r="S56" s="193">
        <f t="shared" si="2"/>
        <v>120167.5395449817</v>
      </c>
      <c r="T56" s="193">
        <f t="shared" si="2"/>
        <v>12082.458842649057</v>
      </c>
      <c r="U56" s="193">
        <f t="shared" si="2"/>
        <v>70.778805932442936</v>
      </c>
      <c r="V56" s="193">
        <f t="shared" si="2"/>
        <v>61.775798066219522</v>
      </c>
      <c r="W56" s="193">
        <f t="shared" si="2"/>
        <v>8044.8752973271185</v>
      </c>
    </row>
    <row r="57" spans="2:23" ht="15.75">
      <c r="B57" s="11" t="s">
        <v>265</v>
      </c>
      <c r="C57" s="141"/>
      <c r="H57" s="141"/>
      <c r="I57" s="249" t="s">
        <v>287</v>
      </c>
      <c r="O57" s="191" t="s">
        <v>274</v>
      </c>
      <c r="Q57" s="4"/>
      <c r="R57" s="4"/>
      <c r="S57" s="5"/>
      <c r="T57" s="6"/>
      <c r="U57" s="5"/>
      <c r="V57" s="7"/>
    </row>
    <row r="58" spans="2:23">
      <c r="B58" s="134"/>
      <c r="C58" s="204" t="s">
        <v>9</v>
      </c>
      <c r="D58" s="205"/>
      <c r="E58" s="206"/>
      <c r="F58" s="207" t="s">
        <v>99</v>
      </c>
      <c r="G58" s="207"/>
      <c r="H58" s="208"/>
      <c r="I58" s="228" t="s">
        <v>27</v>
      </c>
      <c r="J58" s="228"/>
      <c r="K58" s="209" t="s">
        <v>11</v>
      </c>
      <c r="L58" s="209"/>
      <c r="M58" s="210" t="s">
        <v>12</v>
      </c>
      <c r="N58" s="210"/>
      <c r="O58" s="210" t="s">
        <v>13</v>
      </c>
      <c r="P58" s="229" t="s">
        <v>6</v>
      </c>
      <c r="Q58" s="229" t="s">
        <v>14</v>
      </c>
      <c r="R58" s="229" t="s">
        <v>15</v>
      </c>
      <c r="S58" s="229" t="s">
        <v>66</v>
      </c>
      <c r="T58" s="229" t="s">
        <v>89</v>
      </c>
      <c r="U58" s="229" t="s">
        <v>91</v>
      </c>
      <c r="V58" s="229" t="s">
        <v>90</v>
      </c>
      <c r="W58" s="229" t="s">
        <v>92</v>
      </c>
    </row>
    <row r="59" spans="2:23">
      <c r="B59" s="134"/>
      <c r="C59" s="212"/>
      <c r="D59" s="197"/>
      <c r="E59" s="212"/>
      <c r="F59" s="213" t="s">
        <v>100</v>
      </c>
      <c r="G59" s="197"/>
      <c r="H59" s="214"/>
      <c r="I59" s="216"/>
      <c r="J59" s="216"/>
      <c r="K59" s="311" t="s">
        <v>296</v>
      </c>
      <c r="L59" s="215"/>
      <c r="M59" s="311" t="s">
        <v>275</v>
      </c>
      <c r="N59" s="216"/>
      <c r="O59" s="215" t="s">
        <v>16</v>
      </c>
      <c r="P59" s="215" t="s">
        <v>5</v>
      </c>
      <c r="Q59" s="215" t="s">
        <v>17</v>
      </c>
      <c r="R59" s="215" t="s">
        <v>8</v>
      </c>
      <c r="S59" s="215" t="s">
        <v>7</v>
      </c>
      <c r="T59" s="215" t="s">
        <v>18</v>
      </c>
      <c r="U59" s="215" t="s">
        <v>8</v>
      </c>
      <c r="V59" s="215" t="s">
        <v>8</v>
      </c>
      <c r="W59" s="215" t="s">
        <v>8</v>
      </c>
    </row>
    <row r="60" spans="2:23">
      <c r="B60" s="134">
        <v>14</v>
      </c>
      <c r="C60" s="226" t="s">
        <v>171</v>
      </c>
      <c r="D60" s="227"/>
      <c r="E60" s="83" t="s">
        <v>28</v>
      </c>
      <c r="F60" s="70"/>
      <c r="G60" s="70"/>
      <c r="H60" s="55"/>
      <c r="I60" s="14"/>
      <c r="J60" s="16"/>
      <c r="K60" s="14"/>
      <c r="L60" s="16"/>
      <c r="M60" s="17">
        <v>31</v>
      </c>
      <c r="N60" s="355" t="s">
        <v>298</v>
      </c>
      <c r="O60" s="16">
        <v>20</v>
      </c>
      <c r="P60" s="16"/>
      <c r="Q60" s="16"/>
      <c r="R60" s="16"/>
      <c r="S60" s="153">
        <f>M60*I18</f>
        <v>6.9749999999999993E-2</v>
      </c>
      <c r="T60" s="153">
        <f>S60*1000000*J19</f>
        <v>3.4177499999999993E-3</v>
      </c>
      <c r="U60" s="153">
        <f>S60*1000000*J20</f>
        <v>2.1482999999999997E-5</v>
      </c>
      <c r="V60" s="153">
        <f>S60*1000000*J21</f>
        <v>1.1717999999999997E-5</v>
      </c>
      <c r="W60" s="16"/>
    </row>
    <row r="61" spans="2:23">
      <c r="B61" s="134">
        <v>15</v>
      </c>
      <c r="C61" s="217" t="s">
        <v>172</v>
      </c>
      <c r="D61" s="201"/>
      <c r="E61" s="69" t="s">
        <v>29</v>
      </c>
      <c r="F61" s="70"/>
      <c r="G61" s="70"/>
      <c r="H61" s="55"/>
      <c r="I61" s="14">
        <v>0.15</v>
      </c>
      <c r="J61" s="111" t="s">
        <v>147</v>
      </c>
      <c r="K61" s="14"/>
      <c r="L61" s="16"/>
      <c r="M61" s="101">
        <f>I61*365</f>
        <v>54.75</v>
      </c>
      <c r="N61" s="355" t="s">
        <v>298</v>
      </c>
      <c r="O61" s="16">
        <v>20</v>
      </c>
      <c r="P61" s="16"/>
      <c r="Q61" s="16"/>
      <c r="R61" s="16"/>
      <c r="S61" s="153">
        <f>M61*I18</f>
        <v>0.12318749999999999</v>
      </c>
      <c r="T61" s="153">
        <f>S61*1000000*J19</f>
        <v>6.0361874999999999E-3</v>
      </c>
      <c r="U61" s="153">
        <f>S61*1000000*J20</f>
        <v>3.794175E-5</v>
      </c>
      <c r="V61" s="153">
        <f>S61*1000000*J21</f>
        <v>2.0695499999999995E-5</v>
      </c>
      <c r="W61" s="16"/>
    </row>
    <row r="62" spans="2:23">
      <c r="B62" s="134">
        <v>16</v>
      </c>
      <c r="C62" s="217" t="s">
        <v>173</v>
      </c>
      <c r="D62" s="201"/>
      <c r="E62" s="69" t="s">
        <v>77</v>
      </c>
      <c r="F62" s="70"/>
      <c r="G62" s="70"/>
      <c r="H62" s="55"/>
      <c r="I62" s="14"/>
      <c r="J62" s="16"/>
      <c r="K62" s="14"/>
      <c r="L62" s="16"/>
      <c r="M62" s="17">
        <v>15</v>
      </c>
      <c r="N62" s="355" t="s">
        <v>298</v>
      </c>
      <c r="O62" s="16">
        <v>20</v>
      </c>
      <c r="P62" s="16"/>
      <c r="Q62" s="16"/>
      <c r="R62" s="16"/>
      <c r="S62" s="153">
        <f>M62*I18</f>
        <v>3.3749999999999995E-2</v>
      </c>
      <c r="T62" s="153">
        <f>S62*1000000*J19</f>
        <v>1.6537499999999996E-3</v>
      </c>
      <c r="U62" s="153">
        <f>S62*1000000*J20</f>
        <v>1.0394999999999998E-5</v>
      </c>
      <c r="V62" s="153">
        <f>S62*1000000*J21</f>
        <v>5.6699999999999982E-6</v>
      </c>
      <c r="W62" s="16"/>
    </row>
    <row r="63" spans="2:23">
      <c r="B63" s="134">
        <v>17</v>
      </c>
      <c r="C63" s="217" t="s">
        <v>174</v>
      </c>
      <c r="D63" s="201"/>
      <c r="E63" s="69" t="s">
        <v>30</v>
      </c>
      <c r="F63" s="70"/>
      <c r="G63" s="70"/>
      <c r="H63" s="55"/>
      <c r="I63" s="14">
        <v>0.7</v>
      </c>
      <c r="J63" s="111" t="s">
        <v>125</v>
      </c>
      <c r="K63" s="14">
        <v>70</v>
      </c>
      <c r="L63" s="106" t="s">
        <v>131</v>
      </c>
      <c r="M63" s="101">
        <f>I63*K63</f>
        <v>49</v>
      </c>
      <c r="N63" s="355" t="s">
        <v>298</v>
      </c>
      <c r="O63" s="16">
        <v>20</v>
      </c>
      <c r="P63" s="16"/>
      <c r="Q63" s="16"/>
      <c r="R63" s="16"/>
      <c r="S63" s="153">
        <f>M63*I18</f>
        <v>0.11024999999999999</v>
      </c>
      <c r="T63" s="153">
        <f>S63*1000000*J19</f>
        <v>5.4022499999999999E-3</v>
      </c>
      <c r="U63" s="153">
        <f>S63*1000000*J20</f>
        <v>3.3957E-5</v>
      </c>
      <c r="V63" s="153">
        <f>S63*1000000*J21</f>
        <v>1.8521999999999996E-5</v>
      </c>
      <c r="W63" s="16"/>
    </row>
    <row r="64" spans="2:23">
      <c r="B64" s="134">
        <v>18</v>
      </c>
      <c r="C64" s="217" t="s">
        <v>175</v>
      </c>
      <c r="D64" s="201"/>
      <c r="E64" s="69" t="s">
        <v>31</v>
      </c>
      <c r="F64" s="70"/>
      <c r="G64" s="70"/>
      <c r="H64" s="55"/>
      <c r="I64" s="14"/>
      <c r="J64" s="16"/>
      <c r="K64" s="14"/>
      <c r="L64" s="16"/>
      <c r="M64" s="17">
        <v>185</v>
      </c>
      <c r="N64" s="355" t="s">
        <v>306</v>
      </c>
      <c r="O64" s="16">
        <v>20</v>
      </c>
      <c r="P64" s="16"/>
      <c r="Q64" s="16"/>
      <c r="R64" s="16"/>
      <c r="S64" s="153">
        <f>M64/1000</f>
        <v>0.185</v>
      </c>
      <c r="T64" s="153">
        <f>S64*1000000*J19</f>
        <v>9.0650000000000001E-3</v>
      </c>
      <c r="U64" s="153">
        <f>S64*1000000*J20</f>
        <v>5.6980000000000007E-5</v>
      </c>
      <c r="V64" s="153">
        <f>S64*1000000*J21</f>
        <v>3.1080000000000001E-5</v>
      </c>
      <c r="W64" s="16"/>
    </row>
    <row r="65" spans="2:23">
      <c r="B65" s="134">
        <v>19</v>
      </c>
      <c r="C65" s="217" t="s">
        <v>176</v>
      </c>
      <c r="D65" s="201"/>
      <c r="E65" s="69" t="s">
        <v>32</v>
      </c>
      <c r="F65" s="70"/>
      <c r="G65" s="70"/>
      <c r="H65" s="55"/>
      <c r="I65" s="14"/>
      <c r="J65" s="16"/>
      <c r="K65" s="14"/>
      <c r="L65" s="16"/>
      <c r="M65" s="17">
        <v>57</v>
      </c>
      <c r="N65" s="355" t="s">
        <v>306</v>
      </c>
      <c r="O65" s="16">
        <v>20</v>
      </c>
      <c r="P65" s="16"/>
      <c r="Q65" s="16"/>
      <c r="R65" s="16"/>
      <c r="S65" s="153">
        <f>M65/1000</f>
        <v>5.7000000000000002E-2</v>
      </c>
      <c r="T65" s="153">
        <f>S65*1000000*J19</f>
        <v>2.7929999999999999E-3</v>
      </c>
      <c r="U65" s="153">
        <f>S65*1000000*J20</f>
        <v>1.7556000000000003E-5</v>
      </c>
      <c r="V65" s="153">
        <f>S65*1000000*J21</f>
        <v>9.5759999999999995E-6</v>
      </c>
      <c r="W65" s="16"/>
    </row>
    <row r="66" spans="2:23">
      <c r="B66" s="134">
        <v>20</v>
      </c>
      <c r="C66" s="217" t="s">
        <v>177</v>
      </c>
      <c r="D66" s="201"/>
      <c r="E66" s="69" t="s">
        <v>33</v>
      </c>
      <c r="F66" s="70"/>
      <c r="G66" s="70"/>
      <c r="H66" s="55"/>
      <c r="I66" s="14"/>
      <c r="J66" s="16"/>
      <c r="K66" s="14"/>
      <c r="L66" s="16"/>
      <c r="M66" s="17">
        <v>278</v>
      </c>
      <c r="N66" s="355" t="s">
        <v>306</v>
      </c>
      <c r="O66" s="16">
        <v>20</v>
      </c>
      <c r="P66" s="16"/>
      <c r="Q66" s="16"/>
      <c r="R66" s="16"/>
      <c r="S66" s="153">
        <f>M66/1000</f>
        <v>0.27800000000000002</v>
      </c>
      <c r="T66" s="153">
        <f>S66*1000000*J19</f>
        <v>1.3622E-2</v>
      </c>
      <c r="U66" s="153">
        <f>S66*1000000*J20</f>
        <v>8.5624000000000006E-5</v>
      </c>
      <c r="V66" s="153">
        <f>S66*1000000*J21</f>
        <v>4.6703999999999999E-5</v>
      </c>
      <c r="W66" s="16"/>
    </row>
    <row r="67" spans="2:23">
      <c r="B67" s="134">
        <v>21</v>
      </c>
      <c r="C67" s="217" t="s">
        <v>178</v>
      </c>
      <c r="D67" s="201"/>
      <c r="E67" s="69" t="s">
        <v>34</v>
      </c>
      <c r="F67" s="70"/>
      <c r="G67" s="70"/>
      <c r="H67" s="55"/>
      <c r="I67" s="14">
        <v>1</v>
      </c>
      <c r="J67" s="111" t="s">
        <v>125</v>
      </c>
      <c r="K67" s="103">
        <v>0.33333333333333298</v>
      </c>
      <c r="L67" s="107" t="s">
        <v>132</v>
      </c>
      <c r="M67" s="101">
        <f>I67*K67*3*12</f>
        <v>11.999999999999986</v>
      </c>
      <c r="N67" s="355" t="s">
        <v>298</v>
      </c>
      <c r="O67" s="187">
        <v>5</v>
      </c>
      <c r="P67" s="16"/>
      <c r="Q67" s="16"/>
      <c r="R67" s="16"/>
      <c r="S67" s="153">
        <f>M67*I18</f>
        <v>2.6999999999999965E-2</v>
      </c>
      <c r="T67" s="153">
        <f>S67*1000000*J19</f>
        <v>1.3229999999999982E-3</v>
      </c>
      <c r="U67" s="153">
        <f>S67*1000000*J20</f>
        <v>8.3159999999999895E-6</v>
      </c>
      <c r="V67" s="153">
        <f>S67*1000000*J21</f>
        <v>4.5359999999999935E-6</v>
      </c>
      <c r="W67" s="16"/>
    </row>
    <row r="68" spans="2:23">
      <c r="B68" s="134">
        <v>22</v>
      </c>
      <c r="C68" s="217" t="s">
        <v>179</v>
      </c>
      <c r="D68" s="201"/>
      <c r="E68" s="69" t="s">
        <v>35</v>
      </c>
      <c r="F68" s="70"/>
      <c r="G68" s="70"/>
      <c r="H68" s="55"/>
      <c r="I68" s="14"/>
      <c r="J68" s="16"/>
      <c r="K68" s="14"/>
      <c r="L68" s="16"/>
      <c r="M68" s="17">
        <v>6</v>
      </c>
      <c r="N68" s="355" t="s">
        <v>298</v>
      </c>
      <c r="O68" s="184">
        <v>20</v>
      </c>
      <c r="P68" s="16"/>
      <c r="Q68" s="16"/>
      <c r="R68" s="16"/>
      <c r="S68" s="153">
        <f>M68*I18</f>
        <v>1.3499999999999998E-2</v>
      </c>
      <c r="T68" s="153">
        <f>S68*1000000*J19</f>
        <v>6.6149999999999998E-4</v>
      </c>
      <c r="U68" s="153">
        <f>S68*1000000*J20</f>
        <v>4.1579999999999998E-6</v>
      </c>
      <c r="V68" s="153">
        <f>S68*1000000*J21</f>
        <v>2.2679999999999997E-6</v>
      </c>
      <c r="W68" s="16"/>
    </row>
    <row r="69" spans="2:23">
      <c r="B69" s="134">
        <v>23</v>
      </c>
      <c r="C69" s="217" t="s">
        <v>180</v>
      </c>
      <c r="D69" s="201"/>
      <c r="E69" s="69" t="s">
        <v>36</v>
      </c>
      <c r="F69" s="70"/>
      <c r="G69" s="70"/>
      <c r="H69" s="55"/>
      <c r="I69" s="14"/>
      <c r="J69" s="16"/>
      <c r="K69" s="14"/>
      <c r="L69" s="16"/>
      <c r="M69" s="17">
        <v>111</v>
      </c>
      <c r="N69" s="355" t="s">
        <v>298</v>
      </c>
      <c r="O69" s="184">
        <v>20</v>
      </c>
      <c r="P69" s="16"/>
      <c r="Q69" s="16"/>
      <c r="R69" s="16"/>
      <c r="S69" s="153">
        <f>M69*I18</f>
        <v>0.24974999999999997</v>
      </c>
      <c r="T69" s="153">
        <f>S69*1000000*K19</f>
        <v>1.4560424999999998E-2</v>
      </c>
      <c r="U69" s="153">
        <f>S69*1000000*K20</f>
        <v>2.6223749999999998E-5</v>
      </c>
      <c r="V69" s="153">
        <f>S69*1000000*K21</f>
        <v>9.9899999999999975E-6</v>
      </c>
      <c r="W69" s="16"/>
    </row>
    <row r="70" spans="2:23">
      <c r="B70" s="134">
        <v>24</v>
      </c>
      <c r="C70" s="204" t="s">
        <v>181</v>
      </c>
      <c r="D70" s="205"/>
      <c r="E70" s="66" t="s">
        <v>37</v>
      </c>
      <c r="F70" s="67"/>
      <c r="G70" s="67"/>
      <c r="H70" s="54"/>
      <c r="I70" s="34">
        <v>2</v>
      </c>
      <c r="J70" s="112" t="s">
        <v>126</v>
      </c>
      <c r="K70" s="34"/>
      <c r="L70" s="36"/>
      <c r="M70" s="366">
        <f>(400-322)*I70*365/1000</f>
        <v>56.94</v>
      </c>
      <c r="N70" s="363" t="s">
        <v>298</v>
      </c>
      <c r="O70" s="39">
        <v>20</v>
      </c>
      <c r="P70" s="36"/>
      <c r="Q70" s="36"/>
      <c r="R70" s="36"/>
      <c r="S70" s="154">
        <f>M70*I18</f>
        <v>0.12811499999999998</v>
      </c>
      <c r="T70" s="154">
        <f>S70*1000000*K19</f>
        <v>7.4691044999999987E-3</v>
      </c>
      <c r="U70" s="154">
        <f>S70*1000000*K20</f>
        <v>1.3452074999999998E-5</v>
      </c>
      <c r="V70" s="154">
        <f>S70*1000000*K21</f>
        <v>5.1245999999999992E-6</v>
      </c>
      <c r="W70" s="36"/>
    </row>
    <row r="71" spans="2:23">
      <c r="C71" s="212"/>
      <c r="D71" s="197"/>
      <c r="E71" s="394" t="s">
        <v>79</v>
      </c>
      <c r="F71" s="68"/>
      <c r="G71" s="68"/>
      <c r="H71" s="53"/>
      <c r="I71" s="20"/>
      <c r="J71" s="23"/>
      <c r="K71" s="20"/>
      <c r="L71" s="23"/>
      <c r="M71" s="93"/>
      <c r="N71" s="284"/>
      <c r="O71" s="29"/>
      <c r="P71" s="23"/>
      <c r="Q71" s="23"/>
      <c r="R71" s="23"/>
      <c r="S71" s="160"/>
      <c r="T71" s="349"/>
      <c r="U71" s="155"/>
      <c r="V71" s="155"/>
      <c r="W71" s="23"/>
    </row>
    <row r="72" spans="2:23">
      <c r="B72" s="134">
        <v>25</v>
      </c>
      <c r="C72" s="217" t="s">
        <v>182</v>
      </c>
      <c r="D72" s="201"/>
      <c r="E72" s="69" t="s">
        <v>38</v>
      </c>
      <c r="F72" s="70"/>
      <c r="G72" s="70"/>
      <c r="H72" s="55"/>
      <c r="I72" s="14"/>
      <c r="J72" s="16"/>
      <c r="K72" s="14">
        <v>4.0129999999999999</v>
      </c>
      <c r="L72" s="108" t="s">
        <v>121</v>
      </c>
      <c r="M72" s="104">
        <f>K72*0.025</f>
        <v>0.100325</v>
      </c>
      <c r="N72" s="355" t="s">
        <v>306</v>
      </c>
      <c r="O72" s="184">
        <v>20</v>
      </c>
      <c r="P72" s="16"/>
      <c r="Q72" s="16"/>
      <c r="R72" s="16"/>
      <c r="S72" s="153">
        <f>M72/1000</f>
        <v>1.00325E-4</v>
      </c>
      <c r="T72" s="153">
        <f>S72*1000000*K19</f>
        <v>5.8489475E-6</v>
      </c>
      <c r="U72" s="153">
        <f>S72*1000000*K20</f>
        <v>1.0534125E-8</v>
      </c>
      <c r="V72" s="153">
        <f>S72*1000000*K21</f>
        <v>4.0130000000000001E-9</v>
      </c>
      <c r="W72" s="16"/>
    </row>
    <row r="73" spans="2:23">
      <c r="B73" s="134">
        <v>26</v>
      </c>
      <c r="C73" s="226" t="s">
        <v>183</v>
      </c>
      <c r="D73" s="227"/>
      <c r="E73" s="69" t="s">
        <v>39</v>
      </c>
      <c r="F73" s="70"/>
      <c r="G73" s="70"/>
      <c r="H73" s="55"/>
      <c r="I73" s="14">
        <v>5</v>
      </c>
      <c r="J73" s="113" t="s">
        <v>127</v>
      </c>
      <c r="K73" s="14"/>
      <c r="L73" s="16"/>
      <c r="M73" s="101">
        <f>I73*365/1000</f>
        <v>1.825</v>
      </c>
      <c r="N73" s="359" t="s">
        <v>300</v>
      </c>
      <c r="O73" s="184">
        <v>20</v>
      </c>
      <c r="P73" s="16"/>
      <c r="Q73" s="16"/>
      <c r="R73" s="16"/>
      <c r="S73" s="153">
        <f>M73*L18/1000</f>
        <v>1.5329999999999996E-8</v>
      </c>
      <c r="T73" s="153">
        <f>M73/1000*L19</f>
        <v>1.173475E-6</v>
      </c>
      <c r="U73" s="153">
        <f>M73/1000*L20</f>
        <v>1.255235E-8</v>
      </c>
      <c r="V73" s="153">
        <f>M73/1000*L21</f>
        <v>4.8545000000000001E-10</v>
      </c>
      <c r="W73" s="16"/>
    </row>
    <row r="74" spans="2:23">
      <c r="B74" s="134">
        <v>27</v>
      </c>
      <c r="C74" s="226" t="s">
        <v>184</v>
      </c>
      <c r="D74" s="227"/>
      <c r="E74" s="83" t="s">
        <v>40</v>
      </c>
      <c r="F74" s="70"/>
      <c r="G74" s="70"/>
      <c r="H74" s="55"/>
      <c r="I74" s="14">
        <v>10</v>
      </c>
      <c r="J74" s="113" t="s">
        <v>127</v>
      </c>
      <c r="K74" s="14"/>
      <c r="L74" s="16"/>
      <c r="M74" s="101">
        <f>I74*365/1000</f>
        <v>3.65</v>
      </c>
      <c r="N74" s="359" t="s">
        <v>300</v>
      </c>
      <c r="O74" s="184">
        <v>20</v>
      </c>
      <c r="P74" s="16"/>
      <c r="Q74" s="16"/>
      <c r="R74" s="16"/>
      <c r="S74" s="153">
        <f>M74/1000*L18</f>
        <v>3.0659999999999998E-8</v>
      </c>
      <c r="T74" s="153">
        <f>M74/1000*L19</f>
        <v>2.34695E-6</v>
      </c>
      <c r="U74" s="153">
        <f>M74/1000*L20</f>
        <v>2.5104699999999999E-8</v>
      </c>
      <c r="V74" s="153">
        <f>M74/1000*L21</f>
        <v>9.7090000000000003E-10</v>
      </c>
      <c r="W74" s="16"/>
    </row>
    <row r="75" spans="2:23">
      <c r="B75" s="134">
        <v>28</v>
      </c>
      <c r="C75" s="226" t="s">
        <v>185</v>
      </c>
      <c r="D75" s="227"/>
      <c r="E75" s="83" t="s">
        <v>41</v>
      </c>
      <c r="F75" s="70"/>
      <c r="G75" s="70"/>
      <c r="H75" s="55"/>
      <c r="I75" s="14">
        <v>10</v>
      </c>
      <c r="J75" s="114" t="s">
        <v>142</v>
      </c>
      <c r="K75" s="14">
        <v>10</v>
      </c>
      <c r="L75" s="109" t="s">
        <v>133</v>
      </c>
      <c r="M75" s="101">
        <f>0.16*I75*K75*12/1000</f>
        <v>0.192</v>
      </c>
      <c r="N75" s="359" t="s">
        <v>300</v>
      </c>
      <c r="O75" s="184">
        <v>20</v>
      </c>
      <c r="P75" s="16"/>
      <c r="Q75" s="16"/>
      <c r="R75" s="16"/>
      <c r="S75" s="153">
        <f>M75/1000*L18</f>
        <v>1.6127999999999998E-9</v>
      </c>
      <c r="T75" s="153">
        <f>M75/1000*L19</f>
        <v>1.2345600000000002E-7</v>
      </c>
      <c r="U75" s="153">
        <f>M75/1000*L20</f>
        <v>1.320576E-9</v>
      </c>
      <c r="V75" s="153">
        <f>M75/1000*L21</f>
        <v>5.1072000000000009E-11</v>
      </c>
      <c r="W75" s="16"/>
    </row>
    <row r="76" spans="2:23">
      <c r="B76" s="134">
        <v>29</v>
      </c>
      <c r="C76" s="217" t="s">
        <v>186</v>
      </c>
      <c r="D76" s="201"/>
      <c r="E76" s="69" t="s">
        <v>204</v>
      </c>
      <c r="F76" s="70"/>
      <c r="G76" s="70"/>
      <c r="H76" s="55"/>
      <c r="I76" s="14">
        <v>50</v>
      </c>
      <c r="J76" s="113" t="s">
        <v>128</v>
      </c>
      <c r="K76" s="14">
        <v>10</v>
      </c>
      <c r="L76" s="109" t="s">
        <v>134</v>
      </c>
      <c r="M76" s="101">
        <f>I76*K76*12/1000</f>
        <v>6</v>
      </c>
      <c r="N76" s="359" t="s">
        <v>300</v>
      </c>
      <c r="O76" s="184">
        <v>20</v>
      </c>
      <c r="P76" s="16"/>
      <c r="Q76" s="16"/>
      <c r="R76" s="16"/>
      <c r="S76" s="153">
        <f>M76/1000*L18</f>
        <v>5.0399999999999995E-8</v>
      </c>
      <c r="T76" s="153">
        <f>M76/1000*L19</f>
        <v>3.8580000000000002E-6</v>
      </c>
      <c r="U76" s="153">
        <f>M76/1000*L20</f>
        <v>4.1268000000000003E-8</v>
      </c>
      <c r="V76" s="153">
        <f>M76/1000*L21</f>
        <v>1.5960000000000003E-9</v>
      </c>
      <c r="W76" s="16"/>
    </row>
    <row r="77" spans="2:23">
      <c r="B77" s="134">
        <v>30</v>
      </c>
      <c r="C77" s="217" t="s">
        <v>187</v>
      </c>
      <c r="D77" s="201"/>
      <c r="E77" s="83" t="s">
        <v>80</v>
      </c>
      <c r="F77" s="70"/>
      <c r="G77" s="70"/>
      <c r="H77" s="55"/>
      <c r="I77" s="14">
        <v>20</v>
      </c>
      <c r="J77" s="113" t="s">
        <v>128</v>
      </c>
      <c r="K77" s="14">
        <v>10</v>
      </c>
      <c r="L77" s="109" t="s">
        <v>134</v>
      </c>
      <c r="M77" s="101">
        <f>I77*K77*12/1000</f>
        <v>2.4</v>
      </c>
      <c r="N77" s="359" t="s">
        <v>300</v>
      </c>
      <c r="O77" s="184">
        <v>20</v>
      </c>
      <c r="P77" s="16"/>
      <c r="Q77" s="16"/>
      <c r="R77" s="16"/>
      <c r="S77" s="153">
        <f>M77/1000*L18</f>
        <v>2.0159999999999997E-8</v>
      </c>
      <c r="T77" s="153">
        <f>M77/1000*L19</f>
        <v>1.5431999999999999E-6</v>
      </c>
      <c r="U77" s="153">
        <f>M77/1000*L20</f>
        <v>1.6507199999999998E-8</v>
      </c>
      <c r="V77" s="153">
        <f>M77/1000*L21</f>
        <v>6.3839999999999999E-10</v>
      </c>
      <c r="W77" s="16"/>
    </row>
    <row r="78" spans="2:23">
      <c r="B78" s="134">
        <v>31</v>
      </c>
      <c r="C78" s="230" t="s">
        <v>188</v>
      </c>
      <c r="D78" s="231"/>
      <c r="E78" s="395" t="s">
        <v>115</v>
      </c>
      <c r="F78" s="67"/>
      <c r="G78" s="67"/>
      <c r="H78" s="54"/>
      <c r="I78" s="34">
        <v>101.2</v>
      </c>
      <c r="J78" s="115" t="s">
        <v>143</v>
      </c>
      <c r="K78" s="34">
        <v>40</v>
      </c>
      <c r="L78" s="133" t="s">
        <v>133</v>
      </c>
      <c r="M78" s="366">
        <f>(I79*K79-K78*I78)*12/1000</f>
        <v>376.22399999999999</v>
      </c>
      <c r="N78" s="363" t="s">
        <v>307</v>
      </c>
      <c r="O78" s="185">
        <v>20</v>
      </c>
      <c r="P78" s="36"/>
      <c r="Q78" s="36"/>
      <c r="R78" s="36"/>
      <c r="S78" s="154">
        <f>M78/1000</f>
        <v>0.376224</v>
      </c>
      <c r="T78" s="154">
        <f>S78*1000000*J19</f>
        <v>1.8434976000000002E-2</v>
      </c>
      <c r="U78" s="154">
        <f>S78*1000000*J20</f>
        <v>1.1587699200000001E-4</v>
      </c>
      <c r="V78" s="154">
        <f>S78*1000000*J21</f>
        <v>6.3205631999999998E-5</v>
      </c>
      <c r="W78" s="36"/>
    </row>
    <row r="79" spans="2:23">
      <c r="C79" s="212"/>
      <c r="D79" s="197"/>
      <c r="E79" s="81" t="s">
        <v>42</v>
      </c>
      <c r="F79" s="68"/>
      <c r="G79" s="68"/>
      <c r="H79" s="53"/>
      <c r="I79" s="20">
        <v>885</v>
      </c>
      <c r="J79" s="116" t="s">
        <v>129</v>
      </c>
      <c r="K79" s="20">
        <v>40</v>
      </c>
      <c r="L79" s="132" t="s">
        <v>133</v>
      </c>
      <c r="M79" s="98"/>
      <c r="N79" s="364"/>
      <c r="O79" s="186"/>
      <c r="P79" s="23"/>
      <c r="Q79" s="23"/>
      <c r="R79" s="23"/>
      <c r="S79" s="23"/>
      <c r="T79" s="23"/>
      <c r="U79" s="23"/>
      <c r="V79" s="23"/>
      <c r="W79" s="23"/>
    </row>
    <row r="80" spans="2:23">
      <c r="B80" s="134">
        <v>32</v>
      </c>
      <c r="C80" s="217" t="s">
        <v>189</v>
      </c>
      <c r="D80" s="201"/>
      <c r="E80" s="83" t="s">
        <v>151</v>
      </c>
      <c r="F80" s="70"/>
      <c r="G80" s="70"/>
      <c r="H80" s="55"/>
      <c r="I80" s="14">
        <v>5</v>
      </c>
      <c r="J80" s="117" t="s">
        <v>130</v>
      </c>
      <c r="K80" s="14">
        <v>500</v>
      </c>
      <c r="L80" s="110" t="s">
        <v>135</v>
      </c>
      <c r="M80" s="360">
        <f>K80*I80/10000</f>
        <v>0.25</v>
      </c>
      <c r="N80" s="355" t="s">
        <v>301</v>
      </c>
      <c r="O80" s="187">
        <v>10</v>
      </c>
      <c r="P80" s="16"/>
      <c r="Q80" s="16"/>
      <c r="R80" s="16"/>
      <c r="S80" s="162"/>
      <c r="T80" s="153">
        <f>M80*R19*365</f>
        <v>2.4911250000000002E-4</v>
      </c>
      <c r="U80" s="153">
        <f>M80*R20*365</f>
        <v>1.825E-7</v>
      </c>
      <c r="V80" s="153">
        <f>M80*R21*365</f>
        <v>1.825E-7</v>
      </c>
      <c r="W80" s="16"/>
    </row>
    <row r="81" spans="2:23">
      <c r="B81" s="134">
        <v>33</v>
      </c>
      <c r="C81" s="217" t="s">
        <v>190</v>
      </c>
      <c r="D81" s="201"/>
      <c r="E81" s="83" t="s">
        <v>154</v>
      </c>
      <c r="F81" s="70"/>
      <c r="G81" s="70"/>
      <c r="H81" s="55"/>
      <c r="I81" s="14">
        <v>3</v>
      </c>
      <c r="J81" s="118" t="s">
        <v>122</v>
      </c>
      <c r="K81" s="14">
        <v>1000</v>
      </c>
      <c r="L81" s="110" t="s">
        <v>135</v>
      </c>
      <c r="M81" s="360">
        <f>K81*I81/10000</f>
        <v>0.3</v>
      </c>
      <c r="N81" s="355" t="s">
        <v>301</v>
      </c>
      <c r="O81" s="187">
        <v>10</v>
      </c>
      <c r="P81" s="16"/>
      <c r="Q81" s="16"/>
      <c r="R81" s="16"/>
      <c r="S81" s="162"/>
      <c r="T81" s="153">
        <f>M81*R19*365</f>
        <v>2.9893500000000001E-4</v>
      </c>
      <c r="U81" s="153">
        <f>M81*R21*365</f>
        <v>2.1899999999999999E-7</v>
      </c>
      <c r="V81" s="153">
        <f>M81*R21*365</f>
        <v>2.1899999999999999E-7</v>
      </c>
      <c r="W81" s="16"/>
    </row>
    <row r="82" spans="2:23">
      <c r="B82" s="134">
        <v>34</v>
      </c>
      <c r="C82" s="217" t="s">
        <v>191</v>
      </c>
      <c r="D82" s="201"/>
      <c r="E82" s="69" t="s">
        <v>81</v>
      </c>
      <c r="F82" s="70"/>
      <c r="G82" s="70"/>
      <c r="H82" s="55"/>
      <c r="I82" s="14">
        <v>7.9000000000000001E-2</v>
      </c>
      <c r="J82" s="16"/>
      <c r="K82" s="14">
        <v>2683</v>
      </c>
      <c r="L82" s="108" t="s">
        <v>121</v>
      </c>
      <c r="M82" s="365">
        <f>K82*I82</f>
        <v>211.95699999999999</v>
      </c>
      <c r="N82" s="355" t="s">
        <v>306</v>
      </c>
      <c r="O82" s="187">
        <v>5</v>
      </c>
      <c r="P82" s="16"/>
      <c r="Q82" s="16"/>
      <c r="R82" s="16"/>
      <c r="S82" s="158">
        <f>M82/1000</f>
        <v>0.21195700000000001</v>
      </c>
      <c r="T82" s="347">
        <f>S82*1000000*J19</f>
        <v>1.0385893E-2</v>
      </c>
      <c r="U82" s="153">
        <f>S82*1000000*J20</f>
        <v>6.5282756000000004E-5</v>
      </c>
      <c r="V82" s="153">
        <f>S82*1000000*J21</f>
        <v>3.5608775999999998E-5</v>
      </c>
      <c r="W82" s="16"/>
    </row>
    <row r="83" spans="2:23">
      <c r="B83" s="134">
        <v>35</v>
      </c>
      <c r="C83" s="204" t="s">
        <v>192</v>
      </c>
      <c r="D83" s="205"/>
      <c r="E83" s="395" t="s">
        <v>82</v>
      </c>
      <c r="F83" s="67"/>
      <c r="G83" s="67"/>
      <c r="H83" s="54"/>
      <c r="I83" s="34"/>
      <c r="J83" s="36"/>
      <c r="K83" s="34"/>
      <c r="L83" s="36"/>
      <c r="M83" s="97">
        <v>2650</v>
      </c>
      <c r="N83" s="363" t="s">
        <v>307</v>
      </c>
      <c r="O83" s="188">
        <v>2.5</v>
      </c>
      <c r="P83" s="36"/>
      <c r="Q83" s="36"/>
      <c r="R83" s="36"/>
      <c r="S83" s="159">
        <f>M83/1000</f>
        <v>2.65</v>
      </c>
      <c r="T83" s="348">
        <f>S83*1000000*J19</f>
        <v>0.12984999999999999</v>
      </c>
      <c r="U83" s="154">
        <f>S83*1000000*J20</f>
        <v>8.1620000000000011E-4</v>
      </c>
      <c r="V83" s="154">
        <f>S83*1000000*J21</f>
        <v>4.4519999999999998E-4</v>
      </c>
      <c r="W83" s="36"/>
    </row>
    <row r="84" spans="2:23">
      <c r="B84" s="134"/>
      <c r="C84" s="212"/>
      <c r="D84" s="197"/>
      <c r="E84" s="81" t="s">
        <v>43</v>
      </c>
      <c r="F84" s="68"/>
      <c r="G84" s="68"/>
      <c r="H84" s="53"/>
      <c r="I84" s="20"/>
      <c r="J84" s="23"/>
      <c r="K84" s="20"/>
      <c r="L84" s="23"/>
      <c r="M84" s="98">
        <v>1140</v>
      </c>
      <c r="N84" s="364" t="s">
        <v>308</v>
      </c>
      <c r="O84" s="189">
        <v>2.5</v>
      </c>
      <c r="P84" s="23"/>
      <c r="Q84" s="23"/>
      <c r="R84" s="23"/>
      <c r="S84" s="161">
        <f>M84/1000</f>
        <v>1.1399999999999999</v>
      </c>
      <c r="T84" s="350">
        <f>S84*1000000*J19</f>
        <v>5.586E-2</v>
      </c>
      <c r="U84" s="156">
        <f>S84*1000000*J20</f>
        <v>3.5112000000000001E-4</v>
      </c>
      <c r="V84" s="156">
        <f>S84*1000000*J21</f>
        <v>1.9151999999999998E-4</v>
      </c>
      <c r="W84" s="23"/>
    </row>
    <row r="85" spans="2:23">
      <c r="B85" s="134"/>
      <c r="C85" s="140"/>
      <c r="D85" s="174" t="s">
        <v>253</v>
      </c>
      <c r="E85" s="84"/>
      <c r="F85" s="84"/>
      <c r="G85" s="84"/>
      <c r="H85" s="85"/>
      <c r="I85" s="88"/>
      <c r="J85" s="88"/>
      <c r="K85" s="88"/>
      <c r="L85" s="88"/>
      <c r="M85" s="88"/>
      <c r="N85" s="356"/>
      <c r="O85" s="89"/>
      <c r="P85" s="193">
        <f t="shared" ref="P85:W85" si="3">(SUM(P60:P77)-P67)*0.2*世帯+(P67+P82)*0.05*世帯+SUM(P80:P81)*0.1*世帯+SUM(P83:P84)*0.025*世帯+SUM(P78:P79)*0.2*人口</f>
        <v>0</v>
      </c>
      <c r="Q85" s="193">
        <f t="shared" si="3"/>
        <v>0</v>
      </c>
      <c r="R85" s="193">
        <f t="shared" si="3"/>
        <v>0</v>
      </c>
      <c r="S85" s="193">
        <f t="shared" si="3"/>
        <v>466390.18292006198</v>
      </c>
      <c r="T85" s="193">
        <f t="shared" si="3"/>
        <v>23470.723965323908</v>
      </c>
      <c r="U85" s="193">
        <f t="shared" si="3"/>
        <v>131.22019023430346</v>
      </c>
      <c r="V85" s="193">
        <f t="shared" si="3"/>
        <v>70.519934296192716</v>
      </c>
      <c r="W85" s="193">
        <f t="shared" si="3"/>
        <v>0</v>
      </c>
    </row>
    <row r="86" spans="2:23" ht="15.75">
      <c r="B86" s="11" t="s">
        <v>263</v>
      </c>
      <c r="C86" s="141"/>
      <c r="I86" s="249" t="s">
        <v>287</v>
      </c>
      <c r="N86" s="249"/>
      <c r="O86" s="191" t="s">
        <v>274</v>
      </c>
      <c r="Q86" s="4"/>
      <c r="R86" s="4"/>
      <c r="S86" s="5"/>
      <c r="T86" s="6"/>
      <c r="U86" s="5"/>
      <c r="V86" s="7"/>
    </row>
    <row r="87" spans="2:23">
      <c r="B87" s="134"/>
      <c r="C87" s="204" t="s">
        <v>9</v>
      </c>
      <c r="D87" s="205"/>
      <c r="E87" s="206"/>
      <c r="F87" s="207" t="s">
        <v>99</v>
      </c>
      <c r="G87" s="207"/>
      <c r="H87" s="208"/>
      <c r="I87" s="232" t="s">
        <v>27</v>
      </c>
      <c r="J87" s="232"/>
      <c r="K87" s="233" t="s">
        <v>11</v>
      </c>
      <c r="L87" s="233"/>
      <c r="M87" s="233" t="s">
        <v>12</v>
      </c>
      <c r="N87" s="357"/>
      <c r="O87" s="233" t="s">
        <v>13</v>
      </c>
      <c r="P87" s="233" t="s">
        <v>6</v>
      </c>
      <c r="Q87" s="233" t="s">
        <v>14</v>
      </c>
      <c r="R87" s="233" t="s">
        <v>15</v>
      </c>
      <c r="S87" s="233" t="s">
        <v>66</v>
      </c>
      <c r="T87" s="233" t="s">
        <v>89</v>
      </c>
      <c r="U87" s="233" t="s">
        <v>91</v>
      </c>
      <c r="V87" s="233" t="s">
        <v>90</v>
      </c>
      <c r="W87" s="233" t="s">
        <v>92</v>
      </c>
    </row>
    <row r="88" spans="2:23">
      <c r="B88" s="134"/>
      <c r="C88" s="212"/>
      <c r="D88" s="197"/>
      <c r="E88" s="212"/>
      <c r="F88" s="213" t="s">
        <v>100</v>
      </c>
      <c r="G88" s="197"/>
      <c r="H88" s="214"/>
      <c r="I88" s="234"/>
      <c r="J88" s="234"/>
      <c r="K88" s="362" t="s">
        <v>302</v>
      </c>
      <c r="L88" s="215"/>
      <c r="M88" s="362" t="s">
        <v>303</v>
      </c>
      <c r="N88" s="358"/>
      <c r="O88" s="235" t="s">
        <v>16</v>
      </c>
      <c r="P88" s="235" t="s">
        <v>5</v>
      </c>
      <c r="Q88" s="235" t="s">
        <v>17</v>
      </c>
      <c r="R88" s="235" t="s">
        <v>8</v>
      </c>
      <c r="S88" s="235" t="s">
        <v>7</v>
      </c>
      <c r="T88" s="235" t="s">
        <v>18</v>
      </c>
      <c r="U88" s="235" t="s">
        <v>8</v>
      </c>
      <c r="V88" s="235" t="s">
        <v>8</v>
      </c>
      <c r="W88" s="235" t="s">
        <v>8</v>
      </c>
    </row>
    <row r="89" spans="2:23">
      <c r="B89" s="134">
        <v>36</v>
      </c>
      <c r="C89" s="226" t="s">
        <v>193</v>
      </c>
      <c r="D89" s="227"/>
      <c r="E89" s="399" t="s">
        <v>155</v>
      </c>
      <c r="F89" s="70"/>
      <c r="G89" s="70"/>
      <c r="H89" s="280"/>
      <c r="I89" s="14">
        <v>12</v>
      </c>
      <c r="J89" s="119" t="s">
        <v>119</v>
      </c>
      <c r="K89" s="14">
        <v>365</v>
      </c>
      <c r="L89" s="106" t="s">
        <v>123</v>
      </c>
      <c r="M89" s="101">
        <f>I89/1000*K89</f>
        <v>4.38</v>
      </c>
      <c r="N89" s="359" t="s">
        <v>304</v>
      </c>
      <c r="O89" s="183">
        <v>20</v>
      </c>
      <c r="P89" s="16"/>
      <c r="Q89" s="241">
        <f t="shared" ref="Q89:Q94" si="4">M89</f>
        <v>4.38</v>
      </c>
      <c r="R89" s="18"/>
      <c r="S89" s="153">
        <f>M89*(M18+N18)/1000</f>
        <v>8.7610949999999987E-9</v>
      </c>
      <c r="T89" s="153">
        <f>S89*1000000*J19</f>
        <v>4.2929365499999992E-10</v>
      </c>
      <c r="U89" s="153">
        <f>S89*1000000*J20</f>
        <v>2.6984172599999998E-12</v>
      </c>
      <c r="V89" s="153">
        <f>S89*1000000*J21</f>
        <v>1.4718639599999997E-12</v>
      </c>
      <c r="W89" s="18"/>
    </row>
    <row r="90" spans="2:23">
      <c r="B90" s="134">
        <v>37</v>
      </c>
      <c r="C90" s="226" t="s">
        <v>194</v>
      </c>
      <c r="D90" s="227"/>
      <c r="E90" s="405" t="s">
        <v>103</v>
      </c>
      <c r="F90" s="70"/>
      <c r="G90" s="70"/>
      <c r="H90" s="280"/>
      <c r="I90" s="14">
        <v>2</v>
      </c>
      <c r="J90" s="119" t="s">
        <v>119</v>
      </c>
      <c r="K90" s="101">
        <f>3*365</f>
        <v>1095</v>
      </c>
      <c r="L90" s="122" t="s">
        <v>123</v>
      </c>
      <c r="M90" s="101">
        <f>K90*I90/1000</f>
        <v>2.19</v>
      </c>
      <c r="N90" s="359" t="s">
        <v>304</v>
      </c>
      <c r="O90" s="183">
        <v>20</v>
      </c>
      <c r="P90" s="16"/>
      <c r="Q90" s="241">
        <f t="shared" si="4"/>
        <v>2.19</v>
      </c>
      <c r="R90" s="18"/>
      <c r="S90" s="153">
        <f>M90*(M18+N18)/1000</f>
        <v>4.3805474999999993E-9</v>
      </c>
      <c r="T90" s="153">
        <f>S90*1000000*J19</f>
        <v>2.1464682749999996E-10</v>
      </c>
      <c r="U90" s="153">
        <f>S90*1000000*J20</f>
        <v>1.3492086299999999E-12</v>
      </c>
      <c r="V90" s="153">
        <f>S90*1000000*J21</f>
        <v>7.3593197999999985E-13</v>
      </c>
      <c r="W90" s="18"/>
    </row>
    <row r="91" spans="2:23">
      <c r="B91" s="134">
        <v>38</v>
      </c>
      <c r="C91" s="226" t="s">
        <v>195</v>
      </c>
      <c r="D91" s="227"/>
      <c r="E91" s="405" t="s">
        <v>104</v>
      </c>
      <c r="F91" s="70"/>
      <c r="G91" s="70"/>
      <c r="H91" s="280"/>
      <c r="I91" s="14">
        <v>12</v>
      </c>
      <c r="J91" s="119" t="s">
        <v>136</v>
      </c>
      <c r="K91" s="14">
        <v>70</v>
      </c>
      <c r="L91" s="106" t="s">
        <v>131</v>
      </c>
      <c r="M91" s="101">
        <f>K91*I91/1000</f>
        <v>0.84</v>
      </c>
      <c r="N91" s="359" t="s">
        <v>304</v>
      </c>
      <c r="O91" s="183">
        <v>20</v>
      </c>
      <c r="P91" s="16"/>
      <c r="Q91" s="241">
        <f t="shared" si="4"/>
        <v>0.84</v>
      </c>
      <c r="R91" s="18"/>
      <c r="S91" s="153">
        <f>M91*(M18+N18)/1000</f>
        <v>1.6802099999999999E-9</v>
      </c>
      <c r="T91" s="153">
        <f>S91*1000000*J19</f>
        <v>8.2330290000000001E-11</v>
      </c>
      <c r="U91" s="153">
        <f>S91*1000000*J20</f>
        <v>5.1750467999999998E-13</v>
      </c>
      <c r="V91" s="153">
        <f>S91*1000000*J21</f>
        <v>2.8227527999999998E-13</v>
      </c>
      <c r="W91" s="18"/>
    </row>
    <row r="92" spans="2:23">
      <c r="B92" s="134">
        <v>39</v>
      </c>
      <c r="C92" s="226" t="s">
        <v>196</v>
      </c>
      <c r="D92" s="227"/>
      <c r="E92" s="399" t="s">
        <v>105</v>
      </c>
      <c r="F92" s="70"/>
      <c r="G92" s="70"/>
      <c r="H92" s="280"/>
      <c r="I92" s="14">
        <v>120</v>
      </c>
      <c r="J92" s="119" t="s">
        <v>119</v>
      </c>
      <c r="K92" s="101">
        <f>15*12</f>
        <v>180</v>
      </c>
      <c r="L92" s="122" t="s">
        <v>123</v>
      </c>
      <c r="M92" s="101">
        <f>K92*I92/3/1000</f>
        <v>7.2</v>
      </c>
      <c r="N92" s="359" t="s">
        <v>299</v>
      </c>
      <c r="O92" s="184">
        <v>20</v>
      </c>
      <c r="P92" s="16"/>
      <c r="Q92" s="241">
        <f t="shared" si="4"/>
        <v>7.2</v>
      </c>
      <c r="R92" s="18"/>
      <c r="S92" s="153">
        <f>M92*(M18+N18)/1000</f>
        <v>1.44018E-8</v>
      </c>
      <c r="T92" s="153">
        <f>S92*1000000*J19</f>
        <v>7.0568820000000002E-10</v>
      </c>
      <c r="U92" s="153">
        <f>S92*1000000*J20</f>
        <v>4.4357544000000005E-12</v>
      </c>
      <c r="V92" s="153">
        <f>S92*1000000*J21</f>
        <v>2.4195023999999997E-12</v>
      </c>
      <c r="W92" s="18"/>
    </row>
    <row r="93" spans="2:23">
      <c r="B93" s="134">
        <v>40</v>
      </c>
      <c r="C93" s="226" t="s">
        <v>197</v>
      </c>
      <c r="D93" s="227"/>
      <c r="E93" s="405" t="s">
        <v>106</v>
      </c>
      <c r="F93" s="70"/>
      <c r="G93" s="70"/>
      <c r="H93" s="280"/>
      <c r="I93" s="14">
        <v>40</v>
      </c>
      <c r="J93" s="119" t="s">
        <v>119</v>
      </c>
      <c r="K93" s="101">
        <f>10*12</f>
        <v>120</v>
      </c>
      <c r="L93" s="122" t="s">
        <v>123</v>
      </c>
      <c r="M93" s="101">
        <f>K93*I93/1000</f>
        <v>4.8</v>
      </c>
      <c r="N93" s="359" t="s">
        <v>299</v>
      </c>
      <c r="O93" s="184">
        <v>20</v>
      </c>
      <c r="P93" s="16"/>
      <c r="Q93" s="241">
        <f t="shared" si="4"/>
        <v>4.8</v>
      </c>
      <c r="R93" s="18"/>
      <c r="S93" s="153">
        <f>M93*(M18+N18)/1000</f>
        <v>9.6012000000000003E-9</v>
      </c>
      <c r="T93" s="153">
        <f>S93*1000000*J19</f>
        <v>4.7045880000000008E-10</v>
      </c>
      <c r="U93" s="153">
        <f>S93*1000000*J20</f>
        <v>2.9571696000000006E-12</v>
      </c>
      <c r="V93" s="153">
        <f>S93*1000000*J21</f>
        <v>1.6130016E-12</v>
      </c>
      <c r="W93" s="18"/>
    </row>
    <row r="94" spans="2:23">
      <c r="B94" s="134">
        <v>41</v>
      </c>
      <c r="C94" s="226" t="s">
        <v>198</v>
      </c>
      <c r="D94" s="227"/>
      <c r="E94" s="399" t="s">
        <v>107</v>
      </c>
      <c r="F94" s="70"/>
      <c r="G94" s="70"/>
      <c r="H94" s="280"/>
      <c r="I94" s="14">
        <v>240</v>
      </c>
      <c r="J94" s="119" t="s">
        <v>119</v>
      </c>
      <c r="K94" s="14">
        <v>10</v>
      </c>
      <c r="L94" s="122" t="s">
        <v>123</v>
      </c>
      <c r="M94" s="101">
        <f>K94*I94*7/8/1000</f>
        <v>2.1</v>
      </c>
      <c r="N94" s="359" t="s">
        <v>299</v>
      </c>
      <c r="O94" s="184">
        <v>20</v>
      </c>
      <c r="P94" s="16"/>
      <c r="Q94" s="241">
        <f t="shared" si="4"/>
        <v>2.1</v>
      </c>
      <c r="R94" s="18"/>
      <c r="S94" s="153">
        <f>M94*(M18+N18)/1000</f>
        <v>4.2005249999999998E-9</v>
      </c>
      <c r="T94" s="153">
        <f>S94*1000000*J19</f>
        <v>2.0582572500000001E-10</v>
      </c>
      <c r="U94" s="153">
        <f>S94*1000000*J20</f>
        <v>1.2937617000000001E-12</v>
      </c>
      <c r="V94" s="153">
        <f>S94*1000000*J21</f>
        <v>7.0568819999999997E-13</v>
      </c>
      <c r="W94" s="18"/>
    </row>
    <row r="95" spans="2:23">
      <c r="B95" s="134">
        <v>42</v>
      </c>
      <c r="C95" s="226" t="s">
        <v>199</v>
      </c>
      <c r="D95" s="227"/>
      <c r="E95" s="405" t="s">
        <v>108</v>
      </c>
      <c r="F95" s="70"/>
      <c r="G95" s="70"/>
      <c r="H95" s="280"/>
      <c r="I95" s="14">
        <v>2</v>
      </c>
      <c r="J95" s="119" t="s">
        <v>137</v>
      </c>
      <c r="K95" s="14">
        <v>3000</v>
      </c>
      <c r="L95" s="123" t="s">
        <v>146</v>
      </c>
      <c r="M95" s="101">
        <f>K95*I95/1000000*365</f>
        <v>2.19</v>
      </c>
      <c r="N95" s="359" t="s">
        <v>297</v>
      </c>
      <c r="O95" s="184">
        <v>20</v>
      </c>
      <c r="P95" s="16"/>
      <c r="Q95" s="242"/>
      <c r="R95" s="18"/>
      <c r="S95" s="153">
        <f>I95*365/1000*N18</f>
        <v>8.7052500000000002E-7</v>
      </c>
      <c r="T95" s="153">
        <f>S95*1000000*J19</f>
        <v>4.2655725000000003E-8</v>
      </c>
      <c r="U95" s="153">
        <f>S95*1000000*J20</f>
        <v>2.6812170000000003E-10</v>
      </c>
      <c r="V95" s="153">
        <f>S95*1000000*J21</f>
        <v>1.4624819999999998E-10</v>
      </c>
      <c r="W95" s="153">
        <f>M95/1000</f>
        <v>2.1900000000000001E-3</v>
      </c>
    </row>
    <row r="96" spans="2:23">
      <c r="B96" s="134">
        <v>43</v>
      </c>
      <c r="C96" s="217" t="s">
        <v>200</v>
      </c>
      <c r="D96" s="201"/>
      <c r="E96" s="399" t="s">
        <v>156</v>
      </c>
      <c r="F96" s="70"/>
      <c r="G96" s="70"/>
      <c r="H96" s="280"/>
      <c r="I96" s="14">
        <v>18</v>
      </c>
      <c r="J96" s="119" t="s">
        <v>138</v>
      </c>
      <c r="K96" s="101">
        <f>I96*365</f>
        <v>6570</v>
      </c>
      <c r="L96" s="124" t="s">
        <v>140</v>
      </c>
      <c r="M96" s="181">
        <f>K96/1000*0.3</f>
        <v>1.9710000000000001</v>
      </c>
      <c r="N96" s="361" t="s">
        <v>305</v>
      </c>
      <c r="O96" s="183">
        <v>20</v>
      </c>
      <c r="P96" s="16"/>
      <c r="Q96" s="242"/>
      <c r="R96" s="18"/>
      <c r="S96" s="157"/>
      <c r="T96" s="157"/>
      <c r="U96" s="157"/>
      <c r="V96" s="157"/>
      <c r="W96" s="153">
        <f>M96/1000</f>
        <v>1.9710000000000001E-3</v>
      </c>
    </row>
    <row r="97" spans="2:33">
      <c r="B97" s="134">
        <v>44</v>
      </c>
      <c r="C97" s="226" t="s">
        <v>201</v>
      </c>
      <c r="D97" s="227"/>
      <c r="E97" s="399" t="s">
        <v>109</v>
      </c>
      <c r="F97" s="70"/>
      <c r="G97" s="70"/>
      <c r="H97" s="280"/>
      <c r="I97" s="14">
        <v>500</v>
      </c>
      <c r="J97" s="119" t="s">
        <v>144</v>
      </c>
      <c r="K97" s="14">
        <v>7</v>
      </c>
      <c r="L97" s="122" t="s">
        <v>123</v>
      </c>
      <c r="M97" s="101">
        <f>I97*K97/1000</f>
        <v>3.5</v>
      </c>
      <c r="N97" s="359" t="s">
        <v>297</v>
      </c>
      <c r="O97" s="184">
        <v>20</v>
      </c>
      <c r="P97" s="16"/>
      <c r="Q97" s="242"/>
      <c r="R97" s="18"/>
      <c r="S97" s="153">
        <f>I97/1000000*K97*N18/1000</f>
        <v>4.1737500000000001E-12</v>
      </c>
      <c r="T97" s="153">
        <f>S97*1000000*J19</f>
        <v>2.0451375000000002E-13</v>
      </c>
      <c r="U97" s="153">
        <f>S97*1000000*J20</f>
        <v>1.2855150000000003E-15</v>
      </c>
      <c r="V97" s="153">
        <f>S97*1000000*J21</f>
        <v>7.0119000000000006E-16</v>
      </c>
      <c r="W97" s="153">
        <f>M97/1000*T22</f>
        <v>3.5000000000000001E-3</v>
      </c>
    </row>
    <row r="98" spans="2:33">
      <c r="B98" s="134">
        <v>45</v>
      </c>
      <c r="C98" s="226" t="s">
        <v>202</v>
      </c>
      <c r="D98" s="227"/>
      <c r="E98" s="405" t="s">
        <v>110</v>
      </c>
      <c r="F98" s="70"/>
      <c r="G98" s="70"/>
      <c r="H98" s="280"/>
      <c r="I98" s="14">
        <v>35</v>
      </c>
      <c r="J98" s="119" t="s">
        <v>145</v>
      </c>
      <c r="K98" s="14">
        <v>10</v>
      </c>
      <c r="L98" s="125" t="s">
        <v>141</v>
      </c>
      <c r="M98" s="360">
        <f>I98*K98/1000000*365</f>
        <v>0.12775</v>
      </c>
      <c r="N98" s="359" t="s">
        <v>297</v>
      </c>
      <c r="O98" s="184">
        <v>20</v>
      </c>
      <c r="P98" s="16"/>
      <c r="Q98" s="242"/>
      <c r="R98" s="18"/>
      <c r="S98" s="153">
        <f>K98*365/1000000*N18/1000</f>
        <v>4.3526249999999997E-12</v>
      </c>
      <c r="T98" s="153">
        <f>S98*1000000*J19</f>
        <v>2.1327862499999999E-13</v>
      </c>
      <c r="U98" s="153">
        <f>S98*1000000*J20</f>
        <v>1.3406085E-15</v>
      </c>
      <c r="V98" s="153">
        <f>S98*1000000*J21</f>
        <v>7.3124099999999994E-16</v>
      </c>
      <c r="W98" s="153">
        <f>M98*1000000/1000000/1000</f>
        <v>1.2775000000000002E-4</v>
      </c>
    </row>
    <row r="99" spans="2:33">
      <c r="B99" s="134">
        <v>46</v>
      </c>
      <c r="C99" s="230" t="s">
        <v>203</v>
      </c>
      <c r="D99" s="231"/>
      <c r="E99" s="66" t="s">
        <v>111</v>
      </c>
      <c r="F99" s="67"/>
      <c r="G99" s="67"/>
      <c r="H99" s="281"/>
      <c r="I99" s="34">
        <v>1.2</v>
      </c>
      <c r="J99" s="120" t="s">
        <v>139</v>
      </c>
      <c r="K99" s="97">
        <f>15*12</f>
        <v>180</v>
      </c>
      <c r="L99" s="126" t="s">
        <v>123</v>
      </c>
      <c r="M99" s="97">
        <f>K99*I99/1000</f>
        <v>0.216</v>
      </c>
      <c r="N99" s="361" t="s">
        <v>305</v>
      </c>
      <c r="O99" s="185">
        <v>20</v>
      </c>
      <c r="P99" s="36"/>
      <c r="Q99" s="243"/>
      <c r="R99" s="50"/>
      <c r="S99" s="164"/>
      <c r="T99" s="164"/>
      <c r="U99" s="164"/>
      <c r="V99" s="164"/>
      <c r="W99" s="154">
        <f>M99/1000</f>
        <v>2.1599999999999999E-4</v>
      </c>
    </row>
    <row r="100" spans="2:33">
      <c r="B100" s="134"/>
      <c r="C100" s="236"/>
      <c r="D100" s="237"/>
      <c r="E100" s="65" t="s">
        <v>112</v>
      </c>
      <c r="F100" s="68"/>
      <c r="G100" s="68"/>
      <c r="H100" s="282"/>
      <c r="I100" s="20">
        <v>3</v>
      </c>
      <c r="J100" s="121" t="s">
        <v>119</v>
      </c>
      <c r="K100" s="98">
        <f>15*12</f>
        <v>180</v>
      </c>
      <c r="L100" s="127" t="s">
        <v>123</v>
      </c>
      <c r="M100" s="98">
        <f>K100*I100/1000</f>
        <v>0.54</v>
      </c>
      <c r="N100" s="359" t="s">
        <v>304</v>
      </c>
      <c r="O100" s="186">
        <v>20</v>
      </c>
      <c r="P100" s="23"/>
      <c r="Q100" s="244">
        <f>M100</f>
        <v>0.54</v>
      </c>
      <c r="R100" s="32"/>
      <c r="S100" s="156">
        <f>I100/1000*K100*(M18+N18)/1000</f>
        <v>1.0801350000000002E-9</v>
      </c>
      <c r="T100" s="156">
        <f>S100*1000000*J19</f>
        <v>5.2926615000000015E-11</v>
      </c>
      <c r="U100" s="156">
        <f>S100*1000000*J20</f>
        <v>3.326815800000001E-13</v>
      </c>
      <c r="V100" s="156">
        <f>S100*1000000*J21</f>
        <v>1.8146268000000004E-13</v>
      </c>
      <c r="W100" s="32"/>
    </row>
    <row r="101" spans="2:33">
      <c r="B101" s="134"/>
      <c r="C101" s="140"/>
      <c r="D101" s="174" t="s">
        <v>253</v>
      </c>
      <c r="E101" s="84"/>
      <c r="F101" s="84"/>
      <c r="G101" s="84"/>
      <c r="H101" s="85"/>
      <c r="I101" s="89"/>
      <c r="J101" s="89"/>
      <c r="K101" s="89"/>
      <c r="L101" s="89"/>
      <c r="M101" s="89"/>
      <c r="N101" s="89"/>
      <c r="O101" s="89"/>
      <c r="P101" s="193">
        <f t="shared" ref="P101:W101" si="5">(SUM(P92:P98)-P96)*0.2*世帯+(SUM(P89:P91)+P96+SUM(P99:P100))*0.2*人口</f>
        <v>0</v>
      </c>
      <c r="Q101" s="193">
        <f t="shared" si="5"/>
        <v>6025381.9199999999</v>
      </c>
      <c r="R101" s="193">
        <f t="shared" si="5"/>
        <v>0</v>
      </c>
      <c r="S101" s="193">
        <f t="shared" si="5"/>
        <v>0.15360728941544491</v>
      </c>
      <c r="T101" s="193">
        <f t="shared" si="5"/>
        <v>7.5267571813568013E-3</v>
      </c>
      <c r="U101" s="241">
        <f t="shared" si="5"/>
        <v>4.7311045139957034E-5</v>
      </c>
      <c r="V101" s="241">
        <f t="shared" si="5"/>
        <v>2.5806024621794742E-5</v>
      </c>
      <c r="W101" s="193">
        <f t="shared" si="5"/>
        <v>1972.8307818000001</v>
      </c>
    </row>
    <row r="102" spans="2:33" s="179" customFormat="1">
      <c r="B102" s="180"/>
      <c r="C102" s="245"/>
      <c r="D102" s="245"/>
      <c r="E102" s="246"/>
      <c r="F102" s="246"/>
      <c r="G102" s="72"/>
      <c r="H102" s="72"/>
      <c r="I102" s="247"/>
      <c r="J102" s="247"/>
      <c r="K102" s="247"/>
      <c r="L102" s="247"/>
      <c r="M102" s="247"/>
      <c r="N102" s="247"/>
      <c r="O102" s="247"/>
      <c r="P102" s="247"/>
      <c r="Q102" s="248"/>
      <c r="R102" s="248"/>
      <c r="S102" s="248"/>
      <c r="T102" s="248"/>
      <c r="U102" s="248"/>
      <c r="V102" s="248"/>
      <c r="W102" s="248"/>
    </row>
    <row r="103" spans="2:33" ht="18.75" customHeight="1">
      <c r="B103" s="385" t="s">
        <v>205</v>
      </c>
      <c r="G103" s="191" t="s">
        <v>314</v>
      </c>
      <c r="V103" s="352" t="s">
        <v>290</v>
      </c>
      <c r="W103" s="191" t="s">
        <v>320</v>
      </c>
    </row>
    <row r="104" spans="2:33" ht="61.5" customHeight="1">
      <c r="B104" s="136" t="s">
        <v>113</v>
      </c>
      <c r="C104" s="383" t="s">
        <v>46</v>
      </c>
      <c r="D104" s="383" t="s">
        <v>256</v>
      </c>
      <c r="E104" s="383" t="s">
        <v>244</v>
      </c>
      <c r="F104" s="383" t="s">
        <v>310</v>
      </c>
      <c r="G104" s="383" t="s">
        <v>311</v>
      </c>
      <c r="H104" s="383" t="s">
        <v>312</v>
      </c>
      <c r="I104" s="383" t="s">
        <v>48</v>
      </c>
      <c r="J104" s="393" t="s">
        <v>321</v>
      </c>
      <c r="K104" s="393" t="s">
        <v>322</v>
      </c>
      <c r="L104" s="393" t="s">
        <v>323</v>
      </c>
      <c r="M104" s="383" t="s">
        <v>53</v>
      </c>
      <c r="N104" s="383" t="s">
        <v>54</v>
      </c>
      <c r="O104" s="393" t="s">
        <v>55</v>
      </c>
      <c r="P104" s="384" t="s">
        <v>47</v>
      </c>
      <c r="Q104" s="383" t="s">
        <v>50</v>
      </c>
      <c r="R104" s="383" t="s">
        <v>49</v>
      </c>
      <c r="S104" s="383" t="s">
        <v>51</v>
      </c>
      <c r="T104" s="384" t="s">
        <v>52</v>
      </c>
      <c r="U104" s="389" t="s">
        <v>56</v>
      </c>
      <c r="V104" s="392" t="s">
        <v>57</v>
      </c>
      <c r="W104" s="383" t="s">
        <v>58</v>
      </c>
      <c r="X104" s="383" t="s">
        <v>59</v>
      </c>
      <c r="Y104" s="383" t="s">
        <v>60</v>
      </c>
      <c r="Z104" s="383" t="s">
        <v>61</v>
      </c>
      <c r="AA104" s="383" t="s">
        <v>62</v>
      </c>
      <c r="AB104" s="383" t="s">
        <v>63</v>
      </c>
      <c r="AC104" s="383" t="s">
        <v>324</v>
      </c>
      <c r="AD104" s="384" t="s">
        <v>64</v>
      </c>
      <c r="AE104" s="401" t="s">
        <v>114</v>
      </c>
      <c r="AF104" s="383" t="s">
        <v>113</v>
      </c>
    </row>
    <row r="105" spans="2:33" ht="12" customHeight="1">
      <c r="B105" s="16" t="s">
        <v>219</v>
      </c>
      <c r="C105" s="178">
        <v>2230.1950000000002</v>
      </c>
      <c r="D105" s="178">
        <v>688.97900000000004</v>
      </c>
      <c r="E105" s="388">
        <v>259132</v>
      </c>
      <c r="F105" s="370">
        <v>40.333135413009977</v>
      </c>
      <c r="G105" s="177">
        <v>834817</v>
      </c>
      <c r="H105" s="177">
        <f t="shared" ref="H105:H125" si="6">G105/365</f>
        <v>2287.1698630136984</v>
      </c>
      <c r="I105" s="177">
        <v>1527</v>
      </c>
      <c r="J105" s="351">
        <v>11746.45923226911</v>
      </c>
      <c r="K105" s="351">
        <v>14268.751572437695</v>
      </c>
      <c r="L105" s="351">
        <v>4946.35473989825</v>
      </c>
      <c r="M105" s="177">
        <v>2575</v>
      </c>
      <c r="N105" s="177">
        <v>6714</v>
      </c>
      <c r="O105" s="177">
        <v>3327</v>
      </c>
      <c r="P105" s="353">
        <f>SUM(M105:O105)</f>
        <v>12616</v>
      </c>
      <c r="Q105" s="177">
        <v>313</v>
      </c>
      <c r="R105" s="177">
        <v>4898</v>
      </c>
      <c r="S105" s="177">
        <v>3197</v>
      </c>
      <c r="T105" s="353">
        <f>SUM(Q105:S105)</f>
        <v>8408</v>
      </c>
      <c r="U105" s="390">
        <v>1482.9670000000001</v>
      </c>
      <c r="V105" s="177">
        <v>880260</v>
      </c>
      <c r="W105" s="177">
        <v>0</v>
      </c>
      <c r="X105" s="177">
        <v>75337</v>
      </c>
      <c r="Y105" s="177">
        <v>683825</v>
      </c>
      <c r="Z105" s="177">
        <v>810690</v>
      </c>
      <c r="AA105" s="177">
        <v>936879</v>
      </c>
      <c r="AB105" s="177">
        <v>15852</v>
      </c>
      <c r="AC105" s="177">
        <v>627105</v>
      </c>
      <c r="AD105" s="400">
        <f t="shared" ref="AD105:AD134" si="7">SUM(AA105:AC105)</f>
        <v>1579836</v>
      </c>
      <c r="AE105" s="139">
        <f t="shared" ref="AE105:AE131" si="8">SUM(V105:AC105)</f>
        <v>4029948</v>
      </c>
      <c r="AF105" s="16" t="s">
        <v>219</v>
      </c>
      <c r="AG105" s="404"/>
    </row>
    <row r="106" spans="2:33" ht="12" customHeight="1">
      <c r="B106" s="16" t="s">
        <v>220</v>
      </c>
      <c r="C106" s="178">
        <v>2244.614</v>
      </c>
      <c r="D106" s="178">
        <v>702.58900000000006</v>
      </c>
      <c r="E106" s="388">
        <v>267877</v>
      </c>
      <c r="F106" s="370">
        <v>43.398668713335049</v>
      </c>
      <c r="G106" s="177">
        <v>870569</v>
      </c>
      <c r="H106" s="177">
        <f t="shared" si="6"/>
        <v>2385.1205479452055</v>
      </c>
      <c r="I106" s="177">
        <v>1583</v>
      </c>
      <c r="J106" s="351">
        <v>10670.544217279758</v>
      </c>
      <c r="K106" s="351">
        <v>14300.834651695204</v>
      </c>
      <c r="L106" s="351">
        <v>4477.6024824867482</v>
      </c>
      <c r="M106" s="177">
        <v>2730</v>
      </c>
      <c r="N106" s="177">
        <v>7127</v>
      </c>
      <c r="O106" s="177">
        <v>3514</v>
      </c>
      <c r="P106" s="353">
        <f t="shared" ref="P106:P131" si="9">SUM(M106:O106)</f>
        <v>13371</v>
      </c>
      <c r="Q106" s="177">
        <v>334.262</v>
      </c>
      <c r="R106" s="177">
        <v>6722</v>
      </c>
      <c r="S106" s="177">
        <v>3016.5340000000001</v>
      </c>
      <c r="T106" s="353">
        <f t="shared" ref="T106:T131" si="10">SUM(Q106:S106)</f>
        <v>10072.796</v>
      </c>
      <c r="U106" s="390">
        <v>1528.259</v>
      </c>
      <c r="V106" s="177">
        <v>932488</v>
      </c>
      <c r="W106" s="177">
        <v>0</v>
      </c>
      <c r="X106" s="177">
        <v>78080</v>
      </c>
      <c r="Y106" s="177">
        <v>691667</v>
      </c>
      <c r="Z106" s="177">
        <v>875884</v>
      </c>
      <c r="AA106" s="177">
        <v>931434</v>
      </c>
      <c r="AB106" s="177">
        <v>13988</v>
      </c>
      <c r="AC106" s="177">
        <v>870504</v>
      </c>
      <c r="AD106" s="400">
        <f t="shared" si="7"/>
        <v>1815926</v>
      </c>
      <c r="AE106" s="139">
        <f t="shared" si="8"/>
        <v>4394045</v>
      </c>
      <c r="AF106" s="16" t="s">
        <v>220</v>
      </c>
      <c r="AG106" s="404"/>
    </row>
    <row r="107" spans="2:33" ht="12" customHeight="1">
      <c r="B107" s="16" t="s">
        <v>221</v>
      </c>
      <c r="C107" s="178">
        <v>2261.2130000000002</v>
      </c>
      <c r="D107" s="178">
        <v>718.11099999999999</v>
      </c>
      <c r="E107" s="388">
        <v>267218</v>
      </c>
      <c r="F107" s="370">
        <v>46.028632969735852</v>
      </c>
      <c r="G107" s="177">
        <v>862274</v>
      </c>
      <c r="H107" s="177">
        <f t="shared" si="6"/>
        <v>2362.3945205479454</v>
      </c>
      <c r="I107" s="177">
        <v>1622</v>
      </c>
      <c r="J107" s="351">
        <v>10831.740572583247</v>
      </c>
      <c r="K107" s="351">
        <v>14915.766620871749</v>
      </c>
      <c r="L107" s="351">
        <v>4199.4179474202911</v>
      </c>
      <c r="M107" s="177">
        <v>2905</v>
      </c>
      <c r="N107" s="177">
        <v>7205</v>
      </c>
      <c r="O107" s="177">
        <v>3419</v>
      </c>
      <c r="P107" s="353">
        <f t="shared" si="9"/>
        <v>13529</v>
      </c>
      <c r="Q107" s="177">
        <v>352.714</v>
      </c>
      <c r="R107" s="177">
        <v>5607</v>
      </c>
      <c r="S107" s="177">
        <v>3552.2759999999998</v>
      </c>
      <c r="T107" s="353">
        <f t="shared" si="10"/>
        <v>9511.99</v>
      </c>
      <c r="U107" s="390">
        <v>1620.5989999999999</v>
      </c>
      <c r="V107" s="177">
        <v>966639</v>
      </c>
      <c r="W107" s="177">
        <v>0</v>
      </c>
      <c r="X107" s="177">
        <v>81720</v>
      </c>
      <c r="Y107" s="177">
        <v>747626</v>
      </c>
      <c r="Z107" s="177">
        <v>973663</v>
      </c>
      <c r="AA107" s="177">
        <v>954881</v>
      </c>
      <c r="AB107" s="177">
        <v>4029</v>
      </c>
      <c r="AC107" s="177">
        <v>716846</v>
      </c>
      <c r="AD107" s="400">
        <f t="shared" si="7"/>
        <v>1675756</v>
      </c>
      <c r="AE107" s="139">
        <f t="shared" si="8"/>
        <v>4445404</v>
      </c>
      <c r="AF107" s="16" t="s">
        <v>221</v>
      </c>
      <c r="AG107" s="404"/>
    </row>
    <row r="108" spans="2:33" ht="12" customHeight="1">
      <c r="B108" s="16" t="s">
        <v>222</v>
      </c>
      <c r="C108" s="178">
        <v>2276.9769999999999</v>
      </c>
      <c r="D108" s="178">
        <v>733.28899999999999</v>
      </c>
      <c r="E108" s="388">
        <v>277216</v>
      </c>
      <c r="F108" s="370">
        <v>48.502086888112352</v>
      </c>
      <c r="G108" s="177">
        <v>894139</v>
      </c>
      <c r="H108" s="177">
        <f t="shared" si="6"/>
        <v>2449.6958904109588</v>
      </c>
      <c r="I108" s="177">
        <v>1694</v>
      </c>
      <c r="J108" s="351">
        <v>12055.811450275405</v>
      </c>
      <c r="K108" s="351">
        <v>15286.286600828042</v>
      </c>
      <c r="L108" s="351">
        <v>4756.7569453693095</v>
      </c>
      <c r="M108" s="177">
        <v>3093.3130000000001</v>
      </c>
      <c r="N108" s="177">
        <v>7270.8819999999996</v>
      </c>
      <c r="O108" s="177">
        <v>3322.0630000000001</v>
      </c>
      <c r="P108" s="353">
        <f t="shared" si="9"/>
        <v>13686.258</v>
      </c>
      <c r="Q108" s="177">
        <v>293.36399999999998</v>
      </c>
      <c r="R108" s="177">
        <v>5639</v>
      </c>
      <c r="S108" s="177">
        <v>3311.2750000000001</v>
      </c>
      <c r="T108" s="353">
        <f t="shared" si="10"/>
        <v>9243.6389999999992</v>
      </c>
      <c r="U108" s="390">
        <v>1737.606</v>
      </c>
      <c r="V108" s="177">
        <v>998577</v>
      </c>
      <c r="W108" s="177">
        <v>0</v>
      </c>
      <c r="X108" s="177">
        <v>93162</v>
      </c>
      <c r="Y108" s="177">
        <v>771476</v>
      </c>
      <c r="Z108" s="177">
        <v>994463</v>
      </c>
      <c r="AA108" s="177">
        <v>861570</v>
      </c>
      <c r="AB108" s="177">
        <v>114</v>
      </c>
      <c r="AC108" s="177">
        <v>867965</v>
      </c>
      <c r="AD108" s="400">
        <f t="shared" si="7"/>
        <v>1729649</v>
      </c>
      <c r="AE108" s="139">
        <f t="shared" si="8"/>
        <v>4587327</v>
      </c>
      <c r="AF108" s="16" t="s">
        <v>222</v>
      </c>
      <c r="AG108" s="404"/>
    </row>
    <row r="109" spans="2:33" ht="12" customHeight="1">
      <c r="B109" s="16" t="s">
        <v>223</v>
      </c>
      <c r="C109" s="178">
        <v>2291.3380000000002</v>
      </c>
      <c r="D109" s="178">
        <v>747.27499999999998</v>
      </c>
      <c r="E109" s="388">
        <v>277967</v>
      </c>
      <c r="F109" s="370">
        <v>50.91227988856302</v>
      </c>
      <c r="G109" s="177">
        <v>896542</v>
      </c>
      <c r="H109" s="177">
        <f t="shared" si="6"/>
        <v>2456.2794520547945</v>
      </c>
      <c r="I109" s="177">
        <v>1689</v>
      </c>
      <c r="J109" s="351">
        <v>11158.1991401988</v>
      </c>
      <c r="K109" s="351">
        <v>14470.788260734986</v>
      </c>
      <c r="L109" s="351">
        <v>4581.1076365767258</v>
      </c>
      <c r="M109" s="177">
        <v>3240.4679999999998</v>
      </c>
      <c r="N109" s="177">
        <v>7352.9650000000001</v>
      </c>
      <c r="O109" s="177">
        <v>3296.6030000000001</v>
      </c>
      <c r="P109" s="353">
        <f t="shared" si="9"/>
        <v>13890.036</v>
      </c>
      <c r="Q109" s="177">
        <v>352.15499999999997</v>
      </c>
      <c r="R109" s="177">
        <v>5016.8710000000001</v>
      </c>
      <c r="S109" s="177">
        <v>3472.5770000000002</v>
      </c>
      <c r="T109" s="353">
        <f t="shared" si="10"/>
        <v>8841.6029999999992</v>
      </c>
      <c r="U109" s="390">
        <v>1779.9770000000001</v>
      </c>
      <c r="V109" s="177">
        <v>1027222</v>
      </c>
      <c r="W109" s="177">
        <v>0</v>
      </c>
      <c r="X109" s="177">
        <v>92960</v>
      </c>
      <c r="Y109" s="177">
        <v>779610</v>
      </c>
      <c r="Z109" s="177">
        <v>991258</v>
      </c>
      <c r="AA109" s="177">
        <v>808554</v>
      </c>
      <c r="AB109" s="177">
        <v>160</v>
      </c>
      <c r="AC109" s="177">
        <v>637356</v>
      </c>
      <c r="AD109" s="400">
        <f t="shared" si="7"/>
        <v>1446070</v>
      </c>
      <c r="AE109" s="139">
        <f t="shared" si="8"/>
        <v>4337120</v>
      </c>
      <c r="AF109" s="16" t="s">
        <v>223</v>
      </c>
      <c r="AG109" s="404"/>
    </row>
    <row r="110" spans="2:33" ht="12" customHeight="1">
      <c r="B110" s="16" t="s">
        <v>224</v>
      </c>
      <c r="C110" s="178">
        <v>2304.6280000000002</v>
      </c>
      <c r="D110" s="178">
        <v>760.78899999999999</v>
      </c>
      <c r="E110" s="388">
        <v>289774</v>
      </c>
      <c r="F110" s="370">
        <v>53.757702562889307</v>
      </c>
      <c r="G110" s="177">
        <v>926686</v>
      </c>
      <c r="H110" s="177">
        <f t="shared" si="6"/>
        <v>2538.8657534246577</v>
      </c>
      <c r="I110" s="177">
        <v>1751</v>
      </c>
      <c r="J110" s="351">
        <v>11737.583763921117</v>
      </c>
      <c r="K110" s="351">
        <v>15051.37512391436</v>
      </c>
      <c r="L110" s="351">
        <v>4998.8232160456009</v>
      </c>
      <c r="M110" s="177">
        <v>3468.16</v>
      </c>
      <c r="N110" s="177">
        <v>8072.491</v>
      </c>
      <c r="O110" s="177">
        <v>3528.364</v>
      </c>
      <c r="P110" s="353">
        <f t="shared" si="9"/>
        <v>15069.014999999999</v>
      </c>
      <c r="Q110" s="177">
        <v>257.04199999999997</v>
      </c>
      <c r="R110" s="177">
        <v>5773.1459999999997</v>
      </c>
      <c r="S110" s="177">
        <v>4137.8779999999997</v>
      </c>
      <c r="T110" s="353">
        <f t="shared" si="10"/>
        <v>10168.065999999999</v>
      </c>
      <c r="U110" s="390">
        <v>1791.0419999999999</v>
      </c>
      <c r="V110" s="177">
        <v>1066437</v>
      </c>
      <c r="W110" s="177">
        <v>0</v>
      </c>
      <c r="X110" s="177">
        <v>86733</v>
      </c>
      <c r="Y110" s="177">
        <v>767434</v>
      </c>
      <c r="Z110" s="177">
        <v>1052715</v>
      </c>
      <c r="AA110" s="177">
        <v>825170</v>
      </c>
      <c r="AB110" s="177">
        <v>230</v>
      </c>
      <c r="AC110" s="177">
        <v>869507</v>
      </c>
      <c r="AD110" s="400">
        <f t="shared" si="7"/>
        <v>1694907</v>
      </c>
      <c r="AE110" s="139">
        <f t="shared" si="8"/>
        <v>4668226</v>
      </c>
      <c r="AF110" s="16" t="s">
        <v>224</v>
      </c>
      <c r="AG110" s="404"/>
    </row>
    <row r="111" spans="2:33" ht="12" customHeight="1">
      <c r="B111" s="16" t="s">
        <v>225</v>
      </c>
      <c r="C111" s="178">
        <v>2318.7260000000001</v>
      </c>
      <c r="D111" s="178">
        <v>774.44799999999998</v>
      </c>
      <c r="E111" s="388">
        <v>290685</v>
      </c>
      <c r="F111" s="370">
        <v>57.015269262648971</v>
      </c>
      <c r="G111" s="351">
        <f>(G113-G110)/3+G110</f>
        <v>919625</v>
      </c>
      <c r="H111" s="351">
        <f t="shared" si="6"/>
        <v>2519.5205479452056</v>
      </c>
      <c r="I111" s="177">
        <v>1929</v>
      </c>
      <c r="J111" s="351">
        <v>12289.151975670116</v>
      </c>
      <c r="K111" s="351">
        <v>16112.529567934482</v>
      </c>
      <c r="L111" s="351">
        <v>4700.1316357243695</v>
      </c>
      <c r="M111" s="177">
        <v>3649.6030000000001</v>
      </c>
      <c r="N111" s="177">
        <v>8191.8580000000002</v>
      </c>
      <c r="O111" s="177">
        <v>3622.8449999999998</v>
      </c>
      <c r="P111" s="353">
        <f t="shared" si="9"/>
        <v>15464.305999999999</v>
      </c>
      <c r="Q111" s="177">
        <v>302.76900000000001</v>
      </c>
      <c r="R111" s="177">
        <v>3837.4949999999999</v>
      </c>
      <c r="S111" s="177">
        <v>8458.9779999999992</v>
      </c>
      <c r="T111" s="353">
        <f t="shared" si="10"/>
        <v>12599.241999999998</v>
      </c>
      <c r="U111" s="390">
        <v>1862.81</v>
      </c>
      <c r="V111" s="177">
        <v>1088695</v>
      </c>
      <c r="W111" s="177">
        <v>0</v>
      </c>
      <c r="X111" s="177">
        <v>88560</v>
      </c>
      <c r="Y111" s="177">
        <v>778775</v>
      </c>
      <c r="Z111" s="177">
        <v>1104083</v>
      </c>
      <c r="AA111" s="177">
        <v>852022</v>
      </c>
      <c r="AB111" s="177">
        <v>180</v>
      </c>
      <c r="AC111" s="177">
        <v>626058</v>
      </c>
      <c r="AD111" s="400">
        <f t="shared" si="7"/>
        <v>1478260</v>
      </c>
      <c r="AE111" s="139">
        <f t="shared" si="8"/>
        <v>4538373</v>
      </c>
      <c r="AF111" s="16" t="s">
        <v>225</v>
      </c>
      <c r="AG111" s="404"/>
    </row>
    <row r="112" spans="2:33" ht="12" customHeight="1">
      <c r="B112" s="16" t="s">
        <v>226</v>
      </c>
      <c r="C112" s="178">
        <v>2329.973</v>
      </c>
      <c r="D112" s="178">
        <v>788.18200000000002</v>
      </c>
      <c r="E112" s="388">
        <v>290669</v>
      </c>
      <c r="F112" s="370">
        <f>(F113-F111)/2+F111</f>
        <v>58.199440433665686</v>
      </c>
      <c r="G112" s="351">
        <f>(G113-G110)*2/3+G110</f>
        <v>912564</v>
      </c>
      <c r="H112" s="351">
        <f t="shared" si="6"/>
        <v>2500.1753424657536</v>
      </c>
      <c r="I112" s="177">
        <v>1979.0986301369862</v>
      </c>
      <c r="J112" s="351">
        <v>11449.354168910606</v>
      </c>
      <c r="K112" s="351">
        <v>15710.944420753527</v>
      </c>
      <c r="L112" s="351">
        <v>4369.5709985882859</v>
      </c>
      <c r="M112" s="177">
        <v>3782.0729999999999</v>
      </c>
      <c r="N112" s="177">
        <v>8691.0740000000005</v>
      </c>
      <c r="O112" s="177">
        <v>3987.7289999999998</v>
      </c>
      <c r="P112" s="353">
        <f t="shared" si="9"/>
        <v>16460.876</v>
      </c>
      <c r="Q112" s="177">
        <v>273.69200000000001</v>
      </c>
      <c r="R112" s="177">
        <v>4663.1809999999996</v>
      </c>
      <c r="S112" s="177">
        <v>10002.605</v>
      </c>
      <c r="T112" s="353">
        <f t="shared" si="10"/>
        <v>14939.477999999999</v>
      </c>
      <c r="U112" s="390">
        <v>1981.5060000000001</v>
      </c>
      <c r="V112" s="177">
        <v>1083091</v>
      </c>
      <c r="W112" s="177">
        <v>0</v>
      </c>
      <c r="X112" s="177">
        <v>106598</v>
      </c>
      <c r="Y112" s="177">
        <v>858945</v>
      </c>
      <c r="Z112" s="177">
        <v>1129559</v>
      </c>
      <c r="AA112" s="177">
        <v>850394</v>
      </c>
      <c r="AB112" s="177">
        <v>124</v>
      </c>
      <c r="AC112" s="177">
        <v>705494</v>
      </c>
      <c r="AD112" s="400">
        <f t="shared" si="7"/>
        <v>1556012</v>
      </c>
      <c r="AE112" s="139">
        <f t="shared" si="8"/>
        <v>4734205</v>
      </c>
      <c r="AF112" s="16" t="s">
        <v>226</v>
      </c>
      <c r="AG112" s="404"/>
    </row>
    <row r="113" spans="2:33" ht="12" customHeight="1">
      <c r="B113" s="16" t="s">
        <v>227</v>
      </c>
      <c r="C113" s="178">
        <v>2340.2579999999998</v>
      </c>
      <c r="D113" s="178">
        <v>801.53</v>
      </c>
      <c r="E113" s="388">
        <v>291675</v>
      </c>
      <c r="F113" s="370">
        <v>59.383611604682393</v>
      </c>
      <c r="G113" s="177">
        <v>905503</v>
      </c>
      <c r="H113" s="177">
        <f t="shared" si="6"/>
        <v>2480.8301369863016</v>
      </c>
      <c r="I113" s="177">
        <v>2052.2383561643837</v>
      </c>
      <c r="J113" s="351">
        <v>11272.902779273738</v>
      </c>
      <c r="K113" s="351">
        <v>15598.962947169019</v>
      </c>
      <c r="L113" s="351">
        <v>4069.0473323921906</v>
      </c>
      <c r="M113" s="177">
        <v>3903.8580000000002</v>
      </c>
      <c r="N113" s="177">
        <v>9104.4380000000001</v>
      </c>
      <c r="O113" s="177">
        <v>4116.75</v>
      </c>
      <c r="P113" s="353">
        <f t="shared" si="9"/>
        <v>17125.046000000002</v>
      </c>
      <c r="Q113" s="177">
        <v>317.86799999999999</v>
      </c>
      <c r="R113" s="177">
        <v>4913.0609999999997</v>
      </c>
      <c r="S113" s="177">
        <v>9469.018</v>
      </c>
      <c r="T113" s="353">
        <f t="shared" si="10"/>
        <v>14699.947</v>
      </c>
      <c r="U113" s="390">
        <v>1998.45</v>
      </c>
      <c r="V113" s="177">
        <v>1115078</v>
      </c>
      <c r="W113" s="177">
        <v>0</v>
      </c>
      <c r="X113" s="177">
        <v>109070</v>
      </c>
      <c r="Y113" s="177">
        <v>822691</v>
      </c>
      <c r="Z113" s="177">
        <v>1116177</v>
      </c>
      <c r="AA113" s="177">
        <v>868464</v>
      </c>
      <c r="AB113" s="177">
        <v>0</v>
      </c>
      <c r="AC113" s="177">
        <v>551822</v>
      </c>
      <c r="AD113" s="400">
        <f t="shared" si="7"/>
        <v>1420286</v>
      </c>
      <c r="AE113" s="139">
        <f t="shared" si="8"/>
        <v>4583302</v>
      </c>
      <c r="AF113" s="16" t="s">
        <v>227</v>
      </c>
      <c r="AG113" s="404"/>
    </row>
    <row r="114" spans="2:33" ht="12" customHeight="1">
      <c r="B114" s="16" t="s">
        <v>228</v>
      </c>
      <c r="C114" s="178">
        <v>2347.56</v>
      </c>
      <c r="D114" s="178">
        <v>813.03599999999994</v>
      </c>
      <c r="E114" s="388">
        <v>288070</v>
      </c>
      <c r="F114" s="370">
        <v>61.731003848052147</v>
      </c>
      <c r="G114" s="177">
        <v>944331</v>
      </c>
      <c r="H114" s="177">
        <f t="shared" si="6"/>
        <v>2587.2082191780823</v>
      </c>
      <c r="I114" s="177">
        <v>2131.7561643835616</v>
      </c>
      <c r="J114" s="351">
        <v>11096.451389636868</v>
      </c>
      <c r="K114" s="351">
        <v>15486.981473584508</v>
      </c>
      <c r="L114" s="351">
        <v>3768.5236661960953</v>
      </c>
      <c r="M114" s="177">
        <v>4007.7579999999998</v>
      </c>
      <c r="N114" s="177">
        <v>9108.17</v>
      </c>
      <c r="O114" s="177">
        <v>4028.145</v>
      </c>
      <c r="P114" s="353">
        <f t="shared" si="9"/>
        <v>17144.073</v>
      </c>
      <c r="Q114" s="177">
        <v>336.202</v>
      </c>
      <c r="R114" s="177">
        <v>4757.835</v>
      </c>
      <c r="S114" s="177">
        <v>10701.656000000001</v>
      </c>
      <c r="T114" s="353">
        <f t="shared" si="10"/>
        <v>15795.693000000001</v>
      </c>
      <c r="U114" s="390">
        <v>2034.6869999999999</v>
      </c>
      <c r="V114" s="177">
        <v>1189035</v>
      </c>
      <c r="W114" s="177">
        <v>0</v>
      </c>
      <c r="X114" s="177">
        <v>104437</v>
      </c>
      <c r="Y114" s="177">
        <v>839575</v>
      </c>
      <c r="Z114" s="177">
        <v>1107553</v>
      </c>
      <c r="AA114" s="177">
        <v>778036</v>
      </c>
      <c r="AB114" s="177">
        <v>0</v>
      </c>
      <c r="AC114" s="177">
        <v>599885</v>
      </c>
      <c r="AD114" s="400">
        <f t="shared" si="7"/>
        <v>1377921</v>
      </c>
      <c r="AE114" s="139">
        <f t="shared" si="8"/>
        <v>4618521</v>
      </c>
      <c r="AF114" s="16" t="s">
        <v>228</v>
      </c>
      <c r="AG114" s="404"/>
    </row>
    <row r="115" spans="2:33" ht="12" customHeight="1">
      <c r="B115" s="16" t="s">
        <v>229</v>
      </c>
      <c r="C115" s="178">
        <v>2352.6019999999999</v>
      </c>
      <c r="D115" s="178">
        <v>823.30799999999999</v>
      </c>
      <c r="E115" s="388">
        <v>290234</v>
      </c>
      <c r="F115" s="370">
        <v>63.09894993369889</v>
      </c>
      <c r="G115" s="177">
        <v>956707</v>
      </c>
      <c r="H115" s="177">
        <f t="shared" si="6"/>
        <v>2621.1150684931508</v>
      </c>
      <c r="I115" s="177">
        <v>2045.7369863013698</v>
      </c>
      <c r="J115" s="177">
        <v>10920</v>
      </c>
      <c r="K115" s="177">
        <v>15375</v>
      </c>
      <c r="L115" s="177">
        <v>3468</v>
      </c>
      <c r="M115" s="177">
        <v>4148.9679999999998</v>
      </c>
      <c r="N115" s="177">
        <v>9498.4089999999997</v>
      </c>
      <c r="O115" s="177">
        <v>4204.9430000000002</v>
      </c>
      <c r="P115" s="353">
        <f t="shared" si="9"/>
        <v>17852.32</v>
      </c>
      <c r="Q115" s="177">
        <v>330.173</v>
      </c>
      <c r="R115" s="177">
        <v>5289.5169999999998</v>
      </c>
      <c r="S115" s="177">
        <v>9879.5049999999992</v>
      </c>
      <c r="T115" s="353">
        <f t="shared" si="10"/>
        <v>15499.195</v>
      </c>
      <c r="U115" s="390">
        <v>2074.143</v>
      </c>
      <c r="V115" s="177">
        <v>1192499</v>
      </c>
      <c r="W115" s="177">
        <v>0</v>
      </c>
      <c r="X115" s="177">
        <v>103487</v>
      </c>
      <c r="Y115" s="177">
        <v>776758</v>
      </c>
      <c r="Z115" s="177">
        <v>1055105</v>
      </c>
      <c r="AA115" s="177">
        <v>694598</v>
      </c>
      <c r="AB115" s="177">
        <v>0</v>
      </c>
      <c r="AC115" s="177">
        <v>542141</v>
      </c>
      <c r="AD115" s="400">
        <f t="shared" si="7"/>
        <v>1236739</v>
      </c>
      <c r="AE115" s="139">
        <f t="shared" si="8"/>
        <v>4364588</v>
      </c>
      <c r="AF115" s="16" t="s">
        <v>229</v>
      </c>
      <c r="AG115" s="404"/>
    </row>
    <row r="116" spans="2:33" ht="12" customHeight="1">
      <c r="B116" s="16" t="s">
        <v>230</v>
      </c>
      <c r="C116" s="178">
        <v>2356.8519999999999</v>
      </c>
      <c r="D116" s="178">
        <v>832.57399999999996</v>
      </c>
      <c r="E116" s="388">
        <v>291629</v>
      </c>
      <c r="F116" s="370">
        <v>64.983303268707886</v>
      </c>
      <c r="G116" s="177">
        <v>1008096</v>
      </c>
      <c r="H116" s="177">
        <f t="shared" si="6"/>
        <v>2761.9068493150685</v>
      </c>
      <c r="I116" s="177">
        <v>2082.6493150684933</v>
      </c>
      <c r="J116" s="351">
        <v>10574.666666666666</v>
      </c>
      <c r="K116" s="351">
        <v>16091.333333333334</v>
      </c>
      <c r="L116" s="351">
        <v>2723.6666666666665</v>
      </c>
      <c r="M116" s="177">
        <v>4277</v>
      </c>
      <c r="N116" s="177">
        <v>9836</v>
      </c>
      <c r="O116" s="177">
        <v>4360.3329999999996</v>
      </c>
      <c r="P116" s="353">
        <f t="shared" si="9"/>
        <v>18473.332999999999</v>
      </c>
      <c r="Q116" s="177">
        <v>312.38900000000001</v>
      </c>
      <c r="R116" s="177">
        <v>5087.5029999999997</v>
      </c>
      <c r="S116" s="177">
        <v>10673.413</v>
      </c>
      <c r="T116" s="353">
        <f t="shared" si="10"/>
        <v>16073.305</v>
      </c>
      <c r="U116" s="391">
        <v>2074.143</v>
      </c>
      <c r="V116" s="177">
        <v>1278953</v>
      </c>
      <c r="W116" s="177">
        <v>0</v>
      </c>
      <c r="X116" s="177">
        <v>94793</v>
      </c>
      <c r="Y116" s="177">
        <v>926855</v>
      </c>
      <c r="Z116" s="177">
        <v>1064451</v>
      </c>
      <c r="AA116" s="177">
        <v>795789</v>
      </c>
      <c r="AB116" s="177">
        <v>0</v>
      </c>
      <c r="AC116" s="177">
        <v>619922</v>
      </c>
      <c r="AD116" s="400">
        <f t="shared" si="7"/>
        <v>1415711</v>
      </c>
      <c r="AE116" s="139">
        <f t="shared" si="8"/>
        <v>4780763</v>
      </c>
      <c r="AF116" s="16" t="s">
        <v>230</v>
      </c>
      <c r="AG116" s="404"/>
    </row>
    <row r="117" spans="2:33" ht="12" customHeight="1">
      <c r="B117" s="16" t="s">
        <v>231</v>
      </c>
      <c r="C117" s="178">
        <v>2358.7339999999999</v>
      </c>
      <c r="D117" s="178">
        <v>841.94200000000001</v>
      </c>
      <c r="E117" s="388">
        <v>286636</v>
      </c>
      <c r="F117" s="370">
        <v>66.323662477405449</v>
      </c>
      <c r="G117" s="177">
        <v>969204</v>
      </c>
      <c r="H117" s="177">
        <f t="shared" si="6"/>
        <v>2655.3534246575341</v>
      </c>
      <c r="I117" s="177">
        <v>2117.1698630136984</v>
      </c>
      <c r="J117" s="351">
        <v>10229.333333333334</v>
      </c>
      <c r="K117" s="351">
        <v>16807.666666666668</v>
      </c>
      <c r="L117" s="351">
        <v>1979.3333333333333</v>
      </c>
      <c r="M117" s="177">
        <v>4231</v>
      </c>
      <c r="N117" s="177">
        <v>9560</v>
      </c>
      <c r="O117" s="177">
        <v>4522.8090000000002</v>
      </c>
      <c r="P117" s="353">
        <f t="shared" si="9"/>
        <v>18313.809000000001</v>
      </c>
      <c r="Q117" s="177">
        <v>351.392</v>
      </c>
      <c r="R117" s="177">
        <v>6187.76</v>
      </c>
      <c r="S117" s="177">
        <v>11933.718000000001</v>
      </c>
      <c r="T117" s="353">
        <f t="shared" si="10"/>
        <v>18472.870000000003</v>
      </c>
      <c r="U117" s="391">
        <v>2074.143</v>
      </c>
      <c r="V117" s="177">
        <v>1317156</v>
      </c>
      <c r="W117" s="177">
        <v>0</v>
      </c>
      <c r="X117" s="177">
        <v>97008</v>
      </c>
      <c r="Y117" s="177">
        <v>940364</v>
      </c>
      <c r="Z117" s="177">
        <v>1077548</v>
      </c>
      <c r="AA117" s="177">
        <v>798394</v>
      </c>
      <c r="AB117" s="177">
        <v>0</v>
      </c>
      <c r="AC117" s="177">
        <v>540510</v>
      </c>
      <c r="AD117" s="400">
        <f t="shared" si="7"/>
        <v>1338904</v>
      </c>
      <c r="AE117" s="139">
        <f t="shared" si="8"/>
        <v>4770980</v>
      </c>
      <c r="AF117" s="16" t="s">
        <v>231</v>
      </c>
      <c r="AG117" s="404"/>
    </row>
    <row r="118" spans="2:33" ht="12" customHeight="1">
      <c r="B118" s="16" t="s">
        <v>232</v>
      </c>
      <c r="C118" s="178">
        <v>2359.509</v>
      </c>
      <c r="D118" s="178">
        <v>850.495</v>
      </c>
      <c r="E118" s="388">
        <v>284016</v>
      </c>
      <c r="F118" s="370">
        <v>69.172157138407542</v>
      </c>
      <c r="G118" s="177">
        <v>942128</v>
      </c>
      <c r="H118" s="177">
        <f t="shared" si="6"/>
        <v>2581.1726027397262</v>
      </c>
      <c r="I118" s="177">
        <v>2005.4410958904109</v>
      </c>
      <c r="J118" s="177">
        <v>9884</v>
      </c>
      <c r="K118" s="177">
        <v>17524</v>
      </c>
      <c r="L118" s="177">
        <v>1235</v>
      </c>
      <c r="M118" s="177">
        <v>4385</v>
      </c>
      <c r="N118" s="177">
        <v>9681</v>
      </c>
      <c r="O118" s="177">
        <v>4263.2740000000003</v>
      </c>
      <c r="P118" s="353">
        <f t="shared" si="9"/>
        <v>18329.274000000001</v>
      </c>
      <c r="Q118" s="177">
        <v>294.87299999999999</v>
      </c>
      <c r="R118" s="177">
        <v>5267.1109999999999</v>
      </c>
      <c r="S118" s="177">
        <v>15547.031999999999</v>
      </c>
      <c r="T118" s="353">
        <f t="shared" si="10"/>
        <v>21109.016</v>
      </c>
      <c r="U118" s="391">
        <v>2074.143</v>
      </c>
      <c r="V118" s="177">
        <v>1377044</v>
      </c>
      <c r="W118" s="177">
        <v>0</v>
      </c>
      <c r="X118" s="177">
        <v>98151</v>
      </c>
      <c r="Y118" s="177">
        <v>871737</v>
      </c>
      <c r="Z118" s="177">
        <v>1067359</v>
      </c>
      <c r="AA118" s="177">
        <v>762651</v>
      </c>
      <c r="AB118" s="177">
        <v>0</v>
      </c>
      <c r="AC118" s="177">
        <v>573631</v>
      </c>
      <c r="AD118" s="400">
        <f t="shared" si="7"/>
        <v>1336282</v>
      </c>
      <c r="AE118" s="139">
        <f t="shared" si="8"/>
        <v>4750573</v>
      </c>
      <c r="AF118" s="16" t="s">
        <v>232</v>
      </c>
      <c r="AG118" s="404"/>
    </row>
    <row r="119" spans="2:33">
      <c r="B119" s="16" t="s">
        <v>233</v>
      </c>
      <c r="C119" s="178">
        <v>2359.8510000000001</v>
      </c>
      <c r="D119" s="178">
        <v>858.22799999999995</v>
      </c>
      <c r="E119" s="388">
        <v>280415</v>
      </c>
      <c r="F119" s="370">
        <v>70.68109033687287</v>
      </c>
      <c r="G119" s="177">
        <v>1141826</v>
      </c>
      <c r="H119" s="177">
        <f t="shared" si="6"/>
        <v>3128.290410958904</v>
      </c>
      <c r="I119" s="177">
        <v>2082.1205479452055</v>
      </c>
      <c r="J119" s="351">
        <v>10661.333333333334</v>
      </c>
      <c r="K119" s="351">
        <v>17109.333333333332</v>
      </c>
      <c r="L119" s="351">
        <v>1267.3333333333333</v>
      </c>
      <c r="M119" s="177">
        <v>4396</v>
      </c>
      <c r="N119" s="177">
        <v>9687</v>
      </c>
      <c r="O119" s="177">
        <v>4272.9350000000004</v>
      </c>
      <c r="P119" s="353">
        <f t="shared" si="9"/>
        <v>18355.935000000001</v>
      </c>
      <c r="Q119" s="177">
        <v>355.74700000000001</v>
      </c>
      <c r="R119" s="177">
        <v>5943.6009999999997</v>
      </c>
      <c r="S119" s="177">
        <v>13577.893</v>
      </c>
      <c r="T119" s="353">
        <f t="shared" si="10"/>
        <v>19877.241000000002</v>
      </c>
      <c r="U119" s="391">
        <v>2074.143</v>
      </c>
      <c r="V119" s="177">
        <v>1346307</v>
      </c>
      <c r="W119" s="177">
        <v>0</v>
      </c>
      <c r="X119" s="177">
        <v>93269</v>
      </c>
      <c r="Y119" s="177">
        <v>841460</v>
      </c>
      <c r="Z119" s="177">
        <v>1015094</v>
      </c>
      <c r="AA119" s="177">
        <v>745147</v>
      </c>
      <c r="AB119" s="177">
        <v>0</v>
      </c>
      <c r="AC119" s="177">
        <v>613282</v>
      </c>
      <c r="AD119" s="400">
        <f t="shared" si="7"/>
        <v>1358429</v>
      </c>
      <c r="AE119" s="139">
        <f t="shared" si="8"/>
        <v>4654559</v>
      </c>
      <c r="AF119" s="16" t="s">
        <v>233</v>
      </c>
      <c r="AG119" s="404"/>
    </row>
    <row r="120" spans="2:33">
      <c r="B120" s="16" t="s">
        <v>234</v>
      </c>
      <c r="C120" s="178">
        <v>2358.799</v>
      </c>
      <c r="D120" s="178">
        <v>866.32400000000007</v>
      </c>
      <c r="E120" s="388">
        <v>282969</v>
      </c>
      <c r="F120" s="370">
        <v>72.212208844235661</v>
      </c>
      <c r="G120" s="177">
        <v>950603</v>
      </c>
      <c r="H120" s="177">
        <f t="shared" si="6"/>
        <v>2604.391780821918</v>
      </c>
      <c r="I120" s="177">
        <v>1978.186301369863</v>
      </c>
      <c r="J120" s="351">
        <v>11438.666666666666</v>
      </c>
      <c r="K120" s="351">
        <v>16694.666666666668</v>
      </c>
      <c r="L120" s="351">
        <v>1299.6666666666667</v>
      </c>
      <c r="M120" s="177">
        <v>4568.0609999999997</v>
      </c>
      <c r="N120" s="177">
        <v>10095.32</v>
      </c>
      <c r="O120" s="177">
        <v>4493.1540000000005</v>
      </c>
      <c r="P120" s="353">
        <f t="shared" si="9"/>
        <v>19156.535</v>
      </c>
      <c r="Q120" s="177">
        <v>326.935</v>
      </c>
      <c r="R120" s="177">
        <v>4310.04</v>
      </c>
      <c r="S120" s="177">
        <v>13953.28</v>
      </c>
      <c r="T120" s="353">
        <f t="shared" si="10"/>
        <v>18590.255000000001</v>
      </c>
      <c r="U120" s="391">
        <v>2074.143</v>
      </c>
      <c r="V120" s="177">
        <v>1493779</v>
      </c>
      <c r="W120" s="177">
        <v>0</v>
      </c>
      <c r="X120" s="177">
        <v>90495</v>
      </c>
      <c r="Y120" s="177">
        <v>932252</v>
      </c>
      <c r="Z120" s="177">
        <v>1088426</v>
      </c>
      <c r="AA120" s="177">
        <v>777188</v>
      </c>
      <c r="AB120" s="177">
        <v>0</v>
      </c>
      <c r="AC120" s="177">
        <v>583110</v>
      </c>
      <c r="AD120" s="400">
        <f t="shared" si="7"/>
        <v>1360298</v>
      </c>
      <c r="AE120" s="139">
        <f t="shared" si="8"/>
        <v>4965250</v>
      </c>
      <c r="AF120" s="16" t="s">
        <v>234</v>
      </c>
      <c r="AG120" s="404"/>
    </row>
    <row r="121" spans="2:33">
      <c r="B121" s="16" t="s">
        <v>235</v>
      </c>
      <c r="C121" s="178">
        <v>2354.8719999999998</v>
      </c>
      <c r="D121" s="178">
        <v>874.42</v>
      </c>
      <c r="E121" s="388">
        <v>283139</v>
      </c>
      <c r="F121" s="370">
        <v>73.140735034882738</v>
      </c>
      <c r="G121" s="177">
        <v>966739</v>
      </c>
      <c r="H121" s="177">
        <f t="shared" si="6"/>
        <v>2648.6</v>
      </c>
      <c r="I121" s="177">
        <v>1958.5753424657535</v>
      </c>
      <c r="J121" s="177">
        <v>12216</v>
      </c>
      <c r="K121" s="177">
        <v>16280</v>
      </c>
      <c r="L121" s="177">
        <v>1332</v>
      </c>
      <c r="M121" s="177">
        <v>4740.357</v>
      </c>
      <c r="N121" s="177">
        <v>10308.715</v>
      </c>
      <c r="O121" s="177">
        <v>4493.1540000000005</v>
      </c>
      <c r="P121" s="353">
        <f t="shared" si="9"/>
        <v>19542.226000000002</v>
      </c>
      <c r="Q121" s="177">
        <v>332.25700000000001</v>
      </c>
      <c r="R121" s="177">
        <v>4052.741</v>
      </c>
      <c r="S121" s="177">
        <v>7431.8130000000001</v>
      </c>
      <c r="T121" s="353">
        <f t="shared" si="10"/>
        <v>11816.811</v>
      </c>
      <c r="U121" s="391">
        <v>2074.143</v>
      </c>
      <c r="V121" s="177">
        <v>1424563</v>
      </c>
      <c r="W121" s="177">
        <v>0</v>
      </c>
      <c r="X121" s="177">
        <v>93605</v>
      </c>
      <c r="Y121" s="177">
        <v>842036</v>
      </c>
      <c r="Z121" s="177">
        <v>960650</v>
      </c>
      <c r="AA121" s="177">
        <v>600589</v>
      </c>
      <c r="AB121" s="177">
        <v>0</v>
      </c>
      <c r="AC121" s="177">
        <v>751120</v>
      </c>
      <c r="AD121" s="400">
        <f t="shared" si="7"/>
        <v>1351709</v>
      </c>
      <c r="AE121" s="139">
        <f t="shared" si="8"/>
        <v>4672563</v>
      </c>
      <c r="AF121" s="16" t="s">
        <v>235</v>
      </c>
      <c r="AG121" s="404"/>
    </row>
    <row r="122" spans="2:33">
      <c r="B122" s="16" t="s">
        <v>236</v>
      </c>
      <c r="C122" s="178">
        <v>2350.3020000000001</v>
      </c>
      <c r="D122" s="178">
        <v>883.59900000000005</v>
      </c>
      <c r="E122" s="388">
        <v>280576</v>
      </c>
      <c r="F122" s="370">
        <v>74.076227790393872</v>
      </c>
      <c r="G122" s="177">
        <v>953596</v>
      </c>
      <c r="H122" s="177">
        <f t="shared" si="6"/>
        <v>2612.5917808219178</v>
      </c>
      <c r="I122" s="177">
        <v>1955.9260273972602</v>
      </c>
      <c r="J122" s="351">
        <v>10320.333333333334</v>
      </c>
      <c r="K122" s="351">
        <v>14510</v>
      </c>
      <c r="L122" s="351">
        <v>1225</v>
      </c>
      <c r="M122" s="177">
        <v>4750.2889999999998</v>
      </c>
      <c r="N122" s="177">
        <v>10465.947</v>
      </c>
      <c r="O122" s="177">
        <v>4639.5200000000004</v>
      </c>
      <c r="P122" s="353">
        <f t="shared" si="9"/>
        <v>19855.756000000001</v>
      </c>
      <c r="Q122" s="177">
        <v>348.529</v>
      </c>
      <c r="R122" s="177">
        <v>2894.489</v>
      </c>
      <c r="S122" s="177">
        <v>6857.3789999999999</v>
      </c>
      <c r="T122" s="353">
        <f t="shared" si="10"/>
        <v>10100.397000000001</v>
      </c>
      <c r="U122" s="391">
        <v>2074.143</v>
      </c>
      <c r="V122" s="177">
        <v>1333298</v>
      </c>
      <c r="W122" s="177">
        <v>0</v>
      </c>
      <c r="X122" s="177">
        <v>95720</v>
      </c>
      <c r="Y122" s="177">
        <v>730529</v>
      </c>
      <c r="Z122" s="177">
        <v>914498</v>
      </c>
      <c r="AA122" s="177">
        <v>528038</v>
      </c>
      <c r="AB122" s="177">
        <v>0</v>
      </c>
      <c r="AC122" s="177">
        <v>506436</v>
      </c>
      <c r="AD122" s="400">
        <f t="shared" si="7"/>
        <v>1034474</v>
      </c>
      <c r="AE122" s="139">
        <f t="shared" si="8"/>
        <v>4108519</v>
      </c>
      <c r="AF122" s="16" t="s">
        <v>236</v>
      </c>
      <c r="AG122" s="404"/>
    </row>
    <row r="123" spans="2:33">
      <c r="B123" s="16" t="s">
        <v>237</v>
      </c>
      <c r="C123" s="178">
        <v>2344.5309999999999</v>
      </c>
      <c r="D123" s="178">
        <v>891.721</v>
      </c>
      <c r="E123" s="388">
        <v>280364</v>
      </c>
      <c r="F123" s="370">
        <v>75.098699116097904</v>
      </c>
      <c r="G123" s="177">
        <v>914779</v>
      </c>
      <c r="H123" s="177">
        <f t="shared" si="6"/>
        <v>2506.2438356164384</v>
      </c>
      <c r="I123" s="177">
        <v>1922.6876712328767</v>
      </c>
      <c r="J123" s="351">
        <v>8424.6666666666661</v>
      </c>
      <c r="K123" s="351">
        <v>12740</v>
      </c>
      <c r="L123" s="351">
        <v>1118</v>
      </c>
      <c r="M123" s="177">
        <v>4949.5020000000004</v>
      </c>
      <c r="N123" s="177">
        <v>10725.757</v>
      </c>
      <c r="O123" s="177">
        <v>4721.5320000000002</v>
      </c>
      <c r="P123" s="353">
        <f t="shared" si="9"/>
        <v>20396.791000000001</v>
      </c>
      <c r="Q123" s="177">
        <v>280.12299999999999</v>
      </c>
      <c r="R123" s="177">
        <v>2840.4650000000001</v>
      </c>
      <c r="S123" s="177">
        <v>10704.745999999999</v>
      </c>
      <c r="T123" s="353">
        <f t="shared" si="10"/>
        <v>13825.333999999999</v>
      </c>
      <c r="U123" s="391">
        <v>2074.143</v>
      </c>
      <c r="V123" s="177">
        <v>1252619</v>
      </c>
      <c r="W123" s="177">
        <v>0</v>
      </c>
      <c r="X123" s="177">
        <v>88335</v>
      </c>
      <c r="Y123" s="177">
        <v>651248</v>
      </c>
      <c r="Z123" s="177">
        <v>836298</v>
      </c>
      <c r="AA123" s="177">
        <v>476171</v>
      </c>
      <c r="AB123" s="177">
        <v>0</v>
      </c>
      <c r="AC123" s="177">
        <v>420646</v>
      </c>
      <c r="AD123" s="400">
        <f t="shared" si="7"/>
        <v>896817</v>
      </c>
      <c r="AE123" s="139">
        <f t="shared" si="8"/>
        <v>3725317</v>
      </c>
      <c r="AF123" s="16" t="s">
        <v>237</v>
      </c>
      <c r="AG123" s="404"/>
    </row>
    <row r="124" spans="2:33">
      <c r="B124" s="16" t="s">
        <v>238</v>
      </c>
      <c r="C124" s="178">
        <v>2339.1860000000001</v>
      </c>
      <c r="D124" s="178">
        <v>899.33900000000006</v>
      </c>
      <c r="E124" s="388">
        <v>274359</v>
      </c>
      <c r="F124" s="370">
        <v>75.900000000000006</v>
      </c>
      <c r="G124" s="177">
        <v>874046</v>
      </c>
      <c r="H124" s="177">
        <f t="shared" si="6"/>
        <v>2394.6465753424659</v>
      </c>
      <c r="I124" s="177">
        <v>1831.490410958904</v>
      </c>
      <c r="J124" s="177">
        <v>6529</v>
      </c>
      <c r="K124" s="177">
        <v>10970</v>
      </c>
      <c r="L124" s="177">
        <v>1011</v>
      </c>
      <c r="M124" s="177">
        <v>4892.8789999999999</v>
      </c>
      <c r="N124" s="177">
        <v>10126.114</v>
      </c>
      <c r="O124" s="177">
        <v>4300.0940000000001</v>
      </c>
      <c r="P124" s="353">
        <f t="shared" si="9"/>
        <v>19319.087</v>
      </c>
      <c r="Q124" s="177">
        <v>263.03399999999999</v>
      </c>
      <c r="R124" s="177">
        <v>2695.739</v>
      </c>
      <c r="S124" s="177">
        <v>12092.343999999999</v>
      </c>
      <c r="T124" s="353">
        <f t="shared" si="10"/>
        <v>15051.116999999998</v>
      </c>
      <c r="U124" s="391">
        <v>2074.143</v>
      </c>
      <c r="V124" s="177">
        <v>1241680</v>
      </c>
      <c r="W124" s="177">
        <v>0</v>
      </c>
      <c r="X124" s="177">
        <v>87167</v>
      </c>
      <c r="Y124" s="177">
        <v>667828</v>
      </c>
      <c r="Z124" s="177">
        <v>807525</v>
      </c>
      <c r="AA124" s="177">
        <v>421528</v>
      </c>
      <c r="AB124" s="177">
        <v>0</v>
      </c>
      <c r="AC124" s="177">
        <v>310778</v>
      </c>
      <c r="AD124" s="400">
        <f t="shared" si="7"/>
        <v>732306</v>
      </c>
      <c r="AE124" s="139">
        <f t="shared" si="8"/>
        <v>3536506</v>
      </c>
      <c r="AF124" s="16" t="s">
        <v>238</v>
      </c>
      <c r="AG124" s="404"/>
    </row>
    <row r="125" spans="2:33">
      <c r="B125" s="16" t="s">
        <v>239</v>
      </c>
      <c r="C125" s="178">
        <v>2335.3440000000001</v>
      </c>
      <c r="D125" s="178">
        <v>906.05100000000004</v>
      </c>
      <c r="E125" s="388">
        <v>272647</v>
      </c>
      <c r="F125" s="370">
        <v>76.7</v>
      </c>
      <c r="G125" s="177">
        <v>838454</v>
      </c>
      <c r="H125" s="177">
        <f t="shared" si="6"/>
        <v>2297.1342465753423</v>
      </c>
      <c r="I125" s="177">
        <v>1742.9917808219177</v>
      </c>
      <c r="J125" s="351">
        <v>5344.0456666666669</v>
      </c>
      <c r="K125" s="351">
        <v>9117.2360000000008</v>
      </c>
      <c r="L125" s="351">
        <v>802.33333333333337</v>
      </c>
      <c r="M125" s="177">
        <v>4972.0829999999996</v>
      </c>
      <c r="N125" s="177">
        <v>9731.5540000000001</v>
      </c>
      <c r="O125" s="177">
        <v>4009.3119999999999</v>
      </c>
      <c r="P125" s="353">
        <f t="shared" si="9"/>
        <v>18712.949000000001</v>
      </c>
      <c r="Q125" s="177">
        <v>262.22800000000001</v>
      </c>
      <c r="R125" s="177">
        <v>2237.7959999999998</v>
      </c>
      <c r="S125" s="177">
        <v>13054.875</v>
      </c>
      <c r="T125" s="353">
        <f t="shared" si="10"/>
        <v>15554.898999999999</v>
      </c>
      <c r="U125" s="391">
        <v>2074.143</v>
      </c>
      <c r="V125" s="177">
        <v>1311462</v>
      </c>
      <c r="W125" s="177">
        <v>0</v>
      </c>
      <c r="X125" s="177">
        <v>80887</v>
      </c>
      <c r="Y125" s="177">
        <v>674062</v>
      </c>
      <c r="Z125" s="177">
        <v>753133</v>
      </c>
      <c r="AA125" s="177">
        <v>385562</v>
      </c>
      <c r="AB125" s="177">
        <v>0</v>
      </c>
      <c r="AC125" s="177">
        <v>176929</v>
      </c>
      <c r="AD125" s="400">
        <f t="shared" si="7"/>
        <v>562491</v>
      </c>
      <c r="AE125" s="139">
        <f t="shared" si="8"/>
        <v>3382035</v>
      </c>
      <c r="AF125" s="16" t="s">
        <v>239</v>
      </c>
      <c r="AG125" s="404"/>
    </row>
    <row r="126" spans="2:33">
      <c r="B126" s="16" t="s">
        <v>240</v>
      </c>
      <c r="C126" s="178">
        <v>2332.65</v>
      </c>
      <c r="D126" s="178">
        <v>913.77099999999996</v>
      </c>
      <c r="E126" s="388">
        <v>271931</v>
      </c>
      <c r="F126" s="410" t="s">
        <v>327</v>
      </c>
      <c r="G126" s="177">
        <v>817368</v>
      </c>
      <c r="H126" s="177">
        <v>2239.364383561644</v>
      </c>
      <c r="I126" s="177">
        <v>1714.9123287671232</v>
      </c>
      <c r="J126" s="351">
        <v>4159.0913333333338</v>
      </c>
      <c r="K126" s="351">
        <v>7264.4719999999998</v>
      </c>
      <c r="L126" s="351">
        <v>593.66666666666674</v>
      </c>
      <c r="M126" s="177">
        <v>5232.4170000000004</v>
      </c>
      <c r="N126" s="177">
        <v>5788.7860000000001</v>
      </c>
      <c r="O126" s="177">
        <v>4164.6009999999997</v>
      </c>
      <c r="P126" s="353">
        <f t="shared" si="9"/>
        <v>15185.804</v>
      </c>
      <c r="Q126" s="177">
        <v>287.529</v>
      </c>
      <c r="R126" s="177">
        <v>3323.9830000000002</v>
      </c>
      <c r="S126" s="177">
        <v>12485.927</v>
      </c>
      <c r="T126" s="353">
        <f t="shared" si="10"/>
        <v>16097.439</v>
      </c>
      <c r="U126" s="391">
        <v>2074.143</v>
      </c>
      <c r="V126" s="177">
        <v>1322946</v>
      </c>
      <c r="W126" s="177">
        <v>0</v>
      </c>
      <c r="X126" s="177">
        <v>71075</v>
      </c>
      <c r="Y126" s="177">
        <v>680630</v>
      </c>
      <c r="Z126" s="177">
        <v>790431</v>
      </c>
      <c r="AA126" s="177">
        <v>467598</v>
      </c>
      <c r="AB126" s="177">
        <v>0</v>
      </c>
      <c r="AC126" s="177">
        <v>176164</v>
      </c>
      <c r="AD126" s="400">
        <f t="shared" si="7"/>
        <v>643762</v>
      </c>
      <c r="AE126" s="139">
        <f t="shared" si="8"/>
        <v>3508844</v>
      </c>
      <c r="AF126" s="16" t="s">
        <v>240</v>
      </c>
      <c r="AG126" s="404"/>
    </row>
    <row r="127" spans="2:33">
      <c r="B127" s="16" t="s">
        <v>241</v>
      </c>
      <c r="C127" s="178">
        <v>2309.4859999999999</v>
      </c>
      <c r="D127" s="178">
        <v>915.75199999999995</v>
      </c>
      <c r="E127" s="388">
        <v>269535.12899999996</v>
      </c>
      <c r="F127" s="370">
        <v>77.7</v>
      </c>
      <c r="G127" s="177">
        <v>841707</v>
      </c>
      <c r="H127" s="177">
        <v>2299.7459016393441</v>
      </c>
      <c r="I127" s="177">
        <v>1780.1338797814208</v>
      </c>
      <c r="J127" s="177">
        <v>2974.1370000000002</v>
      </c>
      <c r="K127" s="177">
        <v>5411.7079999999996</v>
      </c>
      <c r="L127" s="177">
        <v>385</v>
      </c>
      <c r="M127" s="177">
        <v>4810.9970000000003</v>
      </c>
      <c r="N127" s="177">
        <v>4837.5320000000002</v>
      </c>
      <c r="O127" s="177">
        <v>2945.76</v>
      </c>
      <c r="P127" s="353">
        <f t="shared" si="9"/>
        <v>12594.289000000001</v>
      </c>
      <c r="Q127" s="177">
        <v>297.59899999999999</v>
      </c>
      <c r="R127" s="177">
        <v>1629.4359999999999</v>
      </c>
      <c r="S127" s="177">
        <v>0</v>
      </c>
      <c r="T127" s="353">
        <f t="shared" si="10"/>
        <v>1927.0349999999999</v>
      </c>
      <c r="U127" s="391">
        <v>2074.143</v>
      </c>
      <c r="V127" s="177">
        <v>1272307</v>
      </c>
      <c r="W127" s="177">
        <v>0</v>
      </c>
      <c r="X127" s="177">
        <v>27986</v>
      </c>
      <c r="Y127" s="177">
        <v>716961</v>
      </c>
      <c r="Z127" s="177">
        <v>896208</v>
      </c>
      <c r="AA127" s="177">
        <v>382417</v>
      </c>
      <c r="AB127" s="177">
        <v>0</v>
      </c>
      <c r="AC127" s="177">
        <v>324487</v>
      </c>
      <c r="AD127" s="400">
        <f t="shared" si="7"/>
        <v>706904</v>
      </c>
      <c r="AE127" s="139">
        <f t="shared" si="8"/>
        <v>3620366</v>
      </c>
      <c r="AF127" s="16" t="s">
        <v>241</v>
      </c>
      <c r="AG127" s="404"/>
    </row>
    <row r="128" spans="2:33">
      <c r="B128" s="16" t="s">
        <v>242</v>
      </c>
      <c r="C128" s="178">
        <v>2312.076</v>
      </c>
      <c r="D128" s="178">
        <v>925.28599999999994</v>
      </c>
      <c r="E128" s="388">
        <v>272572</v>
      </c>
      <c r="F128" s="370">
        <v>78.400000000000006</v>
      </c>
      <c r="G128" s="177">
        <v>865357</v>
      </c>
      <c r="H128" s="177">
        <v>2370.841095890411</v>
      </c>
      <c r="I128" s="177">
        <v>1817.8493150684931</v>
      </c>
      <c r="J128" s="409">
        <v>2974.1370000000002</v>
      </c>
      <c r="K128" s="409">
        <v>5411.7079999999996</v>
      </c>
      <c r="L128" s="409">
        <v>385</v>
      </c>
      <c r="M128" s="177">
        <v>5005.6059999999998</v>
      </c>
      <c r="N128" s="177">
        <v>5303.37</v>
      </c>
      <c r="O128" s="177">
        <v>3549.0259999999998</v>
      </c>
      <c r="P128" s="353">
        <f t="shared" si="9"/>
        <v>13858.001999999999</v>
      </c>
      <c r="Q128" s="177">
        <v>248.46600000000001</v>
      </c>
      <c r="R128" s="177">
        <v>5068.2870000000003</v>
      </c>
      <c r="S128" s="177">
        <v>0</v>
      </c>
      <c r="T128" s="353">
        <f t="shared" si="10"/>
        <v>5316.7530000000006</v>
      </c>
      <c r="U128" s="391">
        <v>2074.143</v>
      </c>
      <c r="V128" s="177">
        <v>1339788</v>
      </c>
      <c r="W128" s="177">
        <v>0</v>
      </c>
      <c r="X128" s="177">
        <v>61639</v>
      </c>
      <c r="Y128" s="177">
        <v>695606</v>
      </c>
      <c r="Z128" s="177">
        <v>972854</v>
      </c>
      <c r="AA128" s="177">
        <v>450886</v>
      </c>
      <c r="AB128" s="177">
        <v>0</v>
      </c>
      <c r="AC128" s="177">
        <v>505204</v>
      </c>
      <c r="AD128" s="400">
        <f t="shared" si="7"/>
        <v>956090</v>
      </c>
      <c r="AE128" s="139">
        <f t="shared" si="8"/>
        <v>4025977</v>
      </c>
      <c r="AF128" s="16" t="s">
        <v>242</v>
      </c>
      <c r="AG128" s="404"/>
    </row>
    <row r="129" spans="2:33">
      <c r="B129" s="16" t="s">
        <v>243</v>
      </c>
      <c r="C129" s="178">
        <v>2314.125</v>
      </c>
      <c r="D129" s="178">
        <v>937.22500000000002</v>
      </c>
      <c r="E129" s="388">
        <v>269518</v>
      </c>
      <c r="F129" s="370">
        <v>78.900000000000006</v>
      </c>
      <c r="G129" s="177">
        <v>865164</v>
      </c>
      <c r="H129" s="177">
        <v>2370.3123287671233</v>
      </c>
      <c r="I129" s="177">
        <v>1809.8191780821917</v>
      </c>
      <c r="J129" s="409">
        <v>2974.1370000000002</v>
      </c>
      <c r="K129" s="409">
        <v>5411.7079999999996</v>
      </c>
      <c r="L129" s="409">
        <v>385</v>
      </c>
      <c r="M129" s="177">
        <v>5000.4830000000002</v>
      </c>
      <c r="N129" s="177">
        <v>5358.5370000000003</v>
      </c>
      <c r="O129" s="177">
        <v>3652.663</v>
      </c>
      <c r="P129" s="353">
        <f t="shared" si="9"/>
        <v>14011.683000000001</v>
      </c>
      <c r="Q129" s="177">
        <v>278.488</v>
      </c>
      <c r="R129" s="177">
        <v>4281.4409999999998</v>
      </c>
      <c r="S129" s="177">
        <v>0</v>
      </c>
      <c r="T129" s="353">
        <f t="shared" si="10"/>
        <v>4559.9290000000001</v>
      </c>
      <c r="U129" s="391">
        <v>2074.143</v>
      </c>
      <c r="V129" s="177">
        <v>1322564</v>
      </c>
      <c r="W129" s="177">
        <v>0</v>
      </c>
      <c r="X129" s="177">
        <v>83158</v>
      </c>
      <c r="Y129" s="177">
        <v>648827</v>
      </c>
      <c r="Z129" s="177">
        <v>1021497</v>
      </c>
      <c r="AA129" s="177">
        <v>460889</v>
      </c>
      <c r="AB129" s="177">
        <v>0</v>
      </c>
      <c r="AC129" s="177">
        <v>373164</v>
      </c>
      <c r="AD129" s="400">
        <f t="shared" si="7"/>
        <v>834053</v>
      </c>
      <c r="AE129" s="139">
        <f t="shared" si="8"/>
        <v>3910099</v>
      </c>
      <c r="AF129" s="16" t="s">
        <v>243</v>
      </c>
      <c r="AG129" s="404"/>
    </row>
    <row r="130" spans="2:33">
      <c r="B130" s="16" t="s">
        <v>317</v>
      </c>
      <c r="C130" s="178">
        <v>2312.971</v>
      </c>
      <c r="D130" s="178">
        <v>947.51599999999996</v>
      </c>
      <c r="E130" s="403">
        <v>269519</v>
      </c>
      <c r="F130" s="370">
        <v>79.3</v>
      </c>
      <c r="G130" s="177">
        <v>856499</v>
      </c>
      <c r="H130" s="177">
        <v>2346.5726027397259</v>
      </c>
      <c r="I130" s="177">
        <v>1803.0191780821917</v>
      </c>
      <c r="J130" s="409">
        <v>2974.1370000000002</v>
      </c>
      <c r="K130" s="409">
        <v>5411.7079999999996</v>
      </c>
      <c r="L130" s="409">
        <v>385</v>
      </c>
      <c r="M130" s="402">
        <v>5000.4830000000002</v>
      </c>
      <c r="N130" s="402">
        <v>5358.5370000000003</v>
      </c>
      <c r="O130" s="402">
        <v>3652.663</v>
      </c>
      <c r="P130" s="402">
        <f t="shared" si="9"/>
        <v>14011.683000000001</v>
      </c>
      <c r="Q130" s="402">
        <v>278.488</v>
      </c>
      <c r="R130" s="402">
        <v>4281.4409999999998</v>
      </c>
      <c r="S130" s="402">
        <v>0</v>
      </c>
      <c r="T130" s="402">
        <f t="shared" si="10"/>
        <v>4559.9290000000001</v>
      </c>
      <c r="U130" s="391">
        <v>2074.143</v>
      </c>
      <c r="V130" s="177">
        <v>1300763</v>
      </c>
      <c r="W130" s="177">
        <v>0</v>
      </c>
      <c r="X130" s="177">
        <v>78473</v>
      </c>
      <c r="Y130" s="177">
        <v>602452</v>
      </c>
      <c r="Z130" s="177">
        <v>1028174</v>
      </c>
      <c r="AA130" s="177">
        <v>412914</v>
      </c>
      <c r="AB130" s="177">
        <v>0</v>
      </c>
      <c r="AC130" s="177">
        <v>294854</v>
      </c>
      <c r="AD130" s="400">
        <f t="shared" si="7"/>
        <v>707768</v>
      </c>
      <c r="AE130" s="139">
        <f t="shared" si="8"/>
        <v>3717630</v>
      </c>
      <c r="AF130" s="16" t="s">
        <v>317</v>
      </c>
      <c r="AG130" s="404"/>
    </row>
    <row r="131" spans="2:33">
      <c r="B131" s="16" t="s">
        <v>318</v>
      </c>
      <c r="C131" s="178">
        <v>2308.4009999999998</v>
      </c>
      <c r="D131" s="178">
        <v>956.53399999999999</v>
      </c>
      <c r="E131" s="403">
        <v>269520</v>
      </c>
      <c r="F131" s="370"/>
      <c r="G131" s="177"/>
      <c r="H131" s="177"/>
      <c r="I131" s="177"/>
      <c r="J131" s="177"/>
      <c r="K131" s="177"/>
      <c r="L131" s="177"/>
      <c r="M131" s="402">
        <v>5000.4830000000002</v>
      </c>
      <c r="N131" s="402">
        <v>5358.5370000000003</v>
      </c>
      <c r="O131" s="402">
        <v>3652.663</v>
      </c>
      <c r="P131" s="402">
        <f t="shared" si="9"/>
        <v>14011.683000000001</v>
      </c>
      <c r="Q131" s="402">
        <v>278.488</v>
      </c>
      <c r="R131" s="402">
        <v>4281.4409999999998</v>
      </c>
      <c r="S131" s="402">
        <v>0</v>
      </c>
      <c r="T131" s="402">
        <f t="shared" si="10"/>
        <v>4559.9290000000001</v>
      </c>
      <c r="U131" s="391">
        <v>2074.143</v>
      </c>
      <c r="V131" s="177">
        <v>1080972</v>
      </c>
      <c r="W131" s="177">
        <v>0</v>
      </c>
      <c r="X131" s="177">
        <v>62851</v>
      </c>
      <c r="Y131" s="177">
        <v>386228</v>
      </c>
      <c r="Z131" s="177">
        <v>852488</v>
      </c>
      <c r="AA131" s="177">
        <v>323318</v>
      </c>
      <c r="AB131" s="177">
        <v>0</v>
      </c>
      <c r="AC131" s="177">
        <v>94490</v>
      </c>
      <c r="AD131" s="400">
        <f t="shared" si="7"/>
        <v>417808</v>
      </c>
      <c r="AE131" s="139">
        <f t="shared" si="8"/>
        <v>2800347</v>
      </c>
      <c r="AF131" s="16" t="s">
        <v>318</v>
      </c>
      <c r="AG131" s="404"/>
    </row>
    <row r="132" spans="2:33">
      <c r="B132" s="16" t="s">
        <v>319</v>
      </c>
      <c r="C132" s="178"/>
      <c r="D132" s="178"/>
      <c r="E132" s="178"/>
      <c r="F132" s="178"/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8"/>
      <c r="U132" s="178"/>
      <c r="V132" s="177"/>
      <c r="W132" s="177"/>
      <c r="X132" s="177"/>
      <c r="Y132" s="177"/>
      <c r="Z132" s="177"/>
      <c r="AA132" s="177"/>
      <c r="AB132" s="177"/>
      <c r="AC132" s="177"/>
      <c r="AD132" s="400"/>
      <c r="AE132" s="139"/>
      <c r="AF132" s="16"/>
      <c r="AG132" s="404"/>
    </row>
    <row r="133" spans="2:33">
      <c r="B133" s="16" t="s">
        <v>325</v>
      </c>
      <c r="C133" s="178"/>
      <c r="D133" s="178"/>
      <c r="E133" s="178"/>
      <c r="F133" s="178"/>
      <c r="G133" s="178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7"/>
      <c r="W133" s="177"/>
      <c r="X133" s="177"/>
      <c r="Y133" s="177"/>
      <c r="Z133" s="177"/>
      <c r="AA133" s="177"/>
      <c r="AB133" s="177"/>
      <c r="AC133" s="177"/>
      <c r="AD133" s="400"/>
      <c r="AE133" s="139"/>
      <c r="AF133" s="16"/>
      <c r="AG133" s="404"/>
    </row>
    <row r="134" spans="2:33">
      <c r="B134" s="16" t="s">
        <v>326</v>
      </c>
      <c r="C134" s="178"/>
      <c r="D134" s="178"/>
      <c r="E134" s="138"/>
      <c r="F134" s="138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400">
        <f t="shared" si="7"/>
        <v>0</v>
      </c>
      <c r="AE134" s="139">
        <f>SUM(V134:AC134)</f>
        <v>0</v>
      </c>
      <c r="AF134" s="16" t="s">
        <v>319</v>
      </c>
    </row>
  </sheetData>
  <mergeCells count="1">
    <mergeCell ref="B2:I2"/>
  </mergeCells>
  <phoneticPr fontId="1"/>
  <dataValidations count="1">
    <dataValidation type="list" allowBlank="1" showInputMessage="1" showErrorMessage="1" sqref="E136:F136 C4:C8 D1:D3 D9:D65536 F137:F141 E132:U133">
      <formula1>年度</formula1>
    </dataValidation>
  </dataValidations>
  <hyperlinks>
    <hyperlink ref="C15" r:id="rId1" display="環境負荷の原単位"/>
  </hyperlinks>
  <printOptions gridLinesSet="0"/>
  <pageMargins left="0.39370078740157483" right="0" top="0.19685039370078741" bottom="0.19685039370078741" header="0" footer="0"/>
  <pageSetup paperSize="13" scale="65" orientation="landscape" horizontalDpi="180" verticalDpi="180" r:id="rId2"/>
  <headerFooter alignWithMargins="0">
    <oddHeader>&amp;R&amp;8&amp;F／頁&amp;P&amp;N&amp;D</oddHead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1.25"/>
  <sheetData/>
  <phoneticPr fontId="1"/>
  <printOptions gridLinesSet="0"/>
  <pageMargins left="0.75" right="0.75" top="1" bottom="1" header="0.5" footer="0.5"/>
  <headerFooter alignWithMargins="0">
    <oddHeader>&amp;A</oddHeader>
    <oddFooter>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1.25"/>
  <sheetData/>
  <phoneticPr fontId="1"/>
  <printOptions gridLinesSet="0"/>
  <pageMargins left="0.75" right="0.75" top="1" bottom="1" header="0.5" footer="0.5"/>
  <headerFooter alignWithMargins="0">
    <oddHeader>&amp;A</oddHeader>
    <oddFooter>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人口</vt:lpstr>
      <vt:lpstr>世帯</vt:lpstr>
      <vt:lpstr>年度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宮城県大気汚染常時監視システム</dc:creator>
  <cp:lastModifiedBy>kmdみやぎ</cp:lastModifiedBy>
  <cp:lastPrinted>2014-03-14T08:40:20Z</cp:lastPrinted>
  <dcterms:created xsi:type="dcterms:W3CDTF">2016-04-27T04:46:47Z</dcterms:created>
  <dcterms:modified xsi:type="dcterms:W3CDTF">2016-04-28T00:24:01Z</dcterms:modified>
</cp:coreProperties>
</file>