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5585" windowHeight="13530"/>
  </bookViews>
  <sheets>
    <sheet name="預託線量当量" sheetId="1" r:id="rId1"/>
  </sheets>
  <definedNames>
    <definedName name="__123Graph_A" hidden="1">預託線量当量!#REF!</definedName>
    <definedName name="__123Graph_Aあわび" hidden="1">預託線量当量!#REF!</definedName>
    <definedName name="__123Graph_B" hidden="1">預託線量当量!#REF!</definedName>
    <definedName name="__123Graph_Bあわび" hidden="1">預託線量当量!#REF!</definedName>
    <definedName name="__123Graph_C" hidden="1">預託線量当量!#REF!</definedName>
    <definedName name="__123Graph_Cあわび" hidden="1">預託線量当量!#REF!</definedName>
    <definedName name="__123Graph_D" hidden="1">預託線量当量!#REF!</definedName>
    <definedName name="__123Graph_Dあわび" hidden="1">預託線量当量!#REF!</definedName>
    <definedName name="__123Graph_E" hidden="1">預託線量当量!#REF!</definedName>
    <definedName name="__123Graph_Eあわび" hidden="1">預託線量当量!#REF!</definedName>
    <definedName name="__123Graph_F" hidden="1">預託線量当量!#REF!</definedName>
    <definedName name="__123Graph_Fあわび" hidden="1">預託線量当量!#REF!</definedName>
    <definedName name="__123Graph_X" hidden="1">預託線量当量!#REF!</definedName>
    <definedName name="__123Graph_Xあわび" hidden="1">預託線量当量!#REF!</definedName>
    <definedName name="_Regression_Int" localSheetId="0" hidden="1">1</definedName>
    <definedName name="飲料水">預託線量当量!$L$292</definedName>
    <definedName name="海藻">預託線量当量!$K$292</definedName>
    <definedName name="魚">預託線量当量!$I$292</definedName>
    <definedName name="精米1">預託線量当量!$O$164</definedName>
    <definedName name="精米2">預託線量当量!$O$165</definedName>
    <definedName name="精米3">預託線量当量!$O$166</definedName>
    <definedName name="米">預託線量当量!$H$292</definedName>
    <definedName name="無脊椎動物">預託線量当量!$J$292</definedName>
    <definedName name="葉根菜">預託線量当量!$G$292</definedName>
  </definedNames>
  <calcPr calcId="145621" refMode="R1C1"/>
</workbook>
</file>

<file path=xl/calcChain.xml><?xml version="1.0" encoding="utf-8"?>
<calcChain xmlns="http://schemas.openxmlformats.org/spreadsheetml/2006/main">
  <c r="L25" i="1" l="1"/>
  <c r="L34" i="1"/>
  <c r="L43" i="1"/>
  <c r="L52" i="1"/>
  <c r="L61" i="1"/>
  <c r="L70" i="1"/>
  <c r="L79" i="1"/>
  <c r="L88" i="1"/>
  <c r="L95" i="1"/>
  <c r="L123" i="1"/>
  <c r="L130" i="1"/>
  <c r="L137" i="1"/>
  <c r="L144" i="1"/>
  <c r="L151" i="1"/>
  <c r="L158" i="1"/>
  <c r="L165" i="1"/>
  <c r="L172" i="1"/>
  <c r="L179" i="1"/>
  <c r="L186" i="1"/>
  <c r="L193" i="1"/>
  <c r="L200" i="1"/>
  <c r="L207" i="1"/>
  <c r="L214" i="1"/>
  <c r="L221" i="1"/>
  <c r="L228" i="1"/>
  <c r="L235" i="1"/>
  <c r="L242" i="1"/>
  <c r="L249" i="1"/>
  <c r="L256" i="1"/>
  <c r="L263" i="1"/>
  <c r="L270" i="1"/>
  <c r="L277" i="1"/>
  <c r="L284" i="1"/>
  <c r="L291" i="1"/>
  <c r="L298" i="1"/>
  <c r="Q186" i="1"/>
  <c r="AA186" i="1" s="1"/>
  <c r="AB186" i="1" s="1"/>
  <c r="Q184" i="1"/>
  <c r="Z184" i="1" s="1"/>
  <c r="Z182" i="1"/>
  <c r="X182" i="1"/>
  <c r="V182" i="1"/>
  <c r="Q182" i="1"/>
  <c r="AA182" i="1" s="1"/>
  <c r="X184" i="1" l="1"/>
  <c r="W182" i="1"/>
  <c r="Y182" i="1"/>
  <c r="W184" i="1"/>
  <c r="Y184" i="1"/>
  <c r="AB182" i="1" l="1"/>
  <c r="AB184" i="1"/>
  <c r="AA111" i="1"/>
  <c r="AA123" i="1"/>
  <c r="Z121" i="1"/>
  <c r="Y121" i="1"/>
  <c r="X121" i="1"/>
  <c r="W121" i="1"/>
  <c r="AA119" i="1"/>
  <c r="Z119" i="1"/>
  <c r="Y119" i="1"/>
  <c r="X119" i="1"/>
  <c r="W119" i="1"/>
  <c r="V119" i="1"/>
  <c r="O184" i="1" l="1"/>
  <c r="G82" i="1"/>
  <c r="K41" i="1"/>
  <c r="D16" i="1" l="1"/>
  <c r="L16" i="1" s="1"/>
  <c r="M16" i="1" s="1"/>
  <c r="D14" i="1"/>
  <c r="K14" i="1" s="1"/>
  <c r="D12" i="1"/>
  <c r="L12" i="1" s="1"/>
  <c r="D10" i="1"/>
  <c r="L10" i="1" s="1"/>
  <c r="D25" i="1"/>
  <c r="D23" i="1"/>
  <c r="D21" i="1"/>
  <c r="D19" i="1"/>
  <c r="D34" i="1"/>
  <c r="D32" i="1"/>
  <c r="D30" i="1"/>
  <c r="D28" i="1"/>
  <c r="D43" i="1"/>
  <c r="D41" i="1"/>
  <c r="D39" i="1"/>
  <c r="D37" i="1"/>
  <c r="D52" i="1"/>
  <c r="D50" i="1"/>
  <c r="D48" i="1"/>
  <c r="D46" i="1"/>
  <c r="L46" i="1" l="1"/>
  <c r="J46" i="1"/>
  <c r="H46" i="1"/>
  <c r="K46" i="1"/>
  <c r="I46" i="1"/>
  <c r="G46" i="1"/>
  <c r="M46" i="1" s="1"/>
  <c r="K50" i="1"/>
  <c r="I50" i="1"/>
  <c r="J50" i="1"/>
  <c r="H50" i="1"/>
  <c r="L37" i="1"/>
  <c r="J37" i="1"/>
  <c r="H37" i="1"/>
  <c r="K37" i="1"/>
  <c r="I37" i="1"/>
  <c r="G37" i="1"/>
  <c r="I41" i="1"/>
  <c r="J41" i="1"/>
  <c r="H41" i="1"/>
  <c r="L28" i="1"/>
  <c r="J28" i="1"/>
  <c r="H28" i="1"/>
  <c r="K28" i="1"/>
  <c r="I28" i="1"/>
  <c r="G28" i="1"/>
  <c r="K32" i="1"/>
  <c r="I32" i="1"/>
  <c r="J32" i="1"/>
  <c r="H32" i="1"/>
  <c r="L19" i="1"/>
  <c r="J19" i="1"/>
  <c r="H19" i="1"/>
  <c r="K19" i="1"/>
  <c r="I19" i="1"/>
  <c r="G19" i="1"/>
  <c r="K23" i="1"/>
  <c r="I23" i="1"/>
  <c r="J23" i="1"/>
  <c r="H23" i="1"/>
  <c r="L48" i="1"/>
  <c r="J48" i="1"/>
  <c r="H48" i="1"/>
  <c r="K48" i="1"/>
  <c r="I48" i="1"/>
  <c r="G48" i="1"/>
  <c r="L39" i="1"/>
  <c r="J39" i="1"/>
  <c r="H39" i="1"/>
  <c r="K39" i="1"/>
  <c r="I39" i="1"/>
  <c r="G39" i="1"/>
  <c r="M43" i="1"/>
  <c r="L30" i="1"/>
  <c r="J30" i="1"/>
  <c r="H30" i="1"/>
  <c r="K30" i="1"/>
  <c r="I30" i="1"/>
  <c r="G30" i="1"/>
  <c r="M34" i="1"/>
  <c r="B32" i="1" s="1"/>
  <c r="P10" i="1" s="1"/>
  <c r="L21" i="1"/>
  <c r="J21" i="1"/>
  <c r="H21" i="1"/>
  <c r="M21" i="1" s="1"/>
  <c r="K21" i="1"/>
  <c r="I21" i="1"/>
  <c r="G21" i="1"/>
  <c r="M25" i="1"/>
  <c r="G10" i="1"/>
  <c r="I10" i="1"/>
  <c r="K10" i="1"/>
  <c r="G12" i="1"/>
  <c r="I12" i="1"/>
  <c r="K12" i="1"/>
  <c r="H14" i="1"/>
  <c r="J14" i="1"/>
  <c r="H10" i="1"/>
  <c r="J10" i="1"/>
  <c r="H12" i="1"/>
  <c r="J12" i="1"/>
  <c r="I14" i="1"/>
  <c r="M52" i="1"/>
  <c r="M48" i="1"/>
  <c r="M19" i="1" l="1"/>
  <c r="M28" i="1"/>
  <c r="M30" i="1"/>
  <c r="M12" i="1"/>
  <c r="M14" i="1"/>
  <c r="M10" i="1"/>
  <c r="M39" i="1"/>
  <c r="M37" i="1"/>
  <c r="M23" i="1"/>
  <c r="M32" i="1"/>
  <c r="M41" i="1"/>
  <c r="M50" i="1"/>
  <c r="B50" i="1" s="1"/>
  <c r="P12" i="1" s="1"/>
  <c r="D64" i="1"/>
  <c r="D66" i="1"/>
  <c r="D68" i="1"/>
  <c r="D70" i="1"/>
  <c r="D73" i="1"/>
  <c r="D75" i="1"/>
  <c r="D77" i="1"/>
  <c r="D79" i="1"/>
  <c r="D55" i="1"/>
  <c r="D57" i="1"/>
  <c r="D59" i="1"/>
  <c r="D61" i="1"/>
  <c r="D82" i="1"/>
  <c r="D84" i="1"/>
  <c r="D86" i="1"/>
  <c r="D88" i="1"/>
  <c r="T130" i="1"/>
  <c r="U130" i="1" s="1"/>
  <c r="T131" i="1"/>
  <c r="U131" i="1" s="1"/>
  <c r="T132" i="1"/>
  <c r="U132" i="1" s="1"/>
  <c r="T133" i="1"/>
  <c r="U133" i="1" s="1"/>
  <c r="T134" i="1"/>
  <c r="U134" i="1" s="1"/>
  <c r="T135" i="1"/>
  <c r="U135" i="1" s="1"/>
  <c r="T136" i="1"/>
  <c r="U136" i="1" s="1"/>
  <c r="T137" i="1"/>
  <c r="U137" i="1" s="1"/>
  <c r="T138" i="1"/>
  <c r="U138" i="1" s="1"/>
  <c r="T139" i="1"/>
  <c r="U139" i="1" s="1"/>
  <c r="T140" i="1"/>
  <c r="U140" i="1" s="1"/>
  <c r="T141" i="1"/>
  <c r="U141" i="1" s="1"/>
  <c r="T142" i="1"/>
  <c r="U142" i="1" s="1"/>
  <c r="T143" i="1"/>
  <c r="U143" i="1" s="1"/>
  <c r="T144" i="1"/>
  <c r="U144" i="1" s="1"/>
  <c r="T145" i="1"/>
  <c r="U145" i="1" s="1"/>
  <c r="T146" i="1"/>
  <c r="U146" i="1" s="1"/>
  <c r="T147" i="1"/>
  <c r="U147" i="1" s="1"/>
  <c r="T148" i="1"/>
  <c r="U148" i="1" s="1"/>
  <c r="T149" i="1"/>
  <c r="U149" i="1" s="1"/>
  <c r="T150" i="1"/>
  <c r="U150" i="1" s="1"/>
  <c r="T151" i="1"/>
  <c r="U151" i="1" s="1"/>
  <c r="T152" i="1"/>
  <c r="U152" i="1" s="1"/>
  <c r="T153" i="1"/>
  <c r="U153" i="1" s="1"/>
  <c r="T154" i="1"/>
  <c r="U154" i="1" s="1"/>
  <c r="T155" i="1"/>
  <c r="U155" i="1" s="1"/>
  <c r="T156" i="1"/>
  <c r="U156" i="1" s="1"/>
  <c r="T157" i="1"/>
  <c r="U157" i="1" s="1"/>
  <c r="T158" i="1"/>
  <c r="U158" i="1" s="1"/>
  <c r="T159" i="1"/>
  <c r="U159" i="1" s="1"/>
  <c r="T129" i="1"/>
  <c r="U129" i="1" s="1"/>
  <c r="D91" i="1"/>
  <c r="D93" i="1"/>
  <c r="D95" i="1"/>
  <c r="D133" i="1"/>
  <c r="D135" i="1"/>
  <c r="D137" i="1"/>
  <c r="D172" i="1"/>
  <c r="D170" i="1"/>
  <c r="H170" i="1" s="1"/>
  <c r="D168" i="1"/>
  <c r="D179" i="1"/>
  <c r="D177" i="1"/>
  <c r="H177" i="1" s="1"/>
  <c r="D175" i="1"/>
  <c r="D298" i="1"/>
  <c r="D296" i="1"/>
  <c r="H296" i="1" s="1"/>
  <c r="D294" i="1"/>
  <c r="L294" i="1" s="1"/>
  <c r="D165" i="1"/>
  <c r="D163" i="1"/>
  <c r="J163" i="1" s="1"/>
  <c r="D161" i="1"/>
  <c r="D158" i="1"/>
  <c r="D156" i="1"/>
  <c r="H156" i="1" s="1"/>
  <c r="D154" i="1"/>
  <c r="D102" i="1"/>
  <c r="D100" i="1"/>
  <c r="D98" i="1"/>
  <c r="D109" i="1"/>
  <c r="D107" i="1"/>
  <c r="D105" i="1"/>
  <c r="D116" i="1"/>
  <c r="D114" i="1"/>
  <c r="D112" i="1"/>
  <c r="D123" i="1"/>
  <c r="D121" i="1"/>
  <c r="D119" i="1"/>
  <c r="D130" i="1"/>
  <c r="D128" i="1"/>
  <c r="D126" i="1"/>
  <c r="D144" i="1"/>
  <c r="D142" i="1"/>
  <c r="I142" i="1" s="1"/>
  <c r="D140" i="1"/>
  <c r="D151" i="1"/>
  <c r="D149" i="1"/>
  <c r="J149" i="1" s="1"/>
  <c r="D147" i="1"/>
  <c r="K140" i="1"/>
  <c r="H154" i="1"/>
  <c r="J161" i="1"/>
  <c r="H163" i="1"/>
  <c r="K170" i="1"/>
  <c r="Q123" i="1"/>
  <c r="AB123" i="1" s="1"/>
  <c r="Q121" i="1"/>
  <c r="Q119" i="1"/>
  <c r="D182" i="1"/>
  <c r="D184" i="1"/>
  <c r="H184" i="1" s="1"/>
  <c r="D186" i="1"/>
  <c r="D189" i="1"/>
  <c r="D191" i="1"/>
  <c r="H191" i="1" s="1"/>
  <c r="D193" i="1"/>
  <c r="D196" i="1"/>
  <c r="D198" i="1"/>
  <c r="H198" i="1" s="1"/>
  <c r="D200" i="1"/>
  <c r="D203" i="1"/>
  <c r="D205" i="1"/>
  <c r="H205" i="1" s="1"/>
  <c r="D207" i="1"/>
  <c r="D210" i="1"/>
  <c r="D212" i="1"/>
  <c r="H212" i="1" s="1"/>
  <c r="D214" i="1"/>
  <c r="D217" i="1"/>
  <c r="D219" i="1"/>
  <c r="H219" i="1" s="1"/>
  <c r="D221" i="1"/>
  <c r="D224" i="1"/>
  <c r="D226" i="1"/>
  <c r="H226" i="1" s="1"/>
  <c r="D228" i="1"/>
  <c r="D231" i="1"/>
  <c r="D233" i="1"/>
  <c r="H233" i="1" s="1"/>
  <c r="D235" i="1"/>
  <c r="D238" i="1"/>
  <c r="D240" i="1"/>
  <c r="H240" i="1" s="1"/>
  <c r="D242" i="1"/>
  <c r="D245" i="1"/>
  <c r="D247" i="1"/>
  <c r="H247" i="1" s="1"/>
  <c r="D249" i="1"/>
  <c r="D252" i="1"/>
  <c r="L252" i="1" s="1"/>
  <c r="G251" i="1"/>
  <c r="H251" i="1"/>
  <c r="I251" i="1"/>
  <c r="J251" i="1"/>
  <c r="K251" i="1"/>
  <c r="D254" i="1"/>
  <c r="H254" i="1" s="1"/>
  <c r="K253" i="1"/>
  <c r="D256" i="1"/>
  <c r="L255" i="1"/>
  <c r="D259" i="1"/>
  <c r="L259" i="1" s="1"/>
  <c r="G258" i="1"/>
  <c r="H258" i="1"/>
  <c r="I258" i="1"/>
  <c r="J258" i="1"/>
  <c r="K258" i="1"/>
  <c r="D261" i="1"/>
  <c r="H261" i="1" s="1"/>
  <c r="K260" i="1"/>
  <c r="D263" i="1"/>
  <c r="L262" i="1"/>
  <c r="D266" i="1"/>
  <c r="L266" i="1" s="1"/>
  <c r="G265" i="1"/>
  <c r="H265" i="1"/>
  <c r="I265" i="1"/>
  <c r="J265" i="1"/>
  <c r="K265" i="1"/>
  <c r="D268" i="1"/>
  <c r="G268" i="1" s="1"/>
  <c r="K267" i="1"/>
  <c r="D270" i="1"/>
  <c r="L269" i="1"/>
  <c r="D273" i="1"/>
  <c r="L273" i="1" s="1"/>
  <c r="G272" i="1"/>
  <c r="H272" i="1"/>
  <c r="H273" i="1" s="1"/>
  <c r="I272" i="1"/>
  <c r="J272" i="1"/>
  <c r="J273" i="1" s="1"/>
  <c r="K272" i="1"/>
  <c r="G274" i="1"/>
  <c r="D275" i="1"/>
  <c r="J275" i="1" s="1"/>
  <c r="K274" i="1"/>
  <c r="D277" i="1"/>
  <c r="L276" i="1"/>
  <c r="D280" i="1"/>
  <c r="L280" i="1" s="1"/>
  <c r="G279" i="1"/>
  <c r="H279" i="1"/>
  <c r="H280" i="1" s="1"/>
  <c r="I279" i="1"/>
  <c r="J279" i="1"/>
  <c r="J280" i="1" s="1"/>
  <c r="K279" i="1"/>
  <c r="G281" i="1"/>
  <c r="D282" i="1"/>
  <c r="J281" i="1"/>
  <c r="K281" i="1"/>
  <c r="D284" i="1"/>
  <c r="D287" i="1"/>
  <c r="L287" i="1" s="1"/>
  <c r="G286" i="1"/>
  <c r="H286" i="1"/>
  <c r="H287" i="1" s="1"/>
  <c r="I286" i="1"/>
  <c r="J286" i="1"/>
  <c r="J287" i="1" s="1"/>
  <c r="K286" i="1"/>
  <c r="H288" i="1"/>
  <c r="D289" i="1"/>
  <c r="I289" i="1" s="1"/>
  <c r="J288" i="1"/>
  <c r="K288" i="1"/>
  <c r="D291" i="1"/>
  <c r="G293" i="1"/>
  <c r="H293" i="1"/>
  <c r="I293" i="1"/>
  <c r="J293" i="1"/>
  <c r="K293" i="1"/>
  <c r="K295" i="1"/>
  <c r="M298" i="1"/>
  <c r="J240" i="1"/>
  <c r="K224" i="1"/>
  <c r="J212" i="1"/>
  <c r="K196" i="1"/>
  <c r="J184" i="1"/>
  <c r="K182" i="1"/>
  <c r="H140" i="1"/>
  <c r="I154" i="1"/>
  <c r="I177" i="1"/>
  <c r="K168" i="1"/>
  <c r="M284" i="1" l="1"/>
  <c r="M249" i="1"/>
  <c r="G245" i="1"/>
  <c r="L245" i="1"/>
  <c r="M235" i="1"/>
  <c r="G231" i="1"/>
  <c r="L231" i="1"/>
  <c r="M221" i="1"/>
  <c r="G217" i="1"/>
  <c r="L217" i="1"/>
  <c r="M207" i="1"/>
  <c r="G203" i="1"/>
  <c r="L203" i="1"/>
  <c r="M193" i="1"/>
  <c r="G189" i="1"/>
  <c r="L189" i="1"/>
  <c r="H147" i="1"/>
  <c r="L147" i="1"/>
  <c r="M151" i="1"/>
  <c r="L126" i="1"/>
  <c r="J126" i="1"/>
  <c r="H126" i="1"/>
  <c r="K126" i="1"/>
  <c r="I126" i="1"/>
  <c r="G126" i="1"/>
  <c r="M130" i="1"/>
  <c r="K121" i="1"/>
  <c r="I121" i="1"/>
  <c r="J121" i="1"/>
  <c r="H121" i="1"/>
  <c r="L112" i="1"/>
  <c r="J112" i="1"/>
  <c r="H112" i="1"/>
  <c r="K112" i="1"/>
  <c r="I112" i="1"/>
  <c r="G112" i="1"/>
  <c r="L116" i="1"/>
  <c r="M116" i="1" s="1"/>
  <c r="K107" i="1"/>
  <c r="I107" i="1"/>
  <c r="J107" i="1"/>
  <c r="H107" i="1"/>
  <c r="L98" i="1"/>
  <c r="J98" i="1"/>
  <c r="H98" i="1"/>
  <c r="K98" i="1"/>
  <c r="I98" i="1"/>
  <c r="G98" i="1"/>
  <c r="L102" i="1"/>
  <c r="M102" i="1" s="1"/>
  <c r="G161" i="1"/>
  <c r="L161" i="1"/>
  <c r="M165" i="1"/>
  <c r="G175" i="1"/>
  <c r="L175" i="1"/>
  <c r="M179" i="1"/>
  <c r="M137" i="1"/>
  <c r="L133" i="1"/>
  <c r="J133" i="1"/>
  <c r="H133" i="1"/>
  <c r="K133" i="1"/>
  <c r="I133" i="1"/>
  <c r="G133" i="1"/>
  <c r="K93" i="1"/>
  <c r="I93" i="1"/>
  <c r="J93" i="1"/>
  <c r="H93" i="1"/>
  <c r="K86" i="1"/>
  <c r="I86" i="1"/>
  <c r="J86" i="1"/>
  <c r="H86" i="1"/>
  <c r="K82" i="1"/>
  <c r="L82" i="1"/>
  <c r="J82" i="1"/>
  <c r="I82" i="1"/>
  <c r="H82" i="1"/>
  <c r="J59" i="1"/>
  <c r="H59" i="1"/>
  <c r="K59" i="1"/>
  <c r="I59" i="1"/>
  <c r="L55" i="1"/>
  <c r="J55" i="1"/>
  <c r="H55" i="1"/>
  <c r="K55" i="1"/>
  <c r="I55" i="1"/>
  <c r="G55" i="1"/>
  <c r="H77" i="1"/>
  <c r="J77" i="1"/>
  <c r="K77" i="1"/>
  <c r="I77" i="1"/>
  <c r="L73" i="1"/>
  <c r="J73" i="1"/>
  <c r="H73" i="1"/>
  <c r="K73" i="1"/>
  <c r="I73" i="1"/>
  <c r="G73" i="1"/>
  <c r="K68" i="1"/>
  <c r="I68" i="1"/>
  <c r="J68" i="1"/>
  <c r="H68" i="1"/>
  <c r="M68" i="1" s="1"/>
  <c r="L64" i="1"/>
  <c r="J64" i="1"/>
  <c r="H64" i="1"/>
  <c r="K64" i="1"/>
  <c r="I64" i="1"/>
  <c r="G64" i="1"/>
  <c r="I296" i="1"/>
  <c r="M291" i="1"/>
  <c r="M242" i="1"/>
  <c r="G238" i="1"/>
  <c r="L238" i="1"/>
  <c r="M228" i="1"/>
  <c r="G224" i="1"/>
  <c r="L224" i="1"/>
  <c r="M214" i="1"/>
  <c r="G210" i="1"/>
  <c r="L210" i="1"/>
  <c r="M200" i="1"/>
  <c r="G196" i="1"/>
  <c r="L196" i="1"/>
  <c r="M186" i="1"/>
  <c r="G182" i="1"/>
  <c r="L182" i="1"/>
  <c r="J175" i="1"/>
  <c r="K156" i="1"/>
  <c r="I140" i="1"/>
  <c r="L140" i="1"/>
  <c r="M144" i="1"/>
  <c r="K128" i="1"/>
  <c r="I128" i="1"/>
  <c r="J128" i="1"/>
  <c r="H128" i="1"/>
  <c r="L119" i="1"/>
  <c r="J119" i="1"/>
  <c r="H119" i="1"/>
  <c r="M119" i="1" s="1"/>
  <c r="K119" i="1"/>
  <c r="I119" i="1"/>
  <c r="G119" i="1"/>
  <c r="M123" i="1"/>
  <c r="K114" i="1"/>
  <c r="I114" i="1"/>
  <c r="J114" i="1"/>
  <c r="H114" i="1"/>
  <c r="L105" i="1"/>
  <c r="J105" i="1"/>
  <c r="H105" i="1"/>
  <c r="K105" i="1"/>
  <c r="I105" i="1"/>
  <c r="G105" i="1"/>
  <c r="L109" i="1"/>
  <c r="M109" i="1" s="1"/>
  <c r="K100" i="1"/>
  <c r="I100" i="1"/>
  <c r="J100" i="1"/>
  <c r="H100" i="1"/>
  <c r="J154" i="1"/>
  <c r="L154" i="1"/>
  <c r="M158" i="1"/>
  <c r="J168" i="1"/>
  <c r="L168" i="1"/>
  <c r="M172" i="1"/>
  <c r="K135" i="1"/>
  <c r="I135" i="1"/>
  <c r="J135" i="1"/>
  <c r="H135" i="1"/>
  <c r="M95" i="1"/>
  <c r="K91" i="1"/>
  <c r="I91" i="1"/>
  <c r="G91" i="1"/>
  <c r="L91" i="1"/>
  <c r="J91" i="1"/>
  <c r="H91" i="1"/>
  <c r="M88" i="1"/>
  <c r="K84" i="1"/>
  <c r="I84" i="1"/>
  <c r="G84" i="1"/>
  <c r="L84" i="1"/>
  <c r="J84" i="1"/>
  <c r="H84" i="1"/>
  <c r="M61" i="1"/>
  <c r="L57" i="1"/>
  <c r="J57" i="1"/>
  <c r="H57" i="1"/>
  <c r="K57" i="1"/>
  <c r="I57" i="1"/>
  <c r="G57" i="1"/>
  <c r="M79" i="1"/>
  <c r="L75" i="1"/>
  <c r="J75" i="1"/>
  <c r="H75" i="1"/>
  <c r="K75" i="1"/>
  <c r="I75" i="1"/>
  <c r="G75" i="1"/>
  <c r="M70" i="1"/>
  <c r="L66" i="1"/>
  <c r="J66" i="1"/>
  <c r="H66" i="1"/>
  <c r="K66" i="1"/>
  <c r="I66" i="1"/>
  <c r="G66" i="1"/>
  <c r="B41" i="1"/>
  <c r="P11" i="1" s="1"/>
  <c r="G168" i="1"/>
  <c r="I163" i="1"/>
  <c r="I149" i="1"/>
  <c r="K294" i="1"/>
  <c r="I294" i="1"/>
  <c r="G294" i="1"/>
  <c r="J177" i="1"/>
  <c r="H168" i="1"/>
  <c r="K154" i="1"/>
  <c r="H149" i="1"/>
  <c r="G140" i="1"/>
  <c r="I168" i="1"/>
  <c r="K177" i="1"/>
  <c r="K163" i="1"/>
  <c r="G154" i="1"/>
  <c r="M100" i="1"/>
  <c r="J140" i="1"/>
  <c r="K149" i="1"/>
  <c r="I182" i="1"/>
  <c r="J294" i="1"/>
  <c r="H294" i="1"/>
  <c r="I184" i="1"/>
  <c r="K233" i="1"/>
  <c r="J231" i="1"/>
  <c r="K205" i="1"/>
  <c r="J203" i="1"/>
  <c r="K191" i="1"/>
  <c r="K184" i="1"/>
  <c r="I210" i="1"/>
  <c r="I224" i="1"/>
  <c r="I238" i="1"/>
  <c r="K296" i="1"/>
  <c r="H175" i="1"/>
  <c r="I170" i="1"/>
  <c r="H161" i="1"/>
  <c r="I156" i="1"/>
  <c r="G147" i="1"/>
  <c r="J142" i="1"/>
  <c r="K280" i="1"/>
  <c r="I280" i="1"/>
  <c r="G280" i="1"/>
  <c r="J245" i="1"/>
  <c r="J217" i="1"/>
  <c r="J147" i="1"/>
  <c r="H142" i="1"/>
  <c r="I205" i="1"/>
  <c r="M168" i="1"/>
  <c r="I196" i="1"/>
  <c r="J198" i="1"/>
  <c r="K210" i="1"/>
  <c r="J226" i="1"/>
  <c r="K238" i="1"/>
  <c r="J296" i="1"/>
  <c r="K289" i="1"/>
  <c r="G282" i="1"/>
  <c r="H238" i="1"/>
  <c r="I233" i="1"/>
  <c r="H231" i="1"/>
  <c r="H210" i="1"/>
  <c r="J205" i="1"/>
  <c r="H203" i="1"/>
  <c r="K175" i="1"/>
  <c r="I175" i="1"/>
  <c r="J170" i="1"/>
  <c r="K161" i="1"/>
  <c r="I161" i="1"/>
  <c r="J156" i="1"/>
  <c r="M156" i="1" s="1"/>
  <c r="K147" i="1"/>
  <c r="I147" i="1"/>
  <c r="K142" i="1"/>
  <c r="M107" i="1"/>
  <c r="M133" i="1"/>
  <c r="J268" i="1"/>
  <c r="M263" i="1"/>
  <c r="M256" i="1"/>
  <c r="M114" i="1"/>
  <c r="K247" i="1"/>
  <c r="K219" i="1"/>
  <c r="K287" i="1"/>
  <c r="I287" i="1"/>
  <c r="G287" i="1"/>
  <c r="J282" i="1"/>
  <c r="H268" i="1"/>
  <c r="I261" i="1"/>
  <c r="I254" i="1"/>
  <c r="I247" i="1"/>
  <c r="H245" i="1"/>
  <c r="H224" i="1"/>
  <c r="I219" i="1"/>
  <c r="H217" i="1"/>
  <c r="H196" i="1"/>
  <c r="I191" i="1"/>
  <c r="K189" i="1"/>
  <c r="M73" i="1"/>
  <c r="H289" i="1"/>
  <c r="H282" i="1"/>
  <c r="M277" i="1"/>
  <c r="M270" i="1"/>
  <c r="M86" i="1"/>
  <c r="I240" i="1"/>
  <c r="I226" i="1"/>
  <c r="I212" i="1"/>
  <c r="J196" i="1"/>
  <c r="I189" i="1"/>
  <c r="H182" i="1"/>
  <c r="M66" i="1"/>
  <c r="M93" i="1"/>
  <c r="M82" i="1"/>
  <c r="M128" i="1"/>
  <c r="J289" i="1"/>
  <c r="K282" i="1"/>
  <c r="I282" i="1"/>
  <c r="K273" i="1"/>
  <c r="I273" i="1"/>
  <c r="G273" i="1"/>
  <c r="K245" i="1"/>
  <c r="I245" i="1"/>
  <c r="K240" i="1"/>
  <c r="K231" i="1"/>
  <c r="I231" i="1"/>
  <c r="K226" i="1"/>
  <c r="K217" i="1"/>
  <c r="I217" i="1"/>
  <c r="K212" i="1"/>
  <c r="I198" i="1"/>
  <c r="J191" i="1"/>
  <c r="J189" i="1"/>
  <c r="H189" i="1"/>
  <c r="J182" i="1"/>
  <c r="G275" i="1"/>
  <c r="I275" i="1"/>
  <c r="H275" i="1"/>
  <c r="K275" i="1"/>
  <c r="K268" i="1"/>
  <c r="I268" i="1"/>
  <c r="K266" i="1"/>
  <c r="J266" i="1"/>
  <c r="I266" i="1"/>
  <c r="H266" i="1"/>
  <c r="G266" i="1"/>
  <c r="K261" i="1"/>
  <c r="J261" i="1"/>
  <c r="K259" i="1"/>
  <c r="J259" i="1"/>
  <c r="I259" i="1"/>
  <c r="H259" i="1"/>
  <c r="G259" i="1"/>
  <c r="K254" i="1"/>
  <c r="J254" i="1"/>
  <c r="K252" i="1"/>
  <c r="J252" i="1"/>
  <c r="I252" i="1"/>
  <c r="H252" i="1"/>
  <c r="G252" i="1"/>
  <c r="J247" i="1"/>
  <c r="J238" i="1"/>
  <c r="J233" i="1"/>
  <c r="J224" i="1"/>
  <c r="J219" i="1"/>
  <c r="J210" i="1"/>
  <c r="K203" i="1"/>
  <c r="I203" i="1"/>
  <c r="K198" i="1"/>
  <c r="M198" i="1" s="1"/>
  <c r="M149" i="1" l="1"/>
  <c r="M77" i="1"/>
  <c r="M184" i="1"/>
  <c r="AB121" i="1"/>
  <c r="M142" i="1"/>
  <c r="M135" i="1"/>
  <c r="B135" i="1" s="1"/>
  <c r="P23" i="1" s="1"/>
  <c r="M294" i="1"/>
  <c r="M296" i="1"/>
  <c r="M154" i="1"/>
  <c r="B156" i="1" s="1"/>
  <c r="P26" i="1" s="1"/>
  <c r="M163" i="1"/>
  <c r="M140" i="1"/>
  <c r="B142" i="1" s="1"/>
  <c r="P24" i="1" s="1"/>
  <c r="M177" i="1"/>
  <c r="M105" i="1"/>
  <c r="B107" i="1" s="1"/>
  <c r="P19" i="1" s="1"/>
  <c r="M84" i="1"/>
  <c r="M289" i="1"/>
  <c r="M205" i="1"/>
  <c r="M238" i="1"/>
  <c r="M233" i="1"/>
  <c r="M55" i="1"/>
  <c r="M182" i="1"/>
  <c r="M212" i="1"/>
  <c r="M240" i="1"/>
  <c r="M75" i="1"/>
  <c r="B77" i="1" s="1"/>
  <c r="P15" i="1" s="1"/>
  <c r="M273" i="1"/>
  <c r="M189" i="1"/>
  <c r="M191" i="1"/>
  <c r="M217" i="1"/>
  <c r="M280" i="1"/>
  <c r="M282" i="1"/>
  <c r="M98" i="1"/>
  <c r="B100" i="1" s="1"/>
  <c r="P18" i="1" s="1"/>
  <c r="M91" i="1"/>
  <c r="M224" i="1"/>
  <c r="M196" i="1"/>
  <c r="B198" i="1" s="1"/>
  <c r="P32" i="1" s="1"/>
  <c r="M121" i="1"/>
  <c r="B121" i="1" s="1"/>
  <c r="P21" i="1" s="1"/>
  <c r="M203" i="1"/>
  <c r="B205" i="1" s="1"/>
  <c r="P33" i="1" s="1"/>
  <c r="M210" i="1"/>
  <c r="M57" i="1"/>
  <c r="M226" i="1"/>
  <c r="M287" i="1"/>
  <c r="M112" i="1"/>
  <c r="B114" i="1" s="1"/>
  <c r="P20" i="1" s="1"/>
  <c r="M126" i="1"/>
  <c r="B128" i="1" s="1"/>
  <c r="P22" i="1" s="1"/>
  <c r="M161" i="1"/>
  <c r="B163" i="1" s="1"/>
  <c r="P27" i="1" s="1"/>
  <c r="M170" i="1"/>
  <c r="B170" i="1" s="1"/>
  <c r="P28" i="1" s="1"/>
  <c r="M147" i="1"/>
  <c r="B149" i="1" s="1"/>
  <c r="P25" i="1" s="1"/>
  <c r="M175" i="1"/>
  <c r="B177" i="1" s="1"/>
  <c r="P29" i="1" s="1"/>
  <c r="M231" i="1"/>
  <c r="M245" i="1"/>
  <c r="M64" i="1"/>
  <c r="B68" i="1" s="1"/>
  <c r="M219" i="1"/>
  <c r="M247" i="1"/>
  <c r="M252" i="1"/>
  <c r="M261" i="1"/>
  <c r="M266" i="1"/>
  <c r="M268" i="1"/>
  <c r="AB119" i="1"/>
  <c r="M254" i="1"/>
  <c r="M275" i="1"/>
  <c r="M259" i="1"/>
  <c r="P14" i="1" l="1"/>
  <c r="AA110" i="1"/>
  <c r="O121" i="1"/>
  <c r="B184" i="1"/>
  <c r="P30" i="1" s="1"/>
  <c r="B296" i="1"/>
  <c r="P46" i="1" s="1"/>
  <c r="B289" i="1"/>
  <c r="P45" i="1" s="1"/>
  <c r="B275" i="1"/>
  <c r="P43" i="1" s="1"/>
  <c r="B240" i="1"/>
  <c r="P38" i="1" s="1"/>
  <c r="B219" i="1"/>
  <c r="P35" i="1" s="1"/>
  <c r="B226" i="1"/>
  <c r="P36" i="1" s="1"/>
  <c r="B233" i="1"/>
  <c r="P37" i="1" s="1"/>
  <c r="B191" i="1"/>
  <c r="P31" i="1" s="1"/>
  <c r="B261" i="1"/>
  <c r="P41" i="1" s="1"/>
  <c r="B212" i="1"/>
  <c r="P34" i="1" s="1"/>
  <c r="B282" i="1"/>
  <c r="P44" i="1" s="1"/>
  <c r="B247" i="1"/>
  <c r="P39" i="1" s="1"/>
  <c r="B254" i="1"/>
  <c r="P40" i="1" s="1"/>
  <c r="B268" i="1"/>
  <c r="P42" i="1" s="1"/>
  <c r="M59" i="1"/>
  <c r="B59" i="1" s="1"/>
  <c r="P13" i="1" s="1"/>
</calcChain>
</file>

<file path=xl/sharedStrings.xml><?xml version="1.0" encoding="utf-8"?>
<sst xmlns="http://schemas.openxmlformats.org/spreadsheetml/2006/main" count="1318" uniqueCount="215">
  <si>
    <t>年度</t>
  </si>
  <si>
    <t>食品の種類</t>
  </si>
  <si>
    <t>葉根菜</t>
  </si>
  <si>
    <t>米</t>
  </si>
  <si>
    <t>魚</t>
  </si>
  <si>
    <t>無脊椎動物</t>
  </si>
  <si>
    <t>海藻</t>
  </si>
  <si>
    <t>飲料水</t>
  </si>
  <si>
    <t>計</t>
  </si>
  <si>
    <t>預託線量当量合計</t>
  </si>
  <si>
    <t>該当する環境試料</t>
  </si>
  <si>
    <t>大根(葉根)</t>
  </si>
  <si>
    <t>精米(注1)</t>
  </si>
  <si>
    <t>あいなめ</t>
  </si>
  <si>
    <t>かき･ほや･あわび</t>
  </si>
  <si>
    <t>わかめ</t>
  </si>
  <si>
    <t>水道原水</t>
  </si>
  <si>
    <t>(μSv)</t>
  </si>
  <si>
    <t>1日経口摂取量</t>
  </si>
  <si>
    <t>(g/日/人)</t>
  </si>
  <si>
    <t>～S63</t>
  </si>
  <si>
    <t>Cs-137</t>
  </si>
  <si>
    <t>換算係数</t>
  </si>
  <si>
    <t>最大濃度</t>
  </si>
  <si>
    <t>(Bq/kg生)</t>
  </si>
  <si>
    <t>-</t>
  </si>
  <si>
    <t>H1～</t>
  </si>
  <si>
    <t>預託実効線量等量</t>
  </si>
  <si>
    <t>H5～</t>
  </si>
  <si>
    <t>Ｈ9</t>
  </si>
  <si>
    <t>Sr-90</t>
  </si>
  <si>
    <t>預託線量当量</t>
  </si>
  <si>
    <t>H-3</t>
  </si>
  <si>
    <t>(Bq/㍑)</t>
  </si>
  <si>
    <t>　　Cs-137､Sr-90、H-3)の最大濃度を用いて、１年間の食物または飲料水の摂取に基づく預託実効線量当量を計算した。</t>
  </si>
  <si>
    <t>　　これらの試料にはそのほかの人工放射性核種は検出されていない。計算方法は原子力安全委員会「環境放射線ﾓﾆﾀ</t>
  </si>
  <si>
    <t>　　ﾘﾝｸﾞに関する指針」によった。計算式は以下のとおり。</t>
  </si>
  <si>
    <t>　　　　[預託実効線量当量(mSv)]=[換算係数(MSv/Bq)]ｘ[食物(飲料水)の１日当たり摂取量(kg)]ｘ365</t>
  </si>
  <si>
    <t>　　　　ｘ食物(飲料水)中の核種の年間最大濃度(Bq-kg)]</t>
  </si>
  <si>
    <t>　　参考とした。その他の食品及び飲料水の摂取量は「環境放射線ﾓﾆﾀﾘﾝｸﾞに関する指針」に引用されている値を用いた。</t>
  </si>
  <si>
    <t>米･加工品←米</t>
    <rPh sb="0" eb="1">
      <t>コメ</t>
    </rPh>
    <rPh sb="2" eb="5">
      <t>カコウヒン</t>
    </rPh>
    <rPh sb="6" eb="7">
      <t>コメ</t>
    </rPh>
    <phoneticPr fontId="1"/>
  </si>
  <si>
    <r>
      <t>　　ここで、換算係数はCs-137が1.4x10</t>
    </r>
    <r>
      <rPr>
        <vertAlign val="superscript"/>
        <sz val="8"/>
        <rFont val="Meiryo UI"/>
        <family val="3"/>
        <charset val="128"/>
      </rPr>
      <t>-5</t>
    </r>
    <r>
      <rPr>
        <sz val="8"/>
        <rFont val="Meiryo UI"/>
        <family val="3"/>
        <charset val="128"/>
      </rPr>
      <t>、Sr-90が3.6x10</t>
    </r>
    <r>
      <rPr>
        <vertAlign val="superscript"/>
        <sz val="8"/>
        <rFont val="Meiryo UI"/>
        <family val="3"/>
        <charset val="128"/>
      </rPr>
      <t>-5</t>
    </r>
    <r>
      <rPr>
        <sz val="8"/>
        <rFont val="Meiryo UI"/>
        <family val="3"/>
        <charset val="128"/>
      </rPr>
      <t>、H-3が1.7x10</t>
    </r>
    <r>
      <rPr>
        <vertAlign val="superscript"/>
        <sz val="8"/>
        <rFont val="Meiryo UI"/>
        <family val="3"/>
        <charset val="128"/>
      </rPr>
      <t>-8</t>
    </r>
    <r>
      <rPr>
        <sz val="8"/>
        <rFont val="Meiryo UI"/>
        <family val="3"/>
        <charset val="128"/>
      </rPr>
      <t>。</t>
    </r>
  </si>
  <si>
    <t>-</t>
    <phoneticPr fontId="1"/>
  </si>
  <si>
    <t>Ｈ22</t>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</si>
  <si>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9"/>
  </si>
  <si>
    <t>-</t>
    <phoneticPr fontId="1"/>
  </si>
  <si>
    <t>注5) 一般に言われている自然放射性物質を含む食物から受ける内部被ばく(0.35ｍSv)の約1800分の1</t>
    <rPh sb="4" eb="6">
      <t>イッパン</t>
    </rPh>
    <rPh sb="7" eb="8">
      <t>イ</t>
    </rPh>
    <rPh sb="13" eb="15">
      <t>シゼン</t>
    </rPh>
    <rPh sb="15" eb="18">
      <t>ホウシャセイ</t>
    </rPh>
    <rPh sb="18" eb="20">
      <t>ブッシツ</t>
    </rPh>
    <rPh sb="21" eb="22">
      <t>フク</t>
    </rPh>
    <rPh sb="23" eb="25">
      <t>ショクモツ</t>
    </rPh>
    <rPh sb="27" eb="28">
      <t>ウ</t>
    </rPh>
    <rPh sb="30" eb="32">
      <t>ナイブ</t>
    </rPh>
    <rPh sb="32" eb="33">
      <t>ヒ</t>
    </rPh>
    <rPh sb="45" eb="46">
      <t>ヤク</t>
    </rPh>
    <rPh sb="50" eb="51">
      <t>ブン</t>
    </rPh>
    <phoneticPr fontId="1"/>
  </si>
  <si>
    <t>外部被爆による実効線量等量の推定値（平成元年度第9巻5号p90～92）</t>
    <rPh sb="0" eb="2">
      <t>ガイブ</t>
    </rPh>
    <rPh sb="14" eb="17">
      <t>スイテイチ</t>
    </rPh>
    <rPh sb="18" eb="20">
      <t>ヘイセイ</t>
    </rPh>
    <rPh sb="20" eb="22">
      <t>ガンネン</t>
    </rPh>
    <rPh sb="22" eb="23">
      <t>ド</t>
    </rPh>
    <rPh sb="23" eb="24">
      <t>ダイ</t>
    </rPh>
    <rPh sb="25" eb="26">
      <t>カン</t>
    </rPh>
    <rPh sb="27" eb="28">
      <t>ゴウ</t>
    </rPh>
    <phoneticPr fontId="1"/>
  </si>
  <si>
    <t>出島</t>
  </si>
  <si>
    <t>桐ヶ崎</t>
  </si>
  <si>
    <t>高白</t>
  </si>
  <si>
    <t>大石原</t>
  </si>
  <si>
    <t>野々浜</t>
  </si>
  <si>
    <t>祝浜</t>
  </si>
  <si>
    <t>泊浜</t>
  </si>
  <si>
    <t>大原浜</t>
  </si>
  <si>
    <t>小屋取</t>
  </si>
  <si>
    <t>飯小浜</t>
  </si>
  <si>
    <t>女川</t>
  </si>
  <si>
    <t>竹浦</t>
  </si>
  <si>
    <t>寄磯</t>
  </si>
  <si>
    <t>鮫浦</t>
  </si>
  <si>
    <t>荻浜</t>
  </si>
  <si>
    <t>第１四半期</t>
  </si>
  <si>
    <t>第２四半期</t>
  </si>
  <si>
    <t>第３四半期</t>
  </si>
  <si>
    <t>第４四半期</t>
  </si>
  <si>
    <t>尾浦</t>
    <phoneticPr fontId="1"/>
  </si>
  <si>
    <t>大谷川</t>
    <phoneticPr fontId="3"/>
  </si>
  <si>
    <t>桃浦</t>
    <phoneticPr fontId="1"/>
  </si>
  <si>
    <t>小網倉</t>
    <phoneticPr fontId="1"/>
  </si>
  <si>
    <t xml:space="preserve">女川ＭＳ  </t>
    <phoneticPr fontId="1"/>
  </si>
  <si>
    <t>飯子浜ＭＳ</t>
    <phoneticPr fontId="1"/>
  </si>
  <si>
    <t>小屋取ＭＳ</t>
    <phoneticPr fontId="1"/>
  </si>
  <si>
    <t xml:space="preserve">寄磯ＭＳ  </t>
    <phoneticPr fontId="1"/>
  </si>
  <si>
    <t xml:space="preserve">鮫浦ＭＳ  </t>
    <phoneticPr fontId="1"/>
  </si>
  <si>
    <t xml:space="preserve">谷川ＭＳ  </t>
    <phoneticPr fontId="1"/>
  </si>
  <si>
    <t>横浦</t>
    <phoneticPr fontId="1"/>
  </si>
  <si>
    <t>谷川</t>
    <phoneticPr fontId="1"/>
  </si>
  <si>
    <t xml:space="preserve">江島ＭＳ  </t>
    <phoneticPr fontId="1"/>
  </si>
  <si>
    <t>前網ＭＳ</t>
    <phoneticPr fontId="1"/>
  </si>
  <si>
    <t>寺間ＭＳ</t>
    <phoneticPr fontId="1"/>
  </si>
  <si>
    <t>塚浜ＭＳ</t>
    <phoneticPr fontId="1"/>
  </si>
  <si>
    <t>年間積算値(mR/年)</t>
    <rPh sb="0" eb="2">
      <t>ネンカン</t>
    </rPh>
    <rPh sb="2" eb="4">
      <t>セキサン</t>
    </rPh>
    <rPh sb="4" eb="5">
      <t>チ</t>
    </rPh>
    <rPh sb="9" eb="10">
      <t>ネン</t>
    </rPh>
    <phoneticPr fontId="1"/>
  </si>
  <si>
    <t>実効線量当量(mSv/年)</t>
    <rPh sb="0" eb="2">
      <t>ジッコウ</t>
    </rPh>
    <rPh sb="2" eb="6">
      <t>センリョウトウリョウ</t>
    </rPh>
    <rPh sb="11" eb="12">
      <t>ネン</t>
    </rPh>
    <phoneticPr fontId="1"/>
  </si>
  <si>
    <t>平成9年度第17巻5号</t>
    <rPh sb="0" eb="2">
      <t>ヘイセイ</t>
    </rPh>
    <rPh sb="3" eb="4">
      <t>ネン</t>
    </rPh>
    <rPh sb="4" eb="5">
      <t>ド</t>
    </rPh>
    <rPh sb="5" eb="6">
      <t>ダイ</t>
    </rPh>
    <rPh sb="8" eb="9">
      <t>カン</t>
    </rPh>
    <rPh sb="10" eb="11">
      <t>ゴウ</t>
    </rPh>
    <phoneticPr fontId="1"/>
  </si>
  <si>
    <t>内部被爆による預託実効線量等量(摂取後50年間の総線量当量/人工放射性核種分に限り､K-40など自然放射性核種は含まない)の計算</t>
    <rPh sb="16" eb="18">
      <t>セッシュ</t>
    </rPh>
    <rPh sb="18" eb="19">
      <t>ゴ</t>
    </rPh>
    <rPh sb="21" eb="23">
      <t>ネンカン</t>
    </rPh>
    <rPh sb="24" eb="25">
      <t>ソウ</t>
    </rPh>
    <rPh sb="25" eb="27">
      <t>センリョウ</t>
    </rPh>
    <rPh sb="27" eb="29">
      <t>トウリョウ</t>
    </rPh>
    <rPh sb="30" eb="32">
      <t>ジンコウ</t>
    </rPh>
    <rPh sb="32" eb="34">
      <t>ホウシャ</t>
    </rPh>
    <rPh sb="34" eb="35">
      <t>セイ</t>
    </rPh>
    <rPh sb="35" eb="37">
      <t>カクシュ</t>
    </rPh>
    <rPh sb="37" eb="38">
      <t>ブン</t>
    </rPh>
    <rPh sb="39" eb="40">
      <t>カギ</t>
    </rPh>
    <rPh sb="48" eb="50">
      <t>シゼン</t>
    </rPh>
    <rPh sb="50" eb="53">
      <t>ホウシャセイ</t>
    </rPh>
    <rPh sb="53" eb="55">
      <t>カクシュ</t>
    </rPh>
    <rPh sb="56" eb="57">
      <t>フク</t>
    </rPh>
    <phoneticPr fontId="1"/>
  </si>
  <si>
    <t>(注1) 実効線量当量は､TLD(熱蛍光線量計)の年間積算値(ｍR/365日)に0.007を乗じて得られたものである｡</t>
    <rPh sb="1" eb="2">
      <t>チュウ</t>
    </rPh>
    <rPh sb="5" eb="7">
      <t>ジッコウ</t>
    </rPh>
    <rPh sb="7" eb="9">
      <t>センリョウ</t>
    </rPh>
    <rPh sb="9" eb="11">
      <t>トウリョウ</t>
    </rPh>
    <rPh sb="17" eb="18">
      <t>ネツ</t>
    </rPh>
    <rPh sb="18" eb="20">
      <t>ケイコウ</t>
    </rPh>
    <rPh sb="20" eb="22">
      <t>センリョウ</t>
    </rPh>
    <rPh sb="22" eb="23">
      <t>ケイ</t>
    </rPh>
    <rPh sb="25" eb="27">
      <t>ネンカン</t>
    </rPh>
    <rPh sb="27" eb="29">
      <t>セキサン</t>
    </rPh>
    <rPh sb="29" eb="30">
      <t>チ</t>
    </rPh>
    <rPh sb="37" eb="38">
      <t>ニチ</t>
    </rPh>
    <rPh sb="46" eb="47">
      <t>ジョウ</t>
    </rPh>
    <rPh sb="49" eb="50">
      <t>エ</t>
    </rPh>
    <phoneticPr fontId="1"/>
  </si>
  <si>
    <t>(注2) 昭和57～63年度の間に各測定地点で推定された外部被ばくによる実効線量当量の範囲は､0.34～0.69mSv/365日である｡</t>
    <rPh sb="1" eb="2">
      <t>チュウ</t>
    </rPh>
    <rPh sb="5" eb="7">
      <t>ショウワ</t>
    </rPh>
    <rPh sb="12" eb="14">
      <t>ネンド</t>
    </rPh>
    <rPh sb="15" eb="16">
      <t>アイダ</t>
    </rPh>
    <rPh sb="17" eb="18">
      <t>カク</t>
    </rPh>
    <rPh sb="18" eb="20">
      <t>ソクテイ</t>
    </rPh>
    <rPh sb="20" eb="22">
      <t>チテン</t>
    </rPh>
    <rPh sb="23" eb="25">
      <t>スイテイ</t>
    </rPh>
    <rPh sb="28" eb="30">
      <t>ガイブ</t>
    </rPh>
    <rPh sb="30" eb="31">
      <t>ヒ</t>
    </rPh>
    <rPh sb="36" eb="38">
      <t>ジッコウ</t>
    </rPh>
    <rPh sb="38" eb="40">
      <t>センリョウ</t>
    </rPh>
    <rPh sb="40" eb="42">
      <t>トウリョウ</t>
    </rPh>
    <rPh sb="43" eb="45">
      <t>ハンイ</t>
    </rPh>
    <rPh sb="63" eb="64">
      <t>ヒ</t>
    </rPh>
    <phoneticPr fontId="1"/>
  </si>
  <si>
    <t>Cs-134</t>
    <phoneticPr fontId="1"/>
  </si>
  <si>
    <t>ND</t>
  </si>
  <si>
    <t>　　種(核実験等によるCs-134、Cs-137、Sr-90及びH-3)の最大濃度を用いて、1年間</t>
  </si>
  <si>
    <t>　　の飲食物の摂取に基づく預託実効線量を計算した。</t>
  </si>
  <si>
    <t>　　　計算方法は原子力安全委員会｢環境放射線モニタリング指針(平成20年3月決定)｣</t>
  </si>
  <si>
    <t>　　によった。計算式は以下のとおりである。</t>
  </si>
  <si>
    <t>　　　[預託実効線量(mSv)]＝[実効線量係数(mSv/Bq)]×[飲食物の1日当たり</t>
    <rPh sb="40" eb="41">
      <t>ニチ</t>
    </rPh>
    <phoneticPr fontId="17"/>
  </si>
  <si>
    <t>　　　ここで、実効線量係数の値はCs-134、Cs-137、Sr-90及びH-3に対して、それぞれ</t>
  </si>
  <si>
    <t>(注2)「ND」(Not　Detected)はその核種が検出下限値未満であることを示す。空白の欄</t>
  </si>
  <si>
    <t>　　　は測定対象外であることを示す。</t>
  </si>
  <si>
    <t>(注3)成人が1人当たり摂取する精米の量には、厚生労働省発行の「平成23年国民健康・</t>
  </si>
  <si>
    <t>　　　栄養調査報告」に記載されている東北地方の平均値を用いた。なお、平成13年版より</t>
    <rPh sb="19" eb="20">
      <t>ホク</t>
    </rPh>
    <phoneticPr fontId="17"/>
  </si>
  <si>
    <t>　　　食料の分が変更され「米」が「米・加工品」となった。その他の食品及び飲料水の摂取</t>
  </si>
  <si>
    <t>　　　量は「環境放射線モニタリング指針」に引用されている値を用いた。</t>
  </si>
  <si>
    <t>(注4)1マイクロシーベルト(μSv)＝1/1000ミリシーベルト(mSv)</t>
  </si>
  <si>
    <t>(注5)預託実効線量の合計値は、各核種の寄与を合計したものである。</t>
  </si>
  <si>
    <t>(注1)各年度の環境試料の核種分析結果のうち、飲食物中で測定された人工放射性核</t>
    <rPh sb="4" eb="5">
      <t>カク</t>
    </rPh>
    <phoneticPr fontId="1"/>
  </si>
  <si>
    <t>1日当たり経口摂取量</t>
  </si>
  <si>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</si>
  <si>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</si>
  <si>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　女川原子力発電所に起因する披ばくは認められなかったが、参考のために自然</t>
    <rPh sb="34" eb="36">
      <t>シゼン</t>
    </rPh>
    <phoneticPr fontId="17"/>
  </si>
  <si>
    <t>　女川原子力発電所に起因する被ばくは認められなかったが、参考のために自</t>
  </si>
  <si>
    <t>放射線と福島第一原発事故影響による外部被ばく、及び核実験と福島第一原</t>
    <phoneticPr fontId="17"/>
  </si>
  <si>
    <t>然放射線と福島第一原発事故影響による外部被ばく、及び核実験と福島第一原</t>
  </si>
  <si>
    <t>境放射線モニタリング指針(原子力安全委員会)｣による。</t>
  </si>
  <si>
    <t>境放射線モニクリング指針(原子力安全委員会)｣による。</t>
  </si>
  <si>
    <t>　外部被ばくによる実効線量については、平成24年度における蛍光ガラス線</t>
  </si>
  <si>
    <t>　外部披ばくによる実効線量については、平成25年度における蛍光ガラス線</t>
  </si>
  <si>
    <t>量計(RPLD)又は熱蛍光線量計(TLD)による空間ガンマ線積算線量の最大</t>
    <rPh sb="35" eb="37">
      <t>サイダイ</t>
    </rPh>
    <phoneticPr fontId="17"/>
  </si>
  <si>
    <t>値から推定したところ、0.86ミリシーベルトであった。この値は、平成21</t>
  </si>
  <si>
    <t>値から推定したところ、0.82ミリシーベルトであった。</t>
  </si>
  <si>
    <t>年度(福島第一原発事故前)の最大値(0.61ミリシーベルト)と比較す</t>
  </si>
  <si>
    <t>ると0.25ミリシーベルト高い値であった。</t>
  </si>
  <si>
    <t>　内部被ばくによる預託実効線量(摂取後50年間の総線量)については、表-5</t>
  </si>
  <si>
    <t>　内部披ばくによる預託実効線量(摂取後50年間の総線量)については、表-5</t>
  </si>
  <si>
    <t>に示したとおり、平成24年度に測定された人工放射性核種のCs-134､Cs-137、</t>
  </si>
  <si>
    <t>に示したとおり、平成25年度に測定された人工放射性核種のCs-134､Cs-137、</t>
  </si>
  <si>
    <t>Sr-90及びH-3の最大濃度から推定したところ、約0.012ミリシーベルトで</t>
    <phoneticPr fontId="17"/>
  </si>
  <si>
    <t>あった(平成22年度(福島第一原発事故前)の値は0.00013ミリシーペルト)。</t>
  </si>
  <si>
    <t>であった。</t>
  </si>
  <si>
    <t>(注)公益財団法人原子力安全研究協会「新版　生活環境放射線(国民線量の算</t>
  </si>
  <si>
    <t>　　定)」(平成23年12月)によると、外部被ばくと内部披ばくを合計した</t>
  </si>
  <si>
    <t>　　自然放射線による日本人平均の実効線量は2.1ミリシーベルトとされている</t>
  </si>
  <si>
    <t>　　　　　　　　摂取量(kg)]×365×[飲食物中の核種の年間最大濃度(Bq/kg)]</t>
    <phoneticPr fontId="17"/>
  </si>
  <si>
    <t>　　1.9×10-5、1.3×10-5、2.8×10-5､1.8×10-8である。</t>
    <phoneticPr fontId="17"/>
  </si>
  <si>
    <t>換算係数変更</t>
    <rPh sb="0" eb="2">
      <t>カンサン</t>
    </rPh>
    <rPh sb="2" eb="4">
      <t>ケイスウ</t>
    </rPh>
    <rPh sb="4" eb="6">
      <t>ヘンコウ</t>
    </rPh>
    <phoneticPr fontId="1"/>
  </si>
  <si>
    <t>発事故由来の人工放射性核種による内部被ばく線量を計算した｡計算方法は｢環</t>
    <phoneticPr fontId="1"/>
  </si>
  <si>
    <t>発事故由来の人工放射性核種による内部被ばく線量を計算した。計算方法は｢環</t>
    <phoneticPr fontId="1"/>
  </si>
  <si>
    <t>Sr-90及びH-3の最大濃度から推定したところ、約0.0023ミリシーペルト</t>
    <rPh sb="11" eb="13">
      <t>サイダイ</t>
    </rPh>
    <phoneticPr fontId="1"/>
  </si>
  <si>
    <t>内部被爆による預託実効線量等量計算</t>
    <phoneticPr fontId="1"/>
  </si>
  <si>
    <t>-</t>
    <phoneticPr fontId="1"/>
  </si>
  <si>
    <t>ND</t>
    <phoneticPr fontId="1"/>
  </si>
  <si>
    <t>Ｈ31</t>
    <phoneticPr fontId="1"/>
  </si>
  <si>
    <t>(摂取後50年間の総線量当量/人工放射性核種分に限り､K-40など自然放射性核種は含まない)</t>
    <phoneticPr fontId="1"/>
  </si>
  <si>
    <t>放射能情報サイトみやぎ</t>
    <rPh sb="0" eb="3">
      <t>ホウシャノウ</t>
    </rPh>
    <rPh sb="3" eb="5">
      <t>ジョウホウ</t>
    </rPh>
    <phoneticPr fontId="24"/>
  </si>
  <si>
    <t>kmdみやぎ</t>
    <phoneticPr fontId="24"/>
  </si>
  <si>
    <t>⇒経年的に係数の変更があることに注意</t>
    <rPh sb="1" eb="4">
      <t>ケイネンテキ</t>
    </rPh>
    <rPh sb="5" eb="7">
      <t>ケイスウ</t>
    </rPh>
    <rPh sb="8" eb="10">
      <t>ヘンコウ</t>
    </rPh>
    <rPh sb="16" eb="18">
      <t>チュウイ</t>
    </rPh>
    <phoneticPr fontId="1"/>
  </si>
  <si>
    <t>???</t>
    <phoneticPr fontId="1"/>
  </si>
  <si>
    <t>Cs-134</t>
    <phoneticPr fontId="1"/>
  </si>
  <si>
    <t>Ｈ30</t>
    <phoneticPr fontId="1"/>
  </si>
  <si>
    <t>Ｈ29</t>
    <phoneticPr fontId="1"/>
  </si>
  <si>
    <t>Ｈ28</t>
    <phoneticPr fontId="1"/>
  </si>
  <si>
    <t>ND</t>
    <phoneticPr fontId="1"/>
  </si>
  <si>
    <t>Ｈ27</t>
    <phoneticPr fontId="1"/>
  </si>
  <si>
    <t>Ｈ26</t>
    <phoneticPr fontId="1"/>
  </si>
  <si>
    <t>Ｈ25</t>
    <phoneticPr fontId="1"/>
  </si>
  <si>
    <t>Ｈ24</t>
    <phoneticPr fontId="1"/>
  </si>
  <si>
    <t>Ｈ23</t>
    <phoneticPr fontId="1"/>
  </si>
  <si>
    <t>Cs-137</t>
    <phoneticPr fontId="1"/>
  </si>
  <si>
    <t>Ｈ21</t>
    <phoneticPr fontId="1"/>
  </si>
  <si>
    <t>-</t>
    <phoneticPr fontId="1"/>
  </si>
  <si>
    <t>Ｈ20</t>
    <phoneticPr fontId="1"/>
  </si>
  <si>
    <t>Ｈ19</t>
    <phoneticPr fontId="1"/>
  </si>
  <si>
    <t>Ｈ18</t>
    <phoneticPr fontId="1"/>
  </si>
  <si>
    <t>Ｈ17</t>
    <phoneticPr fontId="1"/>
  </si>
  <si>
    <t>Ｈ16</t>
    <phoneticPr fontId="1"/>
  </si>
  <si>
    <t>Ｈ15</t>
    <phoneticPr fontId="1"/>
  </si>
  <si>
    <t>Ｈ14</t>
    <phoneticPr fontId="1"/>
  </si>
  <si>
    <t>Ｈ13</t>
    <phoneticPr fontId="1"/>
  </si>
  <si>
    <t>-</t>
    <phoneticPr fontId="1"/>
  </si>
  <si>
    <t>Ｈ12</t>
    <phoneticPr fontId="1"/>
  </si>
  <si>
    <t>Ｈ11</t>
    <phoneticPr fontId="1"/>
  </si>
  <si>
    <t>Ｈ10</t>
    <phoneticPr fontId="1"/>
  </si>
  <si>
    <t>Ｈ9</t>
    <phoneticPr fontId="1"/>
  </si>
  <si>
    <t>Ｈ8</t>
    <phoneticPr fontId="1"/>
  </si>
  <si>
    <t>Ｈ7</t>
    <phoneticPr fontId="1"/>
  </si>
  <si>
    <t>Ｈ6</t>
    <phoneticPr fontId="1"/>
  </si>
  <si>
    <t>Ｈ5</t>
    <phoneticPr fontId="1"/>
  </si>
  <si>
    <t>Ｈ4</t>
    <phoneticPr fontId="1"/>
  </si>
  <si>
    <t>Ｈ3</t>
    <phoneticPr fontId="1"/>
  </si>
  <si>
    <t>Ｈ2</t>
    <phoneticPr fontId="1"/>
  </si>
  <si>
    <t>Ｈ1</t>
    <phoneticPr fontId="1"/>
  </si>
  <si>
    <t>Ｓ63</t>
    <phoneticPr fontId="1"/>
  </si>
  <si>
    <t>Ｓ62</t>
    <phoneticPr fontId="1"/>
  </si>
  <si>
    <t>Ｓ61</t>
    <phoneticPr fontId="1"/>
  </si>
  <si>
    <t>Ｓ60</t>
    <phoneticPr fontId="1"/>
  </si>
  <si>
    <t>Ｓ59</t>
    <phoneticPr fontId="1"/>
  </si>
  <si>
    <t>Ｓ58</t>
    <phoneticPr fontId="1"/>
  </si>
  <si>
    <t>Ｓ57</t>
    <phoneticPr fontId="1"/>
  </si>
  <si>
    <t>Cs-137</t>
    <phoneticPr fontId="1"/>
  </si>
  <si>
    <t>Ｓ56</t>
    <phoneticPr fontId="1"/>
  </si>
  <si>
    <t>　　5　自然放射線等による実効線量 (H24年度の年報)</t>
    <rPh sb="22" eb="24">
      <t>ネンド</t>
    </rPh>
    <rPh sb="25" eb="27">
      <t>ネンポウ</t>
    </rPh>
    <phoneticPr fontId="1"/>
  </si>
  <si>
    <t>　　5　自然放射線等による実効線量 (H25年度の年報)</t>
    <phoneticPr fontId="17"/>
  </si>
  <si>
    <t>注1) 各年度の環境試料の核種分析結果のうち、食品試料及び飲料水中の測定された人工放射性核種(核実験等による</t>
    <phoneticPr fontId="1"/>
  </si>
  <si>
    <t>注3) 成人が１人当たり摂取する精米の量は、「国民栄養調査報告書(S62厚生省)」に記載されている宮城県の平均値を</t>
    <phoneticPr fontId="1"/>
  </si>
  <si>
    <t>注2) 「-」(ハイフン)ははその核種が検出限界値未満、空欄は測定対象外</t>
    <phoneticPr fontId="1"/>
  </si>
  <si>
    <t>注4) １マイクロシーベルト(μSv)=1/1000ミリシーベルト(mSv)</t>
    <phoneticPr fontId="1"/>
  </si>
  <si>
    <t>H10~</t>
    <phoneticPr fontId="1"/>
  </si>
  <si>
    <t>精米 
※1</t>
    <phoneticPr fontId="1"/>
  </si>
  <si>
    <t>※1  精米の摂取量(g/日)</t>
    <phoneticPr fontId="1"/>
  </si>
  <si>
    <t>H14~16</t>
    <phoneticPr fontId="1"/>
  </si>
  <si>
    <t>H17~</t>
    <phoneticPr fontId="1"/>
  </si>
  <si>
    <t>実績</t>
    <rPh sb="0" eb="2">
      <t>ジッセキ</t>
    </rPh>
    <phoneticPr fontId="1"/>
  </si>
  <si>
    <t>S38／大気･地下同数に､以降地下が主流に(仏･中は大気圏内を10年超継続)</t>
  </si>
  <si>
    <t>S48.7.5／中国15回核実験6/28､全国最高値(蔵王町)</t>
  </si>
  <si>
    <t>S54.3.28／スリーマイル事故(アメリカ)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</si>
  <si>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</si>
  <si>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</si>
  <si>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</si>
  <si>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</si>
  <si>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</si>
  <si>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</si>
  <si>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</si>
  <si>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</si>
  <si>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</si>
  <si>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H23.3.11／東日本大震災･東京電力福島第1原発事故</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</si>
</sst>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yy/mm"/>
    <numFmt numFmtId="177" formatCode="[$-411]ge\.m"/>
    <numFmt numFmtId="178" formatCode="0.0_);[Red]\(0.0\)"/>
    <numFmt numFmtId="179" formatCode="0.00_);[Red]\(0.00\)"/>
    <numFmt numFmtId="180" formatCode="0.000_);[Red]\(0.000\)"/>
    <numFmt numFmtId="181" formatCode="0.00_ "/>
    <numFmt numFmtId="182" formatCode="[$-411]gee\.mm\.dd"/>
    <numFmt numFmtId="183" formatCode="0_);[Red]\(0\)"/>
    <numFmt numFmtId="184" formatCode="0.0E+00"/>
    <numFmt numFmtId="185" formatCode="0&quot;g&quot;"/>
    <numFmt numFmtId="186" formatCode="0.000"/>
    <numFmt numFmtId="187" formatCode="0.00&quot;L&quot;"/>
    <numFmt numFmtId="188" formatCode="0.0&quot;g&quot;"/>
    <numFmt numFmtId="189" formatCode="[$-411]ge"/>
    <numFmt numFmtId="190" formatCode="0.00000"/>
    <numFmt numFmtId="191" formatCode="0.0000"/>
  </numFmts>
  <fonts count="29" x14ac:knownFonts="1">
    <font>
      <sz val="14"/>
      <name val="ＭＳ 明朝"/>
      <family val="1"/>
      <charset val="128"/>
    </font>
    <font>
      <sz val="7"/>
      <name val="ＭＳ 明朝"/>
      <family val="1"/>
      <charset val="128"/>
    </font>
    <font>
      <sz val="9"/>
      <name val="Meiryo UI"/>
      <family val="3"/>
      <charset val="128"/>
    </font>
    <font>
      <sz val="9"/>
      <color indexed="8"/>
      <name val="Meiryo UI"/>
      <family val="3"/>
      <charset val="128"/>
    </font>
    <font>
      <sz val="8"/>
      <name val="Meiryo UI"/>
      <family val="3"/>
      <charset val="128"/>
    </font>
    <font>
      <sz val="8"/>
      <color indexed="8"/>
      <name val="Meiryo UI"/>
      <family val="3"/>
      <charset val="128"/>
    </font>
    <font>
      <sz val="14"/>
      <name val="Meiryo UI"/>
      <family val="3"/>
      <charset val="128"/>
    </font>
    <font>
      <vertAlign val="superscript"/>
      <sz val="8"/>
      <name val="Meiryo UI"/>
      <family val="3"/>
      <charset val="128"/>
    </font>
    <font>
      <sz val="10"/>
      <name val="Meiryo UI"/>
      <family val="3"/>
      <charset val="128"/>
    </font>
    <font>
      <sz val="7"/>
      <name val="Terminal"/>
      <charset val="128"/>
    </font>
    <font>
      <sz val="12"/>
      <color indexed="8"/>
      <name val="Meiryo UI"/>
      <family val="3"/>
      <charset val="128"/>
    </font>
    <font>
      <sz val="11"/>
      <color indexed="8"/>
      <name val="Meiryo UI"/>
      <family val="3"/>
      <charset val="128"/>
    </font>
    <font>
      <sz val="8"/>
      <color indexed="10"/>
      <name val="Meiryo UI"/>
      <family val="3"/>
      <charset val="128"/>
    </font>
    <font>
      <sz val="9"/>
      <color indexed="10"/>
      <name val="Meiryo UI"/>
      <family val="3"/>
      <charset val="128"/>
    </font>
    <font>
      <sz val="7"/>
      <name val="Meiryo UI"/>
      <family val="3"/>
      <charset val="128"/>
    </font>
    <font>
      <sz val="8"/>
      <name val="ＭＳ 明朝"/>
      <family val="1"/>
      <charset val="128"/>
    </font>
    <font>
      <sz val="16"/>
      <color indexed="8"/>
      <name val="Meiryo UI"/>
      <family val="3"/>
      <charset val="128"/>
    </font>
    <font>
      <sz val="7"/>
      <color indexed="40"/>
      <name val="ＭＳ ゴシック"/>
      <family val="3"/>
      <charset val="128"/>
    </font>
    <font>
      <u/>
      <sz val="14"/>
      <color indexed="12"/>
      <name val="ＭＳ 明朝"/>
      <family val="1"/>
      <charset val="128"/>
    </font>
    <font>
      <sz val="7.5"/>
      <name val="Meiryo UI"/>
      <family val="3"/>
      <charset val="128"/>
    </font>
    <font>
      <sz val="14"/>
      <color indexed="8"/>
      <name val="Meiryo UI"/>
      <family val="3"/>
      <charset val="128"/>
    </font>
    <font>
      <sz val="10"/>
      <color indexed="8"/>
      <name val="Meiryo UI"/>
      <family val="3"/>
      <charset val="128"/>
    </font>
    <font>
      <sz val="8.5"/>
      <name val="Meiryo UI"/>
      <family val="3"/>
      <charset val="128"/>
    </font>
    <font>
      <u val="singleAccounting"/>
      <sz val="8"/>
      <name val="Meiryo UI"/>
      <family val="3"/>
      <charset val="128"/>
    </font>
    <font>
      <sz val="6"/>
      <name val="Meiryo UI"/>
      <family val="2"/>
      <charset val="128"/>
    </font>
    <font>
      <u/>
      <sz val="8"/>
      <color indexed="12"/>
      <name val="Meiryo UI"/>
      <family val="3"/>
      <charset val="128"/>
    </font>
    <font>
      <sz val="7.5"/>
      <color rgb="FFFF0000"/>
      <name val="Meiryo UI"/>
      <family val="3"/>
      <charset val="128"/>
    </font>
    <font>
      <b/>
      <sz val="9"/>
      <color rgb="FFFF0000"/>
      <name val="Meiryo UI"/>
      <family val="3"/>
      <charset val="128"/>
    </font>
    <font>
      <sz val="10"/>
      <color rgb="FF000000"/>
      <name val="Meiryo UI"/>
      <family val="3"/>
      <charset val="128"/>
    </font>
  </fonts>
  <fills count="5">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rgb="FFCCFFCC"/>
        <bgColor indexed="64"/>
      </patternFill>
    </fill>
  </fills>
  <borders count="4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double">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style="thin">
        <color indexed="8"/>
      </left>
      <right style="thin">
        <color indexed="8"/>
      </right>
      <top style="thin">
        <color indexed="8"/>
      </top>
      <bottom style="thin">
        <color indexed="8"/>
      </bottom>
      <diagonal/>
    </border>
    <border>
      <left/>
      <right/>
      <top style="double">
        <color indexed="64"/>
      </top>
      <bottom/>
      <diagonal/>
    </border>
    <border>
      <left/>
      <right style="double">
        <color indexed="64"/>
      </right>
      <top style="double">
        <color indexed="64"/>
      </top>
      <bottom/>
      <diagonal/>
    </border>
    <border>
      <left/>
      <right style="double">
        <color indexed="64"/>
      </right>
      <top/>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thin">
        <color indexed="64"/>
      </left>
      <right style="thin">
        <color indexed="8"/>
      </right>
      <top style="thin">
        <color indexed="8"/>
      </top>
      <bottom style="double">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s>
  <cellStyleXfs count="2">
    <xf numFmtId="0" fontId="0" fillId="0" borderId="0"/>
    <xf numFmtId="0" fontId="18" fillId="0" borderId="0" applyNumberFormat="0" applyFill="0" applyBorder="0" applyAlignment="0" applyProtection="0">
      <alignment vertical="top"/>
      <protection locked="0"/>
    </xf>
  </cellStyleXfs>
  <cellXfs count="207">
    <xf numFmtId="0" fontId="0" fillId="0" borderId="0" xfId="0"/>
    <xf numFmtId="177" fontId="2" fillId="0" borderId="0" xfId="0" applyNumberFormat="1" applyFont="1" applyAlignment="1">
      <alignment vertical="center"/>
    </xf>
    <xf numFmtId="178" fontId="2" fillId="0" borderId="0" xfId="0" applyNumberFormat="1" applyFont="1" applyAlignment="1" applyProtection="1">
      <alignment vertical="center"/>
    </xf>
    <xf numFmtId="178" fontId="2" fillId="0" borderId="0" xfId="0" quotePrefix="1" applyNumberFormat="1" applyFont="1" applyAlignment="1" applyProtection="1">
      <alignment horizontal="left" vertical="center"/>
    </xf>
    <xf numFmtId="182" fontId="3" fillId="0" borderId="0" xfId="0" quotePrefix="1" applyNumberFormat="1" applyFont="1" applyAlignment="1" applyProtection="1">
      <alignment horizontal="left" vertical="center"/>
      <protection locked="0"/>
    </xf>
    <xf numFmtId="179" fontId="2" fillId="0" borderId="0" xfId="0" applyNumberFormat="1" applyFont="1" applyAlignment="1" applyProtection="1">
      <alignment vertical="center"/>
    </xf>
    <xf numFmtId="177" fontId="2" fillId="0" borderId="0" xfId="0" applyNumberFormat="1" applyFont="1" applyFill="1" applyAlignment="1">
      <alignment vertical="center"/>
    </xf>
    <xf numFmtId="2" fontId="2" fillId="0" borderId="0" xfId="0" applyNumberFormat="1" applyFont="1" applyFill="1" applyAlignment="1" applyProtection="1">
      <alignment vertical="center"/>
    </xf>
    <xf numFmtId="178" fontId="2" fillId="0" borderId="0" xfId="0" applyNumberFormat="1" applyFont="1" applyFill="1" applyAlignment="1" applyProtection="1">
      <alignment vertical="center"/>
    </xf>
    <xf numFmtId="178" fontId="2" fillId="0" borderId="0" xfId="0" quotePrefix="1" applyNumberFormat="1" applyFont="1" applyFill="1" applyAlignment="1" applyProtection="1">
      <alignment horizontal="left" vertical="center"/>
    </xf>
    <xf numFmtId="182" fontId="3" fillId="0" borderId="0" xfId="0" quotePrefix="1" applyNumberFormat="1" applyFont="1" applyFill="1" applyAlignment="1" applyProtection="1">
      <alignment horizontal="left" vertical="center"/>
      <protection locked="0"/>
    </xf>
    <xf numFmtId="0" fontId="2" fillId="0" borderId="0" xfId="0" applyFont="1" applyAlignment="1">
      <alignment vertical="center"/>
    </xf>
    <xf numFmtId="181" fontId="2" fillId="0" borderId="0" xfId="0" applyNumberFormat="1" applyFont="1" applyAlignment="1">
      <alignment vertical="center"/>
    </xf>
    <xf numFmtId="0" fontId="2" fillId="0" borderId="0" xfId="0" applyFont="1" applyAlignment="1" applyProtection="1">
      <alignment vertical="center"/>
    </xf>
    <xf numFmtId="0" fontId="4" fillId="0" borderId="1" xfId="0" applyFont="1" applyFill="1" applyBorder="1" applyAlignment="1">
      <alignment horizontal="center" vertical="center"/>
    </xf>
    <xf numFmtId="182" fontId="4" fillId="0" borderId="2" xfId="0" applyNumberFormat="1" applyFont="1" applyFill="1" applyBorder="1" applyAlignment="1">
      <alignment vertical="center"/>
    </xf>
    <xf numFmtId="182" fontId="4" fillId="0" borderId="3" xfId="0" applyNumberFormat="1" applyFont="1" applyFill="1" applyBorder="1" applyAlignment="1">
      <alignment vertical="center"/>
    </xf>
    <xf numFmtId="0" fontId="4" fillId="0" borderId="3" xfId="0" applyFont="1" applyFill="1" applyBorder="1" applyAlignment="1">
      <alignment vertical="center"/>
    </xf>
    <xf numFmtId="0" fontId="4" fillId="0" borderId="4" xfId="0" applyFont="1" applyFill="1" applyBorder="1" applyAlignment="1">
      <alignment vertical="center"/>
    </xf>
    <xf numFmtId="178" fontId="4" fillId="0" borderId="4" xfId="0" applyNumberFormat="1" applyFont="1" applyFill="1" applyBorder="1" applyAlignment="1">
      <alignment vertical="center" wrapText="1"/>
    </xf>
    <xf numFmtId="0" fontId="4" fillId="0" borderId="4" xfId="0" applyFont="1" applyFill="1" applyBorder="1" applyAlignment="1">
      <alignment vertical="center" wrapText="1"/>
    </xf>
    <xf numFmtId="182" fontId="4" fillId="0" borderId="4" xfId="0" applyNumberFormat="1" applyFont="1" applyFill="1" applyBorder="1" applyAlignment="1">
      <alignment horizontal="center" vertical="center" wrapText="1"/>
    </xf>
    <xf numFmtId="0" fontId="4" fillId="0" borderId="5" xfId="0" applyFont="1" applyFill="1" applyBorder="1" applyAlignment="1">
      <alignment vertical="center" wrapText="1"/>
    </xf>
    <xf numFmtId="182" fontId="4" fillId="0" borderId="8" xfId="0" applyNumberFormat="1" applyFont="1" applyFill="1" applyBorder="1" applyAlignment="1">
      <alignment vertical="center"/>
    </xf>
    <xf numFmtId="182" fontId="4" fillId="0" borderId="9" xfId="0" applyNumberFormat="1" applyFont="1" applyFill="1" applyBorder="1" applyAlignment="1">
      <alignment vertical="center"/>
    </xf>
    <xf numFmtId="0" fontId="4" fillId="0" borderId="10" xfId="0" applyFont="1" applyFill="1" applyBorder="1" applyAlignment="1">
      <alignment vertical="center"/>
    </xf>
    <xf numFmtId="178" fontId="4" fillId="0" borderId="10" xfId="0" applyNumberFormat="1" applyFont="1" applyFill="1" applyBorder="1" applyAlignment="1">
      <alignment vertical="center" wrapText="1"/>
    </xf>
    <xf numFmtId="0" fontId="4" fillId="0" borderId="10" xfId="0" applyFont="1" applyFill="1" applyBorder="1" applyAlignment="1">
      <alignment vertical="center" wrapText="1"/>
    </xf>
    <xf numFmtId="178" fontId="4" fillId="0" borderId="10" xfId="0" quotePrefix="1" applyNumberFormat="1" applyFont="1" applyFill="1" applyBorder="1" applyAlignment="1">
      <alignment horizontal="left" vertical="center" wrapText="1"/>
    </xf>
    <xf numFmtId="182" fontId="4" fillId="0" borderId="10" xfId="0" applyNumberFormat="1" applyFont="1" applyFill="1" applyBorder="1" applyAlignment="1">
      <alignment vertical="center" wrapText="1"/>
    </xf>
    <xf numFmtId="0" fontId="2" fillId="0" borderId="4" xfId="0" applyFont="1" applyFill="1" applyBorder="1" applyAlignment="1">
      <alignment vertical="center" wrapText="1"/>
    </xf>
    <xf numFmtId="182" fontId="5" fillId="0" borderId="12" xfId="0" applyNumberFormat="1" applyFont="1" applyFill="1" applyBorder="1" applyAlignment="1" applyProtection="1">
      <alignment horizontal="center" vertical="center"/>
      <protection locked="0"/>
    </xf>
    <xf numFmtId="182" fontId="4" fillId="0" borderId="5" xfId="0" applyNumberFormat="1" applyFont="1" applyFill="1" applyBorder="1" applyAlignment="1">
      <alignment horizontal="center" vertical="center"/>
    </xf>
    <xf numFmtId="182" fontId="4" fillId="0" borderId="7" xfId="0" applyNumberFormat="1" applyFont="1" applyFill="1" applyBorder="1" applyAlignment="1">
      <alignment horizontal="left" vertical="center"/>
    </xf>
    <xf numFmtId="182" fontId="4" fillId="0" borderId="8" xfId="0" applyNumberFormat="1" applyFont="1" applyFill="1" applyBorder="1" applyAlignment="1">
      <alignment horizontal="center" vertical="center"/>
    </xf>
    <xf numFmtId="0" fontId="6" fillId="0" borderId="11" xfId="0" applyFont="1" applyFill="1" applyBorder="1" applyAlignment="1">
      <alignment vertical="center"/>
    </xf>
    <xf numFmtId="182" fontId="5" fillId="0" borderId="13" xfId="0" applyNumberFormat="1" applyFont="1" applyFill="1" applyBorder="1" applyAlignment="1" applyProtection="1">
      <alignment horizontal="center" vertical="center"/>
      <protection locked="0"/>
    </xf>
    <xf numFmtId="0" fontId="4" fillId="0" borderId="0" xfId="0" applyFont="1" applyFill="1" applyAlignment="1">
      <alignment vertical="center"/>
    </xf>
    <xf numFmtId="182" fontId="4" fillId="0" borderId="0" xfId="0" applyNumberFormat="1" applyFont="1" applyFill="1" applyAlignment="1">
      <alignment vertical="center"/>
    </xf>
    <xf numFmtId="178" fontId="4" fillId="0" borderId="0" xfId="0" applyNumberFormat="1" applyFont="1" applyFill="1" applyAlignment="1">
      <alignment vertical="center"/>
    </xf>
    <xf numFmtId="176" fontId="4" fillId="0" borderId="0" xfId="0" applyNumberFormat="1" applyFont="1" applyFill="1" applyAlignment="1" applyProtection="1">
      <alignment vertical="center"/>
    </xf>
    <xf numFmtId="1" fontId="2" fillId="0" borderId="0" xfId="0" applyNumberFormat="1" applyFont="1" applyAlignment="1" applyProtection="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Alignment="1" applyProtection="1">
      <alignment vertical="center"/>
    </xf>
    <xf numFmtId="179" fontId="2" fillId="3" borderId="10" xfId="0" applyNumberFormat="1" applyFont="1" applyFill="1" applyBorder="1" applyAlignment="1">
      <alignment vertical="center" shrinkToFit="1"/>
    </xf>
    <xf numFmtId="179" fontId="2" fillId="3" borderId="14" xfId="0" applyNumberFormat="1" applyFont="1" applyFill="1" applyBorder="1" applyAlignment="1">
      <alignment vertical="center" shrinkToFit="1"/>
    </xf>
    <xf numFmtId="0" fontId="8" fillId="0" borderId="0" xfId="0" applyFont="1" applyBorder="1" applyAlignment="1">
      <alignment horizontal="left" vertical="center"/>
    </xf>
    <xf numFmtId="182" fontId="10" fillId="0" borderId="0" xfId="0" applyNumberFormat="1" applyFont="1" applyAlignment="1" applyProtection="1">
      <alignment horizontal="left" vertical="center"/>
      <protection locked="0"/>
    </xf>
    <xf numFmtId="182" fontId="11" fillId="0" borderId="0" xfId="0" applyNumberFormat="1" applyFont="1" applyAlignment="1" applyProtection="1">
      <alignment horizontal="left" vertical="center"/>
      <protection locked="0"/>
    </xf>
    <xf numFmtId="182" fontId="3" fillId="0" borderId="0" xfId="0" applyNumberFormat="1" applyFont="1" applyFill="1" applyAlignment="1" applyProtection="1">
      <alignment horizontal="left" vertical="center"/>
      <protection locked="0"/>
    </xf>
    <xf numFmtId="182" fontId="11" fillId="0" borderId="0" xfId="0" applyNumberFormat="1" applyFont="1" applyFill="1" applyAlignment="1" applyProtection="1">
      <alignment horizontal="left" vertical="center"/>
      <protection locked="0"/>
    </xf>
    <xf numFmtId="0" fontId="12" fillId="0" borderId="0" xfId="0" applyFont="1" applyFill="1" applyAlignment="1">
      <alignment vertical="center"/>
    </xf>
    <xf numFmtId="0" fontId="13" fillId="0" borderId="0" xfId="0" applyFont="1" applyAlignment="1">
      <alignment vertical="center"/>
    </xf>
    <xf numFmtId="1" fontId="13" fillId="0" borderId="0" xfId="0" applyNumberFormat="1" applyFont="1" applyAlignment="1" applyProtection="1">
      <alignment vertical="center"/>
    </xf>
    <xf numFmtId="0" fontId="2" fillId="0" borderId="15" xfId="0" applyFont="1" applyBorder="1" applyAlignment="1">
      <alignment vertical="center"/>
    </xf>
    <xf numFmtId="0" fontId="2" fillId="0" borderId="16" xfId="0" applyFont="1" applyBorder="1" applyAlignment="1">
      <alignment vertical="center"/>
    </xf>
    <xf numFmtId="0" fontId="2" fillId="0" borderId="17" xfId="0"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pplyAlignment="1">
      <alignment vertical="center"/>
    </xf>
    <xf numFmtId="0" fontId="2" fillId="0" borderId="13" xfId="0" applyFont="1" applyBorder="1" applyAlignment="1">
      <alignment vertical="center"/>
    </xf>
    <xf numFmtId="0" fontId="2" fillId="0" borderId="12" xfId="0" applyFont="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3" xfId="0" applyFont="1" applyBorder="1" applyAlignment="1">
      <alignment vertical="center" wrapText="1"/>
    </xf>
    <xf numFmtId="0" fontId="2" fillId="0" borderId="24" xfId="0" applyFont="1" applyBorder="1" applyAlignment="1">
      <alignment vertical="center"/>
    </xf>
    <xf numFmtId="183" fontId="4" fillId="0" borderId="10" xfId="0" applyNumberFormat="1" applyFont="1" applyFill="1" applyBorder="1" applyAlignment="1">
      <alignment vertical="center" shrinkToFit="1"/>
    </xf>
    <xf numFmtId="0" fontId="4" fillId="0" borderId="10" xfId="0" applyFont="1" applyFill="1" applyBorder="1" applyAlignment="1">
      <alignment vertical="center" shrinkToFit="1"/>
    </xf>
    <xf numFmtId="182" fontId="4" fillId="0" borderId="10" xfId="0" applyNumberFormat="1" applyFont="1" applyFill="1" applyBorder="1" applyAlignment="1">
      <alignment vertical="center" shrinkToFit="1"/>
    </xf>
    <xf numFmtId="180" fontId="4" fillId="0" borderId="10" xfId="0" applyNumberFormat="1" applyFont="1" applyFill="1" applyBorder="1" applyAlignment="1">
      <alignment vertical="center" shrinkToFit="1"/>
    </xf>
    <xf numFmtId="180" fontId="4" fillId="0" borderId="10" xfId="0" applyNumberFormat="1" applyFont="1" applyFill="1" applyBorder="1" applyAlignment="1">
      <alignment horizontal="center" vertical="center" shrinkToFit="1"/>
    </xf>
    <xf numFmtId="179" fontId="4" fillId="0" borderId="10" xfId="0" applyNumberFormat="1" applyFont="1" applyFill="1" applyBorder="1" applyAlignment="1">
      <alignment vertical="center" shrinkToFit="1"/>
    </xf>
    <xf numFmtId="0" fontId="4" fillId="0" borderId="9" xfId="0" applyFont="1" applyFill="1" applyBorder="1" applyAlignment="1">
      <alignment vertical="center"/>
    </xf>
    <xf numFmtId="182" fontId="5" fillId="0" borderId="9" xfId="0" applyNumberFormat="1" applyFont="1" applyFill="1" applyBorder="1" applyAlignment="1" applyProtection="1">
      <alignment horizontal="left" vertical="center"/>
      <protection locked="0"/>
    </xf>
    <xf numFmtId="0" fontId="4" fillId="0" borderId="10" xfId="0" applyFont="1" applyFill="1" applyBorder="1" applyAlignment="1">
      <alignment horizontal="right" vertical="center"/>
    </xf>
    <xf numFmtId="182" fontId="5" fillId="0" borderId="10" xfId="0" applyNumberFormat="1" applyFont="1" applyFill="1" applyBorder="1" applyAlignment="1" applyProtection="1">
      <alignment horizontal="right" vertical="center"/>
      <protection locked="0"/>
    </xf>
    <xf numFmtId="0" fontId="4" fillId="0" borderId="10" xfId="0" quotePrefix="1" applyFont="1" applyFill="1" applyBorder="1" applyAlignment="1">
      <alignment horizontal="right" vertical="center"/>
    </xf>
    <xf numFmtId="182" fontId="16" fillId="0" borderId="0" xfId="0" applyNumberFormat="1" applyFont="1" applyAlignment="1" applyProtection="1">
      <alignment horizontal="left" vertical="center"/>
      <protection locked="0"/>
    </xf>
    <xf numFmtId="0" fontId="2" fillId="0" borderId="0" xfId="0" applyFont="1" applyBorder="1" applyAlignment="1">
      <alignment vertical="center"/>
    </xf>
    <xf numFmtId="176" fontId="2" fillId="2" borderId="27" xfId="0" applyNumberFormat="1" applyFont="1" applyFill="1" applyBorder="1" applyAlignment="1" applyProtection="1">
      <alignment vertical="center"/>
    </xf>
    <xf numFmtId="178" fontId="2" fillId="2" borderId="27" xfId="0" applyNumberFormat="1" applyFont="1" applyFill="1" applyBorder="1" applyAlignment="1">
      <alignment vertical="center"/>
    </xf>
    <xf numFmtId="0" fontId="2" fillId="2" borderId="27" xfId="0" applyFont="1" applyFill="1" applyBorder="1" applyAlignment="1">
      <alignment vertical="center"/>
    </xf>
    <xf numFmtId="0" fontId="2" fillId="2" borderId="28" xfId="0" applyFont="1" applyFill="1" applyBorder="1" applyAlignment="1">
      <alignment vertical="center"/>
    </xf>
    <xf numFmtId="176" fontId="2" fillId="2" borderId="0" xfId="0" applyNumberFormat="1" applyFont="1" applyFill="1" applyBorder="1" applyAlignment="1" applyProtection="1">
      <alignment vertical="center"/>
    </xf>
    <xf numFmtId="178" fontId="2" fillId="2" borderId="0" xfId="0" applyNumberFormat="1" applyFont="1" applyFill="1" applyBorder="1" applyAlignment="1">
      <alignment vertical="center"/>
    </xf>
    <xf numFmtId="0" fontId="2" fillId="2" borderId="0" xfId="0" applyFont="1" applyFill="1" applyBorder="1" applyAlignment="1">
      <alignment vertical="center"/>
    </xf>
    <xf numFmtId="0" fontId="2" fillId="2" borderId="29" xfId="0" applyFont="1" applyFill="1" applyBorder="1" applyAlignment="1">
      <alignment vertical="center"/>
    </xf>
    <xf numFmtId="176" fontId="2" fillId="2" borderId="30" xfId="0" applyNumberFormat="1" applyFont="1" applyFill="1" applyBorder="1" applyAlignment="1" applyProtection="1">
      <alignment vertical="center"/>
    </xf>
    <xf numFmtId="178" fontId="2" fillId="2" borderId="30" xfId="0" applyNumberFormat="1" applyFont="1" applyFill="1" applyBorder="1" applyAlignment="1">
      <alignment vertical="center"/>
    </xf>
    <xf numFmtId="0" fontId="2" fillId="2" borderId="30" xfId="0" applyFont="1" applyFill="1" applyBorder="1" applyAlignment="1">
      <alignment vertical="center"/>
    </xf>
    <xf numFmtId="0" fontId="2" fillId="2" borderId="31" xfId="0" applyFont="1" applyFill="1" applyBorder="1" applyAlignment="1">
      <alignment vertical="center"/>
    </xf>
    <xf numFmtId="0" fontId="2" fillId="0" borderId="0" xfId="0" applyFont="1" applyAlignment="1">
      <alignment horizontal="left" vertical="center" indent="1"/>
    </xf>
    <xf numFmtId="182" fontId="2" fillId="2" borderId="0" xfId="0" applyNumberFormat="1" applyFont="1" applyFill="1" applyBorder="1" applyAlignment="1">
      <alignment vertical="center"/>
    </xf>
    <xf numFmtId="182" fontId="2" fillId="2" borderId="30" xfId="0" applyNumberFormat="1" applyFont="1" applyFill="1" applyBorder="1" applyAlignment="1">
      <alignment vertical="center"/>
    </xf>
    <xf numFmtId="0" fontId="4" fillId="0" borderId="0" xfId="0" applyFont="1" applyAlignment="1">
      <alignment vertical="center"/>
    </xf>
    <xf numFmtId="0" fontId="2" fillId="4" borderId="16" xfId="0" applyFont="1" applyFill="1" applyBorder="1" applyAlignment="1">
      <alignment vertical="center"/>
    </xf>
    <xf numFmtId="0" fontId="2" fillId="4" borderId="15" xfId="0" applyFont="1" applyFill="1" applyBorder="1" applyAlignment="1">
      <alignment vertical="center"/>
    </xf>
    <xf numFmtId="0" fontId="2" fillId="4" borderId="17" xfId="0" applyFont="1" applyFill="1" applyBorder="1" applyAlignment="1">
      <alignment vertical="center"/>
    </xf>
    <xf numFmtId="181" fontId="2" fillId="4" borderId="41" xfId="0" applyNumberFormat="1" applyFont="1" applyFill="1" applyBorder="1" applyAlignment="1">
      <alignment vertical="center"/>
    </xf>
    <xf numFmtId="181" fontId="2" fillId="4" borderId="39" xfId="0" applyNumberFormat="1" applyFont="1" applyFill="1" applyBorder="1" applyAlignment="1">
      <alignment vertical="center"/>
    </xf>
    <xf numFmtId="181" fontId="2" fillId="4" borderId="40" xfId="0" applyNumberFormat="1" applyFont="1" applyFill="1" applyBorder="1" applyAlignment="1">
      <alignment vertical="center"/>
    </xf>
    <xf numFmtId="182" fontId="20" fillId="0" borderId="0" xfId="0" applyNumberFormat="1" applyFont="1" applyAlignment="1" applyProtection="1">
      <alignment horizontal="left" vertical="center"/>
      <protection locked="0"/>
    </xf>
    <xf numFmtId="0" fontId="4" fillId="0" borderId="0" xfId="0" applyFont="1" applyBorder="1" applyAlignment="1">
      <alignment horizontal="left" vertical="center"/>
    </xf>
    <xf numFmtId="0" fontId="2" fillId="4" borderId="4" xfId="0" applyFont="1" applyFill="1" applyBorder="1" applyAlignment="1">
      <alignment vertical="center" wrapText="1"/>
    </xf>
    <xf numFmtId="179" fontId="2" fillId="4" borderId="10" xfId="0" applyNumberFormat="1" applyFont="1" applyFill="1" applyBorder="1" applyAlignment="1">
      <alignment vertical="center"/>
    </xf>
    <xf numFmtId="0" fontId="2" fillId="2" borderId="27" xfId="0" applyNumberFormat="1" applyFont="1" applyFill="1" applyBorder="1" applyAlignment="1">
      <alignment horizontal="left" vertical="center"/>
    </xf>
    <xf numFmtId="0" fontId="2" fillId="2" borderId="27" xfId="0" applyNumberFormat="1" applyFont="1" applyFill="1" applyBorder="1" applyAlignment="1">
      <alignment vertical="center"/>
    </xf>
    <xf numFmtId="0" fontId="2" fillId="2" borderId="28" xfId="0" applyNumberFormat="1" applyFont="1" applyFill="1" applyBorder="1" applyAlignment="1">
      <alignment vertical="center"/>
    </xf>
    <xf numFmtId="0" fontId="2" fillId="2" borderId="0" xfId="0" applyNumberFormat="1" applyFont="1" applyFill="1" applyBorder="1" applyAlignment="1">
      <alignment horizontal="left" vertical="center"/>
    </xf>
    <xf numFmtId="0" fontId="2" fillId="2" borderId="0" xfId="0" applyNumberFormat="1" applyFont="1" applyFill="1" applyBorder="1" applyAlignment="1">
      <alignment vertical="center"/>
    </xf>
    <xf numFmtId="0" fontId="2" fillId="2" borderId="29" xfId="0" applyNumberFormat="1" applyFont="1" applyFill="1" applyBorder="1" applyAlignment="1">
      <alignment vertical="center"/>
    </xf>
    <xf numFmtId="0" fontId="4" fillId="2" borderId="0" xfId="0" applyNumberFormat="1" applyFont="1" applyFill="1" applyBorder="1" applyAlignment="1">
      <alignment horizontal="left" vertical="center"/>
    </xf>
    <xf numFmtId="0" fontId="2" fillId="0" borderId="0" xfId="0" applyFont="1" applyAlignment="1">
      <alignment horizontal="left" vertical="center"/>
    </xf>
    <xf numFmtId="182" fontId="2" fillId="0" borderId="0" xfId="0" applyNumberFormat="1" applyFont="1" applyAlignment="1">
      <alignment horizontal="left" vertical="center"/>
    </xf>
    <xf numFmtId="0" fontId="2" fillId="2" borderId="30" xfId="0" applyNumberFormat="1" applyFont="1" applyFill="1" applyBorder="1" applyAlignment="1">
      <alignment horizontal="left" vertical="center"/>
    </xf>
    <xf numFmtId="0" fontId="2" fillId="2" borderId="30" xfId="0" applyNumberFormat="1" applyFont="1" applyFill="1" applyBorder="1" applyAlignment="1">
      <alignment vertical="center"/>
    </xf>
    <xf numFmtId="0" fontId="2" fillId="0" borderId="0" xfId="0" applyNumberFormat="1" applyFont="1" applyAlignment="1">
      <alignment vertical="center"/>
    </xf>
    <xf numFmtId="186" fontId="2" fillId="3" borderId="26" xfId="0" applyNumberFormat="1" applyFont="1" applyFill="1" applyBorder="1" applyAlignment="1">
      <alignment vertical="center" shrinkToFit="1"/>
    </xf>
    <xf numFmtId="186" fontId="2" fillId="0" borderId="26" xfId="0" applyNumberFormat="1" applyFont="1" applyFill="1" applyBorder="1" applyAlignment="1">
      <alignment vertical="center" shrinkToFit="1"/>
    </xf>
    <xf numFmtId="2" fontId="2" fillId="0" borderId="26" xfId="0" applyNumberFormat="1" applyFont="1" applyFill="1" applyBorder="1" applyAlignment="1">
      <alignment vertical="center" shrinkToFit="1"/>
    </xf>
    <xf numFmtId="0" fontId="2" fillId="0" borderId="26" xfId="0" applyNumberFormat="1" applyFont="1" applyFill="1" applyBorder="1" applyAlignment="1">
      <alignment vertical="center" shrinkToFit="1"/>
    </xf>
    <xf numFmtId="0" fontId="2" fillId="0" borderId="26" xfId="0" applyNumberFormat="1" applyFont="1" applyFill="1" applyBorder="1" applyAlignment="1">
      <alignment horizontal="center" vertical="center" shrinkToFit="1"/>
    </xf>
    <xf numFmtId="186" fontId="2" fillId="3" borderId="35" xfId="0" applyNumberFormat="1" applyFont="1" applyFill="1" applyBorder="1" applyAlignment="1">
      <alignment vertical="center" shrinkToFit="1"/>
    </xf>
    <xf numFmtId="182" fontId="21" fillId="0" borderId="0" xfId="0" applyNumberFormat="1" applyFont="1" applyAlignment="1" applyProtection="1">
      <alignment horizontal="left" vertical="center"/>
      <protection locked="0"/>
    </xf>
    <xf numFmtId="189" fontId="2" fillId="0" borderId="12" xfId="0" applyNumberFormat="1" applyFont="1" applyFill="1" applyBorder="1" applyAlignment="1">
      <alignment horizontal="center" vertical="center"/>
    </xf>
    <xf numFmtId="0" fontId="22" fillId="2" borderId="33" xfId="0" applyNumberFormat="1" applyFont="1" applyFill="1" applyBorder="1" applyAlignment="1">
      <alignment horizontal="left" vertical="center" indent="1"/>
    </xf>
    <xf numFmtId="0" fontId="2" fillId="2" borderId="33" xfId="0" applyNumberFormat="1" applyFont="1" applyFill="1" applyBorder="1" applyAlignment="1">
      <alignment horizontal="left" vertical="center" indent="1"/>
    </xf>
    <xf numFmtId="0" fontId="19" fillId="2" borderId="33" xfId="0" applyNumberFormat="1" applyFont="1" applyFill="1" applyBorder="1" applyAlignment="1">
      <alignment horizontal="left" vertical="center" indent="1"/>
    </xf>
    <xf numFmtId="0" fontId="4" fillId="2" borderId="33" xfId="0" applyNumberFormat="1" applyFont="1" applyFill="1" applyBorder="1" applyAlignment="1">
      <alignment horizontal="left" vertical="center" indent="1"/>
    </xf>
    <xf numFmtId="0" fontId="4" fillId="2" borderId="34" xfId="0" applyNumberFormat="1" applyFont="1" applyFill="1" applyBorder="1" applyAlignment="1">
      <alignment horizontal="left" vertical="center" indent="1"/>
    </xf>
    <xf numFmtId="0" fontId="22" fillId="2" borderId="34" xfId="0" applyNumberFormat="1" applyFont="1" applyFill="1" applyBorder="1" applyAlignment="1">
      <alignment horizontal="left" vertical="center" indent="1"/>
    </xf>
    <xf numFmtId="0" fontId="4" fillId="0" borderId="0" xfId="0" applyFont="1" applyAlignment="1" applyProtection="1">
      <alignment horizontal="left" vertical="center"/>
    </xf>
    <xf numFmtId="0" fontId="23" fillId="0" borderId="0" xfId="0" applyFont="1" applyAlignment="1">
      <alignment vertical="center"/>
    </xf>
    <xf numFmtId="178" fontId="4" fillId="0" borderId="0" xfId="0" applyNumberFormat="1" applyFont="1" applyAlignment="1">
      <alignment vertical="center"/>
    </xf>
    <xf numFmtId="0" fontId="25" fillId="0" borderId="0" xfId="1" applyFont="1" applyAlignment="1" applyProtection="1">
      <alignment vertical="center"/>
    </xf>
    <xf numFmtId="0" fontId="25" fillId="0" borderId="0" xfId="1" applyFont="1" applyAlignment="1" applyProtection="1">
      <alignment horizontal="left" vertical="center"/>
    </xf>
    <xf numFmtId="178" fontId="25" fillId="0" borderId="0" xfId="1" applyNumberFormat="1" applyFont="1" applyAlignment="1" applyProtection="1">
      <alignment vertical="center"/>
    </xf>
    <xf numFmtId="0" fontId="26" fillId="0" borderId="0" xfId="0" applyFont="1" applyFill="1" applyAlignment="1">
      <alignment vertical="center"/>
    </xf>
    <xf numFmtId="179" fontId="4" fillId="4" borderId="5" xfId="0" applyNumberFormat="1" applyFont="1" applyFill="1" applyBorder="1" applyAlignment="1">
      <alignment horizontal="center" vertical="center"/>
    </xf>
    <xf numFmtId="184" fontId="4" fillId="4" borderId="10" xfId="0" applyNumberFormat="1" applyFont="1" applyFill="1" applyBorder="1" applyAlignment="1">
      <alignment horizontal="center" vertical="center" shrinkToFit="1"/>
    </xf>
    <xf numFmtId="179" fontId="4" fillId="4" borderId="10" xfId="0" applyNumberFormat="1" applyFont="1" applyFill="1" applyBorder="1" applyAlignment="1">
      <alignment vertical="center" shrinkToFit="1"/>
    </xf>
    <xf numFmtId="190" fontId="27" fillId="4" borderId="0" xfId="0" applyNumberFormat="1" applyFont="1" applyFill="1" applyAlignment="1">
      <alignment vertical="center" shrinkToFit="1"/>
    </xf>
    <xf numFmtId="0" fontId="27" fillId="0" borderId="0" xfId="0" applyFont="1" applyAlignment="1">
      <alignment vertical="center"/>
    </xf>
    <xf numFmtId="0" fontId="2" fillId="0" borderId="1" xfId="0" applyFont="1" applyFill="1" applyBorder="1" applyAlignment="1">
      <alignment horizontal="center" vertical="center"/>
    </xf>
    <xf numFmtId="182" fontId="2" fillId="0" borderId="2" xfId="0" applyNumberFormat="1" applyFont="1" applyFill="1" applyBorder="1" applyAlignment="1">
      <alignment vertical="center"/>
    </xf>
    <xf numFmtId="182" fontId="2" fillId="0" borderId="3" xfId="0" applyNumberFormat="1" applyFont="1" applyFill="1" applyBorder="1" applyAlignment="1">
      <alignment vertical="center"/>
    </xf>
    <xf numFmtId="0" fontId="2" fillId="0" borderId="3" xfId="0" applyFont="1" applyFill="1" applyBorder="1" applyAlignment="1">
      <alignment vertical="center"/>
    </xf>
    <xf numFmtId="0" fontId="2" fillId="0" borderId="4" xfId="0" applyFont="1" applyFill="1" applyBorder="1" applyAlignment="1">
      <alignment vertical="center"/>
    </xf>
    <xf numFmtId="178" fontId="2" fillId="0" borderId="4" xfId="0" applyNumberFormat="1" applyFont="1" applyFill="1" applyBorder="1" applyAlignment="1">
      <alignment vertical="center" wrapText="1"/>
    </xf>
    <xf numFmtId="182" fontId="2" fillId="0" borderId="4" xfId="0" applyNumberFormat="1" applyFont="1" applyFill="1" applyBorder="1" applyAlignment="1">
      <alignment horizontal="center" vertical="center" wrapText="1"/>
    </xf>
    <xf numFmtId="0" fontId="14" fillId="0" borderId="25" xfId="0" applyFont="1" applyFill="1" applyBorder="1" applyAlignment="1">
      <alignment vertical="center" wrapText="1"/>
    </xf>
    <xf numFmtId="182" fontId="2" fillId="0" borderId="25" xfId="0" applyNumberFormat="1" applyFont="1" applyFill="1" applyBorder="1" applyAlignment="1">
      <alignment vertical="center"/>
    </xf>
    <xf numFmtId="182" fontId="2" fillId="0" borderId="6" xfId="0" applyNumberFormat="1" applyFont="1" applyFill="1" applyBorder="1" applyAlignment="1">
      <alignment vertical="center"/>
    </xf>
    <xf numFmtId="0" fontId="2" fillId="0" borderId="14" xfId="0" applyFont="1" applyFill="1" applyBorder="1" applyAlignment="1">
      <alignment vertical="center"/>
    </xf>
    <xf numFmtId="178" fontId="2" fillId="0" borderId="14" xfId="0" applyNumberFormat="1" applyFont="1" applyFill="1" applyBorder="1" applyAlignment="1">
      <alignment vertical="center" wrapText="1"/>
    </xf>
    <xf numFmtId="0" fontId="2" fillId="0" borderId="14" xfId="0" applyFont="1" applyFill="1" applyBorder="1" applyAlignment="1">
      <alignment vertical="center" wrapText="1"/>
    </xf>
    <xf numFmtId="178" fontId="4" fillId="0" borderId="14" xfId="0" quotePrefix="1" applyNumberFormat="1" applyFont="1" applyFill="1" applyBorder="1" applyAlignment="1">
      <alignment horizontal="left" vertical="center" wrapText="1"/>
    </xf>
    <xf numFmtId="182" fontId="2" fillId="0" borderId="14" xfId="0" applyNumberFormat="1" applyFont="1" applyFill="1" applyBorder="1" applyAlignment="1">
      <alignment vertical="center" wrapText="1"/>
    </xf>
    <xf numFmtId="182" fontId="2" fillId="0" borderId="5" xfId="0" applyNumberFormat="1" applyFont="1" applyFill="1" applyBorder="1" applyAlignment="1">
      <alignment horizontal="center" vertical="center" shrinkToFit="1"/>
    </xf>
    <xf numFmtId="182" fontId="2" fillId="0" borderId="8" xfId="0" applyNumberFormat="1" applyFont="1" applyFill="1" applyBorder="1" applyAlignment="1">
      <alignment vertical="center" shrinkToFit="1"/>
    </xf>
    <xf numFmtId="182" fontId="2" fillId="0" borderId="9" xfId="0" applyNumberFormat="1" applyFont="1" applyFill="1" applyBorder="1" applyAlignment="1">
      <alignment vertical="center" shrinkToFit="1"/>
    </xf>
    <xf numFmtId="0" fontId="2" fillId="0" borderId="10" xfId="0" applyFont="1" applyFill="1" applyBorder="1" applyAlignment="1">
      <alignment vertical="center" shrinkToFit="1"/>
    </xf>
    <xf numFmtId="185" fontId="2" fillId="0" borderId="10" xfId="0" applyNumberFormat="1" applyFont="1" applyFill="1" applyBorder="1" applyAlignment="1">
      <alignment vertical="center" shrinkToFit="1"/>
    </xf>
    <xf numFmtId="188" fontId="2" fillId="0" borderId="10" xfId="0" applyNumberFormat="1" applyFont="1" applyFill="1" applyBorder="1" applyAlignment="1">
      <alignment vertical="center" shrinkToFit="1"/>
    </xf>
    <xf numFmtId="187" fontId="2" fillId="0" borderId="10" xfId="0" applyNumberFormat="1" applyFont="1" applyFill="1" applyBorder="1" applyAlignment="1">
      <alignment vertical="center" shrinkToFit="1"/>
    </xf>
    <xf numFmtId="182" fontId="2" fillId="0" borderId="10" xfId="0" applyNumberFormat="1" applyFont="1" applyFill="1" applyBorder="1" applyAlignment="1">
      <alignment vertical="center" shrinkToFit="1"/>
    </xf>
    <xf numFmtId="182" fontId="4" fillId="0" borderId="7" xfId="0" applyNumberFormat="1" applyFont="1" applyFill="1" applyBorder="1" applyAlignment="1">
      <alignment horizontal="left" vertical="center" shrinkToFit="1"/>
    </xf>
    <xf numFmtId="0" fontId="2" fillId="0" borderId="10" xfId="0" applyFont="1" applyFill="1" applyBorder="1" applyAlignment="1">
      <alignment horizontal="left" vertical="center" shrinkToFit="1"/>
    </xf>
    <xf numFmtId="182" fontId="2" fillId="0" borderId="8" xfId="0" applyNumberFormat="1" applyFont="1" applyFill="1" applyBorder="1" applyAlignment="1">
      <alignment horizontal="center" vertical="center" shrinkToFit="1"/>
    </xf>
    <xf numFmtId="184" fontId="2" fillId="0" borderId="10" xfId="0" applyNumberFormat="1" applyFont="1" applyFill="1" applyBorder="1" applyAlignment="1">
      <alignment horizontal="center" vertical="center" shrinkToFit="1"/>
    </xf>
    <xf numFmtId="182" fontId="3" fillId="0" borderId="10" xfId="0" applyNumberFormat="1" applyFont="1" applyFill="1" applyBorder="1" applyAlignment="1" applyProtection="1">
      <alignment horizontal="left" vertical="center" shrinkToFit="1"/>
      <protection locked="0"/>
    </xf>
    <xf numFmtId="182" fontId="3" fillId="0" borderId="10" xfId="0" applyNumberFormat="1" applyFont="1" applyFill="1" applyBorder="1" applyAlignment="1" applyProtection="1">
      <alignment horizontal="center" vertical="center" shrinkToFit="1"/>
      <protection locked="0"/>
    </xf>
    <xf numFmtId="182" fontId="3" fillId="0" borderId="13" xfId="0" applyNumberFormat="1" applyFont="1" applyFill="1" applyBorder="1" applyAlignment="1" applyProtection="1">
      <alignment horizontal="center" vertical="center" shrinkToFit="1"/>
      <protection locked="0"/>
    </xf>
    <xf numFmtId="0" fontId="2" fillId="0" borderId="10" xfId="0" quotePrefix="1" applyFont="1" applyFill="1" applyBorder="1" applyAlignment="1">
      <alignment horizontal="left" vertical="center" shrinkToFit="1"/>
    </xf>
    <xf numFmtId="182" fontId="2" fillId="0" borderId="25" xfId="0" applyNumberFormat="1" applyFont="1" applyFill="1" applyBorder="1" applyAlignment="1">
      <alignment horizontal="center" vertical="center" shrinkToFit="1"/>
    </xf>
    <xf numFmtId="184" fontId="2" fillId="0" borderId="14" xfId="0" applyNumberFormat="1" applyFont="1" applyFill="1" applyBorder="1" applyAlignment="1">
      <alignment horizontal="center" vertical="center" shrinkToFit="1"/>
    </xf>
    <xf numFmtId="182" fontId="3" fillId="0" borderId="14" xfId="0" applyNumberFormat="1" applyFont="1" applyFill="1" applyBorder="1" applyAlignment="1" applyProtection="1">
      <alignment horizontal="left" vertical="center" shrinkToFit="1"/>
      <protection locked="0"/>
    </xf>
    <xf numFmtId="182" fontId="3" fillId="0" borderId="14" xfId="0" applyNumberFormat="1" applyFont="1" applyFill="1" applyBorder="1" applyAlignment="1" applyProtection="1">
      <alignment horizontal="center" vertical="center" shrinkToFit="1"/>
      <protection locked="0"/>
    </xf>
    <xf numFmtId="179" fontId="2" fillId="4" borderId="5" xfId="0" applyNumberFormat="1" applyFont="1" applyFill="1" applyBorder="1" applyAlignment="1">
      <alignment horizontal="center" vertical="center" shrinkToFit="1"/>
    </xf>
    <xf numFmtId="179" fontId="2" fillId="0" borderId="10" xfId="0" applyNumberFormat="1" applyFont="1" applyFill="1" applyBorder="1" applyAlignment="1">
      <alignment vertical="center" shrinkToFit="1"/>
    </xf>
    <xf numFmtId="182" fontId="2" fillId="4" borderId="5" xfId="0" applyNumberFormat="1" applyFont="1" applyFill="1" applyBorder="1" applyAlignment="1">
      <alignment horizontal="center" vertical="center" shrinkToFit="1"/>
    </xf>
    <xf numFmtId="0" fontId="2" fillId="2" borderId="0" xfId="0" applyNumberFormat="1" applyFont="1" applyFill="1" applyBorder="1" applyAlignment="1">
      <alignment horizontal="left" vertical="center" indent="1"/>
    </xf>
    <xf numFmtId="0" fontId="19" fillId="2" borderId="0" xfId="0" applyNumberFormat="1" applyFont="1" applyFill="1" applyBorder="1" applyAlignment="1">
      <alignment horizontal="left" vertical="center" indent="1"/>
    </xf>
    <xf numFmtId="182" fontId="19" fillId="2" borderId="0" xfId="0" applyNumberFormat="1" applyFont="1" applyFill="1" applyBorder="1" applyAlignment="1">
      <alignment horizontal="left" vertical="center" indent="1"/>
    </xf>
    <xf numFmtId="182" fontId="2" fillId="2" borderId="30" xfId="0" applyNumberFormat="1" applyFont="1" applyFill="1" applyBorder="1" applyAlignment="1">
      <alignment horizontal="left" vertical="center" indent="1"/>
    </xf>
    <xf numFmtId="0" fontId="22" fillId="2" borderId="32" xfId="0" applyNumberFormat="1" applyFont="1" applyFill="1" applyBorder="1" applyAlignment="1">
      <alignment horizontal="left" vertical="center"/>
    </xf>
    <xf numFmtId="0" fontId="2" fillId="0" borderId="14" xfId="0" applyFont="1" applyFill="1" applyBorder="1" applyAlignment="1">
      <alignment horizontal="center" vertical="center" wrapText="1"/>
    </xf>
    <xf numFmtId="0" fontId="2" fillId="0" borderId="15" xfId="0" applyFont="1" applyFill="1" applyBorder="1" applyAlignment="1">
      <alignment vertical="center"/>
    </xf>
    <xf numFmtId="0" fontId="2" fillId="0" borderId="15" xfId="0" applyFont="1" applyFill="1" applyBorder="1" applyAlignment="1">
      <alignment horizontal="center" vertical="center"/>
    </xf>
    <xf numFmtId="0" fontId="2" fillId="0" borderId="15" xfId="0" applyFont="1" applyBorder="1" applyAlignment="1">
      <alignment horizontal="center" vertical="center"/>
    </xf>
    <xf numFmtId="0" fontId="28" fillId="0" borderId="0" xfId="0" applyFont="1" applyAlignment="1">
      <alignment horizontal="left" vertical="center" readingOrder="1"/>
    </xf>
    <xf numFmtId="191" fontId="2" fillId="0" borderId="26" xfId="0" applyNumberFormat="1" applyFont="1" applyFill="1" applyBorder="1" applyAlignment="1">
      <alignment vertical="center" shrinkToFit="1"/>
    </xf>
    <xf numFmtId="0" fontId="14" fillId="4" borderId="37" xfId="0" applyFont="1" applyFill="1" applyBorder="1" applyAlignment="1">
      <alignment vertical="center" wrapText="1"/>
    </xf>
    <xf numFmtId="0" fontId="14" fillId="4" borderId="15" xfId="0" applyFont="1" applyFill="1" applyBorder="1" applyAlignment="1">
      <alignment vertical="center" wrapText="1"/>
    </xf>
    <xf numFmtId="0" fontId="1" fillId="4" borderId="17" xfId="0" applyFont="1" applyFill="1" applyBorder="1" applyAlignment="1">
      <alignment vertical="center" wrapText="1"/>
    </xf>
    <xf numFmtId="0" fontId="14" fillId="4" borderId="38" xfId="0" applyFont="1" applyFill="1" applyBorder="1" applyAlignment="1">
      <alignment vertical="center" wrapText="1"/>
    </xf>
    <xf numFmtId="0" fontId="14" fillId="4" borderId="39" xfId="0" applyFont="1" applyFill="1" applyBorder="1" applyAlignment="1">
      <alignment vertical="center" wrapText="1"/>
    </xf>
    <xf numFmtId="0" fontId="1" fillId="4" borderId="40" xfId="0" applyFont="1" applyFill="1" applyBorder="1" applyAlignment="1">
      <alignment vertical="center" wrapText="1"/>
    </xf>
    <xf numFmtId="0" fontId="4" fillId="0" borderId="36" xfId="0" applyFont="1" applyBorder="1" applyAlignment="1">
      <alignment vertical="center" wrapText="1"/>
    </xf>
    <xf numFmtId="0" fontId="4" fillId="0" borderId="19" xfId="0" applyFont="1" applyBorder="1" applyAlignment="1">
      <alignment vertical="center" wrapText="1"/>
    </xf>
    <xf numFmtId="0" fontId="15" fillId="0" borderId="20" xfId="0" applyFont="1" applyBorder="1" applyAlignment="1">
      <alignment vertical="center" wrapText="1"/>
    </xf>
    <xf numFmtId="0" fontId="4" fillId="0" borderId="37" xfId="0" applyFont="1" applyBorder="1" applyAlignment="1">
      <alignment vertical="center" wrapText="1"/>
    </xf>
    <xf numFmtId="0" fontId="4" fillId="0" borderId="15" xfId="0" applyFont="1" applyBorder="1" applyAlignment="1">
      <alignment vertical="center" wrapText="1"/>
    </xf>
    <xf numFmtId="0" fontId="15" fillId="0" borderId="17" xfId="0" applyFont="1" applyBorder="1" applyAlignment="1">
      <alignment vertical="center" wrapText="1"/>
    </xf>
    <xf numFmtId="186" fontId="4" fillId="4" borderId="10" xfId="0" applyNumberFormat="1" applyFont="1" applyFill="1" applyBorder="1" applyAlignment="1">
      <alignment vertical="center" shrinkToFit="1"/>
    </xf>
  </cellXfs>
  <cellStyles count="2">
    <cellStyle name="ハイパーリンク" xfId="1" builtinId="8"/>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Cs､Sr、H-3による内部被ばく</a:t>
            </a:r>
            <a:endParaRPr lang="en-US" altLang="ja-JP" sz="1100" b="0" i="0" u="none" strike="noStrike" baseline="0">
              <a:solidFill>
                <a:srgbClr val="000000"/>
              </a:solidFill>
              <a:latin typeface="Meiryo UI"/>
              <a:ea typeface="Meiryo UI"/>
            </a:endParaRPr>
          </a:p>
          <a:p>
            <a:pPr>
              <a:defRPr sz="1100" b="0" i="0" u="none" strike="noStrike" baseline="0">
                <a:solidFill>
                  <a:srgbClr val="000000"/>
                </a:solidFill>
                <a:latin typeface="明朝"/>
                <a:ea typeface="明朝"/>
                <a:cs typeface="明朝"/>
              </a:defRPr>
            </a:pPr>
            <a:r>
              <a:rPr lang="ja-JP" altLang="en-US" sz="1100" b="0" i="0" u="none" strike="noStrike" baseline="0">
                <a:solidFill>
                  <a:srgbClr val="000000"/>
                </a:solidFill>
                <a:latin typeface="Meiryo UI"/>
                <a:ea typeface="Meiryo UI"/>
              </a:rPr>
              <a:t>預託実効線量当量の推移</a:t>
            </a:r>
          </a:p>
        </c:rich>
      </c:tx>
      <c:layout>
        <c:manualLayout>
          <c:xMode val="edge"/>
          <c:yMode val="edge"/>
          <c:x val="0.43737501169782106"/>
          <c:y val="7.9797728318370148E-2"/>
        </c:manualLayout>
      </c:layout>
      <c:overlay val="0"/>
      <c:spPr>
        <a:solidFill>
          <a:srgbClr val="FFFFFF"/>
        </a:solidFill>
        <a:ln w="25400">
          <a:noFill/>
        </a:ln>
      </c:spPr>
    </c:title>
    <c:autoTitleDeleted val="0"/>
    <c:plotArea>
      <c:layout>
        <c:manualLayout>
          <c:layoutTarget val="inner"/>
          <c:xMode val="edge"/>
          <c:yMode val="edge"/>
          <c:x val="6.8257197220507507E-2"/>
          <c:y val="2.332872024358609E-2"/>
          <c:w val="0.92461296707884744"/>
          <c:h val="0.90841864746948764"/>
        </c:manualLayout>
      </c:layout>
      <c:lineChart>
        <c:grouping val="standard"/>
        <c:varyColors val="0"/>
        <c:ser>
          <c:idx val="0"/>
          <c:order val="0"/>
          <c:tx>
            <c:strRef>
              <c:f>預託線量当量!$P$7</c:f>
              <c:strCache>
                <c:ptCount val="1"/>
                <c:pt idx="0">
                  <c:v>預託線量当量</c:v>
                </c:pt>
              </c:strCache>
            </c:strRef>
          </c:tx>
          <c:spPr>
            <a:ln w="3175">
              <a:solidFill>
                <a:srgbClr val="0000FF"/>
              </a:solidFill>
              <a:prstDash val="solid"/>
            </a:ln>
          </c:spPr>
          <c:marker>
            <c:symbol val="square"/>
            <c:size val="5"/>
            <c:spPr>
              <a:solidFill>
                <a:srgbClr val="FFFFFF"/>
              </a:solidFill>
              <a:ln>
                <a:solidFill>
                  <a:srgbClr val="0000FF"/>
                </a:solidFill>
                <a:prstDash val="solid"/>
              </a:ln>
            </c:spPr>
          </c:marker>
          <c:cat>
            <c:numRef>
              <c:f>預託線量当量!$O$8:$O$46</c:f>
              <c:numCache>
                <c:formatCode>[$-411]ge</c:formatCode>
                <c:ptCount val="39"/>
                <c:pt idx="0">
                  <c:v>43739</c:v>
                </c:pt>
                <c:pt idx="1">
                  <c:v>43374</c:v>
                </c:pt>
                <c:pt idx="2">
                  <c:v>43009</c:v>
                </c:pt>
                <c:pt idx="3">
                  <c:v>42644</c:v>
                </c:pt>
                <c:pt idx="4">
                  <c:v>42278</c:v>
                </c:pt>
                <c:pt idx="5">
                  <c:v>41913</c:v>
                </c:pt>
                <c:pt idx="6">
                  <c:v>41548</c:v>
                </c:pt>
                <c:pt idx="7">
                  <c:v>41183</c:v>
                </c:pt>
                <c:pt idx="8">
                  <c:v>40817</c:v>
                </c:pt>
                <c:pt idx="9">
                  <c:v>40452</c:v>
                </c:pt>
                <c:pt idx="10">
                  <c:v>40087</c:v>
                </c:pt>
                <c:pt idx="11">
                  <c:v>39722</c:v>
                </c:pt>
                <c:pt idx="12">
                  <c:v>39356</c:v>
                </c:pt>
                <c:pt idx="13">
                  <c:v>38991</c:v>
                </c:pt>
                <c:pt idx="14">
                  <c:v>38626</c:v>
                </c:pt>
                <c:pt idx="15">
                  <c:v>38261</c:v>
                </c:pt>
                <c:pt idx="16">
                  <c:v>37895</c:v>
                </c:pt>
                <c:pt idx="17">
                  <c:v>37530</c:v>
                </c:pt>
                <c:pt idx="18">
                  <c:v>37165</c:v>
                </c:pt>
                <c:pt idx="19">
                  <c:v>36800</c:v>
                </c:pt>
                <c:pt idx="20">
                  <c:v>36434</c:v>
                </c:pt>
                <c:pt idx="21">
                  <c:v>36069</c:v>
                </c:pt>
                <c:pt idx="22">
                  <c:v>35704</c:v>
                </c:pt>
                <c:pt idx="23">
                  <c:v>35339</c:v>
                </c:pt>
                <c:pt idx="24">
                  <c:v>34973</c:v>
                </c:pt>
                <c:pt idx="25">
                  <c:v>34608</c:v>
                </c:pt>
                <c:pt idx="26">
                  <c:v>34243</c:v>
                </c:pt>
                <c:pt idx="27">
                  <c:v>33878</c:v>
                </c:pt>
                <c:pt idx="28">
                  <c:v>33512</c:v>
                </c:pt>
                <c:pt idx="29">
                  <c:v>33147</c:v>
                </c:pt>
                <c:pt idx="30">
                  <c:v>32782</c:v>
                </c:pt>
                <c:pt idx="31">
                  <c:v>32417</c:v>
                </c:pt>
                <c:pt idx="32">
                  <c:v>32051</c:v>
                </c:pt>
                <c:pt idx="33">
                  <c:v>31686</c:v>
                </c:pt>
                <c:pt idx="34">
                  <c:v>31321</c:v>
                </c:pt>
                <c:pt idx="35">
                  <c:v>30956</c:v>
                </c:pt>
                <c:pt idx="36">
                  <c:v>30590</c:v>
                </c:pt>
                <c:pt idx="37">
                  <c:v>30225</c:v>
                </c:pt>
                <c:pt idx="38">
                  <c:v>29860</c:v>
                </c:pt>
              </c:numCache>
            </c:numRef>
          </c:cat>
          <c:val>
            <c:numRef>
              <c:f>預託線量当量!$P$8:$P$46</c:f>
              <c:numCache>
                <c:formatCode>0.00_);[Red]\(0.00\)</c:formatCode>
                <c:ptCount val="39"/>
                <c:pt idx="2">
                  <c:v>0.36668885500000004</c:v>
                </c:pt>
                <c:pt idx="3">
                  <c:v>0.61167576000000012</c:v>
                </c:pt>
                <c:pt idx="4">
                  <c:v>0.48441062600000007</c:v>
                </c:pt>
                <c:pt idx="5">
                  <c:v>3.1417373903156753</c:v>
                </c:pt>
                <c:pt idx="6">
                  <c:v>2.319500079915128</c:v>
                </c:pt>
                <c:pt idx="7">
                  <c:v>12.193530570365677</c:v>
                </c:pt>
                <c:pt idx="10">
                  <c:v>0.135966588</c:v>
                </c:pt>
                <c:pt idx="11">
                  <c:v>0.10334610000000001</c:v>
                </c:pt>
                <c:pt idx="12">
                  <c:v>0.11859872000000003</c:v>
                </c:pt>
                <c:pt idx="13">
                  <c:v>0.16650228360000002</c:v>
                </c:pt>
                <c:pt idx="14">
                  <c:v>0.16429978600000003</c:v>
                </c:pt>
                <c:pt idx="15">
                  <c:v>0.15323430000000002</c:v>
                </c:pt>
                <c:pt idx="16">
                  <c:v>0.23050297500000003</c:v>
                </c:pt>
                <c:pt idx="17">
                  <c:v>0.19808915000000005</c:v>
                </c:pt>
                <c:pt idx="18">
                  <c:v>0.20469565000000006</c:v>
                </c:pt>
                <c:pt idx="19">
                  <c:v>0.20610455000000005</c:v>
                </c:pt>
                <c:pt idx="20">
                  <c:v>0.19431139999999997</c:v>
                </c:pt>
                <c:pt idx="21">
                  <c:v>0.18101299000000001</c:v>
                </c:pt>
                <c:pt idx="22">
                  <c:v>0.20238519999999996</c:v>
                </c:pt>
                <c:pt idx="23">
                  <c:v>0.1983994</c:v>
                </c:pt>
                <c:pt idx="24">
                  <c:v>0.24284910000000001</c:v>
                </c:pt>
                <c:pt idx="25">
                  <c:v>0.23374965</c:v>
                </c:pt>
                <c:pt idx="26">
                  <c:v>0.25168574999999993</c:v>
                </c:pt>
                <c:pt idx="27">
                  <c:v>0.32218550000000001</c:v>
                </c:pt>
                <c:pt idx="28">
                  <c:v>0.35061899999999985</c:v>
                </c:pt>
                <c:pt idx="29">
                  <c:v>0.43366380000000004</c:v>
                </c:pt>
                <c:pt idx="30">
                  <c:v>0.43050289999999997</c:v>
                </c:pt>
                <c:pt idx="31">
                  <c:v>0.45478269999999993</c:v>
                </c:pt>
                <c:pt idx="32">
                  <c:v>0.60305300000000006</c:v>
                </c:pt>
                <c:pt idx="33">
                  <c:v>0.60580807407407411</c:v>
                </c:pt>
                <c:pt idx="34">
                  <c:v>0.6863405925925925</c:v>
                </c:pt>
                <c:pt idx="35">
                  <c:v>1.0211888888888887</c:v>
                </c:pt>
                <c:pt idx="36">
                  <c:v>0.78488518518518502</c:v>
                </c:pt>
                <c:pt idx="37">
                  <c:v>1.0487666666666666</c:v>
                </c:pt>
                <c:pt idx="38">
                  <c:v>0.66689555555555557</c:v>
                </c:pt>
              </c:numCache>
            </c:numRef>
          </c:val>
          <c:smooth val="0"/>
        </c:ser>
        <c:dLbls>
          <c:showLegendKey val="0"/>
          <c:showVal val="0"/>
          <c:showCatName val="0"/>
          <c:showSerName val="0"/>
          <c:showPercent val="0"/>
          <c:showBubbleSize val="0"/>
        </c:dLbls>
        <c:marker val="1"/>
        <c:smooth val="0"/>
        <c:axId val="205555200"/>
        <c:axId val="205619968"/>
      </c:lineChart>
      <c:catAx>
        <c:axId val="205555200"/>
        <c:scaling>
          <c:orientation val="minMax"/>
        </c:scaling>
        <c:delete val="0"/>
        <c:axPos val="b"/>
        <c:majorGridlines>
          <c:spPr>
            <a:ln w="3175">
              <a:pattFill prst="pct50">
                <a:fgClr>
                  <a:srgbClr val="000000"/>
                </a:fgClr>
                <a:bgClr>
                  <a:srgbClr val="FFFFFF"/>
                </a:bgClr>
              </a:pattFill>
              <a:prstDash val="solid"/>
            </a:ln>
          </c:spPr>
        </c:majorGridlines>
        <c:numFmt formatCode="[$-411]ge" sourceLinked="1"/>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05619968"/>
        <c:crosses val="autoZero"/>
        <c:auto val="0"/>
        <c:lblAlgn val="ctr"/>
        <c:lblOffset val="0"/>
        <c:tickLblSkip val="3"/>
        <c:tickMarkSkip val="3"/>
        <c:noMultiLvlLbl val="0"/>
      </c:catAx>
      <c:valAx>
        <c:axId val="205619968"/>
        <c:scaling>
          <c:orientation val="minMax"/>
        </c:scaling>
        <c:delete val="0"/>
        <c:axPos val="l"/>
        <c:majorGridlines>
          <c:spPr>
            <a:ln w="3175">
              <a:pattFill prst="pct50">
                <a:fgClr>
                  <a:srgbClr val="000000"/>
                </a:fgClr>
                <a:bgClr>
                  <a:srgbClr val="FFFFFF"/>
                </a:bgClr>
              </a:pattFill>
              <a:prstDash val="solid"/>
            </a:ln>
          </c:spPr>
        </c:majorGridlines>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05555200"/>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明朝"/>
          <a:ea typeface="明朝"/>
          <a:cs typeface="明朝"/>
        </a:defRPr>
      </a:pPr>
      <a:endParaRPr lang="ja-JP"/>
    </a:p>
  </c:txPr>
  <c:printSettings>
    <c:headerFooter alignWithMargins="0">
      <c:oddHeader>&amp;A</c:oddHeader>
      <c:oddFooter>- &amp;P -</c:oddFooter>
    </c:headerFooter>
    <c:pageMargins b="1" l="0.75" r="0.75" t="1" header="0.5" footer="0.5"/>
    <c:pageSetup paperSize="9" orientation="landscape" horizontalDpi="180" verticalDpi="18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16</xdr:col>
      <xdr:colOff>70909</xdr:colOff>
      <xdr:row>3</xdr:row>
      <xdr:rowOff>95248</xdr:rowOff>
    </xdr:from>
    <xdr:to>
      <xdr:col>25</xdr:col>
      <xdr:colOff>137584</xdr:colOff>
      <xdr:row>29</xdr:row>
      <xdr:rowOff>63498</xdr:rowOff>
    </xdr:to>
    <xdr:graphicFrame macro="">
      <xdr:nvGraphicFramePr>
        <xdr:cNvPr id="1031"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171450</xdr:colOff>
      <xdr:row>65</xdr:row>
      <xdr:rowOff>57150</xdr:rowOff>
    </xdr:from>
    <xdr:to>
      <xdr:col>21</xdr:col>
      <xdr:colOff>133350</xdr:colOff>
      <xdr:row>67</xdr:row>
      <xdr:rowOff>85725</xdr:rowOff>
    </xdr:to>
    <xdr:sp macro="" textlink="">
      <xdr:nvSpPr>
        <xdr:cNvPr id="1027" name="Text Box 3"/>
        <xdr:cNvSpPr txBox="1">
          <a:spLocks noChangeArrowheads="1"/>
        </xdr:cNvSpPr>
      </xdr:nvSpPr>
      <xdr:spPr bwMode="auto">
        <a:xfrm>
          <a:off x="7362825" y="16173450"/>
          <a:ext cx="2276475" cy="295275"/>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ゴシック"/>
              <a:ea typeface="ＭＳ ゴシック"/>
            </a:rPr>
            <a:t>ここに左の表の各1年分が入る</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0.36462</cdr:x>
      <cdr:y>0.72813</cdr:y>
    </cdr:from>
    <cdr:to>
      <cdr:x>0.78908</cdr:x>
      <cdr:y>0.79733</cdr:y>
    </cdr:to>
    <cdr:sp macro="" textlink="">
      <cdr:nvSpPr>
        <cdr:cNvPr id="2" name="テキスト ボックス 1"/>
        <cdr:cNvSpPr txBox="1"/>
      </cdr:nvSpPr>
      <cdr:spPr>
        <a:xfrm xmlns:a="http://schemas.openxmlformats.org/drawingml/2006/main">
          <a:off x="1463673" y="3117852"/>
          <a:ext cx="1703917" cy="29633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000">
              <a:latin typeface="Meiryo UI" panose="020B0604030504040204" pitchFamily="50" charset="-128"/>
              <a:ea typeface="Meiryo UI" panose="020B0604030504040204" pitchFamily="50" charset="-128"/>
            </a:rPr>
            <a:t>H23,22</a:t>
          </a:r>
          <a:r>
            <a:rPr lang="ja-JP" altLang="en-US" sz="1000">
              <a:latin typeface="Meiryo UI" panose="020B0604030504040204" pitchFamily="50" charset="-128"/>
              <a:ea typeface="Meiryo UI" panose="020B0604030504040204" pitchFamily="50" charset="-128"/>
            </a:rPr>
            <a:t>年度は欠測</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r-info-miyagi.jp/r-info/" TargetMode="External"/><Relationship Id="rId7" Type="http://schemas.openxmlformats.org/officeDocument/2006/relationships/drawing" Target="../drawings/drawing1.xml"/><Relationship Id="rId2" Type="http://schemas.openxmlformats.org/officeDocument/2006/relationships/hyperlink" Target="http://miyagi-ermc.jp/" TargetMode="External"/><Relationship Id="rId1" Type="http://schemas.openxmlformats.org/officeDocument/2006/relationships/hyperlink" Target="http://miyagi-ermc.jp/" TargetMode="External"/><Relationship Id="rId6" Type="http://schemas.openxmlformats.org/officeDocument/2006/relationships/printerSettings" Target="../printerSettings/printerSettings1.bin"/><Relationship Id="rId5" Type="http://schemas.openxmlformats.org/officeDocument/2006/relationships/hyperlink" Target="http://www.kmdmyg.info/" TargetMode="External"/><Relationship Id="rId4" Type="http://schemas.openxmlformats.org/officeDocument/2006/relationships/hyperlink" Target="http://www.pref.miyagi.jp/soshiki/genta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B1:AO400"/>
  <sheetViews>
    <sheetView tabSelected="1" zoomScale="90" zoomScaleNormal="90" workbookViewId="0">
      <selection activeCell="AK33" sqref="AK33"/>
    </sheetView>
  </sheetViews>
  <sheetFormatPr defaultColWidth="10.69921875" defaultRowHeight="12" x14ac:dyDescent="0.2"/>
  <cols>
    <col min="1" max="1" width="1.19921875" style="11" customWidth="1"/>
    <col min="2" max="2" width="4.3984375" style="11" customWidth="1"/>
    <col min="3" max="3" width="4.69921875" style="42" customWidth="1"/>
    <col min="4" max="4" width="5.796875" style="42" customWidth="1"/>
    <col min="5" max="5" width="8.59765625" style="11" customWidth="1"/>
    <col min="6" max="6" width="5.3984375" style="11" customWidth="1"/>
    <col min="7" max="7" width="4.69921875" style="43" customWidth="1"/>
    <col min="8" max="9" width="4.69921875" style="11" customWidth="1"/>
    <col min="10" max="10" width="4.69921875" style="43" customWidth="1"/>
    <col min="11" max="12" width="4.69921875" style="11" customWidth="1"/>
    <col min="13" max="13" width="4.69921875" style="42" customWidth="1"/>
    <col min="14" max="14" width="4.296875" style="11" customWidth="1"/>
    <col min="15" max="16" width="4.69921875" style="11" customWidth="1"/>
    <col min="17" max="17" width="4.09765625" style="11" customWidth="1"/>
    <col min="18" max="21" width="4" style="11" customWidth="1"/>
    <col min="22" max="23" width="4.19921875" style="11" customWidth="1"/>
    <col min="24" max="24" width="4.796875" style="11" customWidth="1"/>
    <col min="25" max="40" width="4.19921875" style="11" customWidth="1"/>
    <col min="41" max="47" width="4.296875" style="11" customWidth="1"/>
    <col min="48" max="58" width="4.59765625" style="11" customWidth="1"/>
    <col min="59" max="66" width="5.5" style="11" customWidth="1"/>
    <col min="67" max="16384" width="10.69921875" style="11"/>
  </cols>
  <sheetData>
    <row r="1" spans="2:41" ht="6.75" customHeight="1" x14ac:dyDescent="0.2"/>
    <row r="2" spans="2:41" ht="21" customHeight="1" x14ac:dyDescent="0.2">
      <c r="B2" s="103" t="s">
        <v>138</v>
      </c>
      <c r="C2" s="49"/>
      <c r="D2" s="1"/>
      <c r="E2" s="1"/>
      <c r="F2" s="1"/>
      <c r="G2" s="11"/>
      <c r="H2" s="2"/>
      <c r="I2" s="3"/>
      <c r="J2" s="2"/>
      <c r="K2" s="2"/>
      <c r="L2" s="2"/>
      <c r="M2" s="4"/>
      <c r="N2" s="5"/>
      <c r="O2" s="2"/>
      <c r="P2" s="2"/>
      <c r="Q2" s="2"/>
      <c r="R2" s="2"/>
      <c r="S2" s="2"/>
      <c r="T2" s="2"/>
      <c r="U2" s="2"/>
      <c r="AK2" s="12"/>
      <c r="AN2" s="12"/>
      <c r="AO2" s="13"/>
    </row>
    <row r="3" spans="2:41" ht="12" customHeight="1" x14ac:dyDescent="0.2">
      <c r="B3" s="79"/>
      <c r="C3" s="125" t="s">
        <v>142</v>
      </c>
      <c r="D3" s="1"/>
      <c r="E3" s="1"/>
      <c r="F3" s="1"/>
      <c r="G3" s="11"/>
      <c r="H3" s="2"/>
      <c r="I3" s="3"/>
      <c r="J3" s="2"/>
      <c r="K3" s="2"/>
      <c r="L3" s="2"/>
      <c r="M3" s="4"/>
      <c r="N3" s="5"/>
      <c r="O3" s="2"/>
      <c r="P3" s="2"/>
      <c r="Q3" s="2"/>
      <c r="R3" s="2"/>
      <c r="S3" s="2"/>
      <c r="T3" s="2"/>
      <c r="U3" s="2"/>
      <c r="AK3" s="12"/>
      <c r="AN3" s="12"/>
      <c r="AO3" s="13"/>
    </row>
    <row r="4" spans="2:41" s="96" customFormat="1" ht="12.75" customHeight="1" x14ac:dyDescent="0.2">
      <c r="B4" s="133"/>
      <c r="C4" s="134"/>
      <c r="D4" s="137" t="s">
        <v>107</v>
      </c>
      <c r="E4" s="136"/>
      <c r="G4" s="137" t="s">
        <v>108</v>
      </c>
      <c r="H4" s="136"/>
      <c r="I4" s="134"/>
      <c r="J4" s="136" t="s">
        <v>143</v>
      </c>
      <c r="K4" s="136"/>
      <c r="L4" s="136"/>
      <c r="N4" s="136" t="s">
        <v>144</v>
      </c>
      <c r="O4" s="136"/>
      <c r="P4" s="138"/>
      <c r="R4" s="135"/>
      <c r="S4" s="135"/>
      <c r="T4" s="135"/>
    </row>
    <row r="5" spans="2:41" ht="14.25" customHeight="1" x14ac:dyDescent="0.2">
      <c r="B5" s="48"/>
      <c r="C5" s="104" t="s">
        <v>44</v>
      </c>
      <c r="D5" s="1"/>
      <c r="E5" s="1"/>
      <c r="F5" s="1"/>
      <c r="G5" s="47"/>
      <c r="H5" s="2"/>
      <c r="I5" s="3"/>
      <c r="J5" s="2"/>
      <c r="K5" s="2"/>
      <c r="L5" s="2"/>
      <c r="M5" s="4"/>
      <c r="N5" s="5"/>
      <c r="O5" s="2"/>
      <c r="P5" s="2"/>
      <c r="Q5" s="2"/>
      <c r="R5" s="2"/>
      <c r="S5" s="2"/>
      <c r="T5" s="2"/>
      <c r="U5" s="2"/>
      <c r="AK5" s="12"/>
      <c r="AN5" s="12"/>
      <c r="AO5" s="13"/>
    </row>
    <row r="6" spans="2:41" ht="18.75" customHeight="1" x14ac:dyDescent="0.2">
      <c r="B6" s="145" t="s">
        <v>0</v>
      </c>
      <c r="C6" s="146"/>
      <c r="D6" s="147"/>
      <c r="E6" s="148" t="s">
        <v>1</v>
      </c>
      <c r="F6" s="149"/>
      <c r="G6" s="150" t="s">
        <v>2</v>
      </c>
      <c r="H6" s="30" t="s">
        <v>3</v>
      </c>
      <c r="I6" s="30" t="s">
        <v>4</v>
      </c>
      <c r="J6" s="150" t="s">
        <v>5</v>
      </c>
      <c r="K6" s="30" t="s">
        <v>6</v>
      </c>
      <c r="L6" s="30" t="s">
        <v>7</v>
      </c>
      <c r="M6" s="151" t="s">
        <v>8</v>
      </c>
      <c r="O6" s="2"/>
    </row>
    <row r="7" spans="2:41" ht="24" customHeight="1" thickBot="1" x14ac:dyDescent="0.25">
      <c r="B7" s="152" t="s">
        <v>9</v>
      </c>
      <c r="C7" s="153"/>
      <c r="D7" s="154"/>
      <c r="E7" s="155" t="s">
        <v>10</v>
      </c>
      <c r="F7" s="155"/>
      <c r="G7" s="156" t="s">
        <v>11</v>
      </c>
      <c r="H7" s="188" t="s">
        <v>197</v>
      </c>
      <c r="I7" s="157" t="s">
        <v>13</v>
      </c>
      <c r="J7" s="158" t="s">
        <v>14</v>
      </c>
      <c r="K7" s="157" t="s">
        <v>15</v>
      </c>
      <c r="L7" s="157" t="s">
        <v>16</v>
      </c>
      <c r="M7" s="159"/>
      <c r="O7" s="35"/>
      <c r="P7" s="105" t="s">
        <v>31</v>
      </c>
    </row>
    <row r="8" spans="2:41" ht="11.1" customHeight="1" thickTop="1" x14ac:dyDescent="0.2">
      <c r="B8" s="160"/>
      <c r="C8" s="161"/>
      <c r="D8" s="162"/>
      <c r="E8" s="76" t="s">
        <v>106</v>
      </c>
      <c r="F8" s="163" t="s">
        <v>19</v>
      </c>
      <c r="G8" s="164">
        <v>100</v>
      </c>
      <c r="H8" s="165">
        <v>342.9</v>
      </c>
      <c r="I8" s="164">
        <v>200</v>
      </c>
      <c r="J8" s="164">
        <v>20</v>
      </c>
      <c r="K8" s="164">
        <v>40</v>
      </c>
      <c r="L8" s="166">
        <v>2.65</v>
      </c>
      <c r="M8" s="167"/>
      <c r="O8" s="126">
        <v>43739</v>
      </c>
      <c r="P8" s="106"/>
    </row>
    <row r="9" spans="2:41" ht="11.1" customHeight="1" x14ac:dyDescent="0.2">
      <c r="B9" s="160"/>
      <c r="C9" s="160" t="s">
        <v>89</v>
      </c>
      <c r="D9" s="168" t="s">
        <v>22</v>
      </c>
      <c r="E9" s="163" t="s">
        <v>23</v>
      </c>
      <c r="F9" s="169" t="s">
        <v>24</v>
      </c>
      <c r="G9" s="120"/>
      <c r="H9" s="120"/>
      <c r="I9" s="120"/>
      <c r="J9" s="120"/>
      <c r="K9" s="120"/>
      <c r="L9" s="120"/>
      <c r="M9" s="167"/>
      <c r="O9" s="126">
        <v>43374</v>
      </c>
      <c r="P9" s="106"/>
    </row>
    <row r="10" spans="2:41" ht="11.1" customHeight="1" x14ac:dyDescent="0.2">
      <c r="B10" s="160"/>
      <c r="C10" s="170"/>
      <c r="D10" s="171">
        <f>1.9*10^(-5)</f>
        <v>1.9000000000000001E-5</v>
      </c>
      <c r="E10" s="172" t="s">
        <v>27</v>
      </c>
      <c r="F10" s="173" t="s">
        <v>17</v>
      </c>
      <c r="G10" s="119">
        <f>D10*G8/1000*365*IF(G9="-",0,IF(G9="ND",0,G9)*1000)</f>
        <v>0</v>
      </c>
      <c r="H10" s="119">
        <f>D10*H8/1000*365*IF(H9="-",0,IF(H9="ND",0,H9)*1000)</f>
        <v>0</v>
      </c>
      <c r="I10" s="119">
        <f>D10*I8/1000*365*IF(I9="-",0,IF(I9="ND",0,I9)*1000)</f>
        <v>0</v>
      </c>
      <c r="J10" s="119">
        <f>D10*J8/1000*365*IF(J9="-",0,IF(J9="ND",0,J9)*1000)</f>
        <v>0</v>
      </c>
      <c r="K10" s="119">
        <f>D10*K8/1000*365*IF(K9="-",0,IF(K9="ND",0,K9)*1000)</f>
        <v>0</v>
      </c>
      <c r="L10" s="119">
        <f>D10*L8*365*IF(L9="-",0,IF(L9="ND",0,L9)*1000)</f>
        <v>0</v>
      </c>
      <c r="M10" s="45">
        <f>SUM(G10:L10)</f>
        <v>0</v>
      </c>
      <c r="O10" s="126">
        <v>43009</v>
      </c>
      <c r="P10" s="106">
        <f>B32</f>
        <v>0.36668885500000004</v>
      </c>
    </row>
    <row r="11" spans="2:41" ht="11.1" customHeight="1" x14ac:dyDescent="0.2">
      <c r="B11" s="160"/>
      <c r="C11" s="160" t="s">
        <v>21</v>
      </c>
      <c r="D11" s="168" t="s">
        <v>22</v>
      </c>
      <c r="E11" s="163" t="s">
        <v>23</v>
      </c>
      <c r="F11" s="169" t="s">
        <v>24</v>
      </c>
      <c r="G11" s="121"/>
      <c r="H11" s="120"/>
      <c r="I11" s="121"/>
      <c r="J11" s="121"/>
      <c r="K11" s="121"/>
      <c r="L11" s="120"/>
      <c r="M11" s="181"/>
      <c r="O11" s="126">
        <v>42644</v>
      </c>
      <c r="P11" s="106">
        <f>IF(B41&lt;&gt;"",B41,"")</f>
        <v>0.61167576000000012</v>
      </c>
    </row>
    <row r="12" spans="2:41" ht="11.1" customHeight="1" x14ac:dyDescent="0.2">
      <c r="B12" s="160" t="s">
        <v>141</v>
      </c>
      <c r="C12" s="170"/>
      <c r="D12" s="171">
        <f>1.3*10^(-5)</f>
        <v>1.3000000000000001E-5</v>
      </c>
      <c r="E12" s="172" t="s">
        <v>27</v>
      </c>
      <c r="F12" s="173" t="s">
        <v>17</v>
      </c>
      <c r="G12" s="119">
        <f>D12*G8/1000*365*IF(G11="-",0,IF(G11="ND",0,G11)*1000)</f>
        <v>0</v>
      </c>
      <c r="H12" s="119">
        <f>D12*H8/1000*365*IF(H11="-",0,IF(H11="ND",0,H11)*1000)</f>
        <v>0</v>
      </c>
      <c r="I12" s="119">
        <f>D12*I8/1000*365*IF(I11="-",0,IF(I11="ND",0,I11)*1000)</f>
        <v>0</v>
      </c>
      <c r="J12" s="119">
        <f>D12*J8/1000*365*IF(J11="-",0,IF(J11="ND",0,J11)*1000)</f>
        <v>0</v>
      </c>
      <c r="K12" s="119">
        <f>D12*K8/1000*365*IF(K11="-",0,IF(K11="ND",0,K11)*1000)</f>
        <v>0</v>
      </c>
      <c r="L12" s="119">
        <f>D12*L8*365*IF(L11="-",0,IF(L11="ND",0,L11)*1000)</f>
        <v>0</v>
      </c>
      <c r="M12" s="45">
        <f>SUM(G12:L12)</f>
        <v>0</v>
      </c>
      <c r="O12" s="126">
        <v>42278</v>
      </c>
      <c r="P12" s="106">
        <f>IF(B50&lt;&gt;"",B50,"")</f>
        <v>0.48441062600000007</v>
      </c>
    </row>
    <row r="13" spans="2:41" ht="11.1" customHeight="1" x14ac:dyDescent="0.2">
      <c r="B13" s="160"/>
      <c r="C13" s="160" t="s">
        <v>30</v>
      </c>
      <c r="D13" s="168" t="s">
        <v>22</v>
      </c>
      <c r="E13" s="163" t="s">
        <v>23</v>
      </c>
      <c r="F13" s="169" t="s">
        <v>24</v>
      </c>
      <c r="G13" s="122"/>
      <c r="H13" s="123"/>
      <c r="I13" s="123"/>
      <c r="J13" s="123"/>
      <c r="K13" s="120"/>
      <c r="L13" s="122"/>
      <c r="M13" s="181"/>
      <c r="O13" s="126">
        <v>41913</v>
      </c>
      <c r="P13" s="106">
        <f>IF(B59&lt;&gt;"",B59,"")</f>
        <v>3.1417373903156753</v>
      </c>
    </row>
    <row r="14" spans="2:41" ht="11.1" customHeight="1" x14ac:dyDescent="0.2">
      <c r="B14" s="180"/>
      <c r="C14" s="170"/>
      <c r="D14" s="171">
        <f>2.8*10^(-5)</f>
        <v>2.8E-5</v>
      </c>
      <c r="E14" s="172" t="s">
        <v>27</v>
      </c>
      <c r="F14" s="173" t="s">
        <v>17</v>
      </c>
      <c r="G14" s="119"/>
      <c r="H14" s="119">
        <f>D14*H8/1000*365*IF(H13="-",0,IF(H13="ND",0,H13)*1000)</f>
        <v>0</v>
      </c>
      <c r="I14" s="119">
        <f>D14*I8/1000*365*IF(I13="-",0,IF(I13="ND",0,I13)*1000)</f>
        <v>0</v>
      </c>
      <c r="J14" s="119">
        <f>D14*J8/1000*365*IF(J13="-",0,IF(J13="ND",0,J13)*1000)</f>
        <v>0</v>
      </c>
      <c r="K14" s="119">
        <f>D14*K8/1000*365*IF(K13="-",0,IF(K13="ND",0,K13)*1000)</f>
        <v>0</v>
      </c>
      <c r="L14" s="119"/>
      <c r="M14" s="45">
        <f>SUM(G14:L14)</f>
        <v>0</v>
      </c>
      <c r="O14" s="126">
        <v>41548</v>
      </c>
      <c r="P14" s="106">
        <f>IF(B68&lt;&gt;"",B68,"")</f>
        <v>2.319500079915128</v>
      </c>
    </row>
    <row r="15" spans="2:41" ht="11.1" customHeight="1" x14ac:dyDescent="0.2">
      <c r="B15" s="174" t="s">
        <v>17</v>
      </c>
      <c r="C15" s="160" t="s">
        <v>32</v>
      </c>
      <c r="D15" s="168" t="s">
        <v>22</v>
      </c>
      <c r="E15" s="163" t="s">
        <v>23</v>
      </c>
      <c r="F15" s="175" t="s">
        <v>33</v>
      </c>
      <c r="G15" s="122"/>
      <c r="H15" s="122"/>
      <c r="I15" s="122"/>
      <c r="J15" s="122"/>
      <c r="K15" s="122"/>
      <c r="L15" s="121"/>
      <c r="M15" s="181"/>
      <c r="O15" s="126">
        <v>41183</v>
      </c>
      <c r="P15" s="106">
        <f>IF(B77&lt;&gt;"",B77,"")</f>
        <v>12.193530570365677</v>
      </c>
    </row>
    <row r="16" spans="2:41" ht="11.1" customHeight="1" thickBot="1" x14ac:dyDescent="0.25">
      <c r="B16" s="176"/>
      <c r="C16" s="176"/>
      <c r="D16" s="177">
        <f>1.8*10^(-8)</f>
        <v>1.8000000000000002E-8</v>
      </c>
      <c r="E16" s="178" t="s">
        <v>27</v>
      </c>
      <c r="F16" s="179" t="s">
        <v>17</v>
      </c>
      <c r="G16" s="46"/>
      <c r="H16" s="46"/>
      <c r="I16" s="46"/>
      <c r="J16" s="46"/>
      <c r="K16" s="46"/>
      <c r="L16" s="124">
        <f>D16*L8*365*IF(L15="-",0,IF(L15="ND",0,L15)*1000)</f>
        <v>0</v>
      </c>
      <c r="M16" s="46">
        <f>SUM(G16:L16)</f>
        <v>0</v>
      </c>
      <c r="O16" s="126">
        <v>40817</v>
      </c>
      <c r="P16" s="106"/>
    </row>
    <row r="17" spans="2:19" ht="11.1" customHeight="1" thickTop="1" x14ac:dyDescent="0.2">
      <c r="B17" s="160"/>
      <c r="C17" s="161"/>
      <c r="D17" s="162"/>
      <c r="E17" s="76" t="s">
        <v>106</v>
      </c>
      <c r="F17" s="163" t="s">
        <v>19</v>
      </c>
      <c r="G17" s="164">
        <v>100</v>
      </c>
      <c r="H17" s="165">
        <v>342.9</v>
      </c>
      <c r="I17" s="164">
        <v>200</v>
      </c>
      <c r="J17" s="164">
        <v>20</v>
      </c>
      <c r="K17" s="164">
        <v>40</v>
      </c>
      <c r="L17" s="166">
        <v>2.65</v>
      </c>
      <c r="M17" s="167"/>
      <c r="O17" s="126">
        <v>40452</v>
      </c>
      <c r="P17" s="106"/>
    </row>
    <row r="18" spans="2:19" ht="11.1" customHeight="1" x14ac:dyDescent="0.2">
      <c r="B18" s="160"/>
      <c r="C18" s="160" t="s">
        <v>147</v>
      </c>
      <c r="D18" s="168" t="s">
        <v>22</v>
      </c>
      <c r="E18" s="163" t="s">
        <v>23</v>
      </c>
      <c r="F18" s="169" t="s">
        <v>24</v>
      </c>
      <c r="G18" s="120"/>
      <c r="H18" s="120"/>
      <c r="I18" s="120"/>
      <c r="J18" s="120"/>
      <c r="K18" s="120"/>
      <c r="L18" s="120"/>
      <c r="M18" s="167"/>
      <c r="O18" s="126">
        <v>40087</v>
      </c>
      <c r="P18" s="106">
        <f>IF(B100&lt;&gt;"",B100,"")</f>
        <v>0.135966588</v>
      </c>
    </row>
    <row r="19" spans="2:19" ht="11.1" customHeight="1" x14ac:dyDescent="0.2">
      <c r="B19" s="160"/>
      <c r="C19" s="170"/>
      <c r="D19" s="171">
        <f>1.9*10^(-5)</f>
        <v>1.9000000000000001E-5</v>
      </c>
      <c r="E19" s="172" t="s">
        <v>27</v>
      </c>
      <c r="F19" s="173" t="s">
        <v>17</v>
      </c>
      <c r="G19" s="119">
        <f>D19*G17/1000*365*IF(G18="-",0,IF(G18="ND",0,G18)*1000)</f>
        <v>0</v>
      </c>
      <c r="H19" s="119">
        <f>D19*H17/1000*365*IF(H18="-",0,IF(H18="ND",0,H18)*1000)</f>
        <v>0</v>
      </c>
      <c r="I19" s="119">
        <f>D19*I17/1000*365*IF(I18="-",0,IF(I18="ND",0,I18)*1000)</f>
        <v>0</v>
      </c>
      <c r="J19" s="119">
        <f>D19*J17/1000*365*IF(J18="-",0,IF(J18="ND",0,J18)*1000)</f>
        <v>0</v>
      </c>
      <c r="K19" s="119">
        <f>D19*K17/1000*365*IF(K18="-",0,IF(K18="ND",0,K18)*1000)</f>
        <v>0</v>
      </c>
      <c r="L19" s="119">
        <f>D19*L17*365*IF(L18="-",0,IF(L18="ND",0,L18)*1000)</f>
        <v>0</v>
      </c>
      <c r="M19" s="45">
        <f>SUM(G19:L19)</f>
        <v>0</v>
      </c>
      <c r="O19" s="126">
        <v>39722</v>
      </c>
      <c r="P19" s="106">
        <f>IF(B107&lt;&gt;"",B107,"")</f>
        <v>0.10334610000000001</v>
      </c>
    </row>
    <row r="20" spans="2:19" ht="11.1" customHeight="1" x14ac:dyDescent="0.2">
      <c r="B20" s="160"/>
      <c r="C20" s="160" t="s">
        <v>21</v>
      </c>
      <c r="D20" s="168" t="s">
        <v>22</v>
      </c>
      <c r="E20" s="163" t="s">
        <v>23</v>
      </c>
      <c r="F20" s="169" t="s">
        <v>24</v>
      </c>
      <c r="G20" s="121"/>
      <c r="H20" s="120"/>
      <c r="I20" s="121"/>
      <c r="J20" s="121"/>
      <c r="K20" s="121"/>
      <c r="L20" s="120"/>
      <c r="M20" s="181"/>
      <c r="O20" s="126">
        <v>39356</v>
      </c>
      <c r="P20" s="106">
        <f>IF(B114&lt;&gt;"",B114,"")</f>
        <v>0.11859872000000003</v>
      </c>
    </row>
    <row r="21" spans="2:19" ht="11.1" customHeight="1" x14ac:dyDescent="0.2">
      <c r="B21" s="160" t="s">
        <v>148</v>
      </c>
      <c r="C21" s="170"/>
      <c r="D21" s="171">
        <f>1.3*10^(-5)</f>
        <v>1.3000000000000001E-5</v>
      </c>
      <c r="E21" s="172" t="s">
        <v>27</v>
      </c>
      <c r="F21" s="173" t="s">
        <v>17</v>
      </c>
      <c r="G21" s="119">
        <f>D21*G17/1000*365*IF(G20="-",0,IF(G20="ND",0,G20)*1000)</f>
        <v>0</v>
      </c>
      <c r="H21" s="119">
        <f>D21*H17/1000*365*IF(H20="-",0,IF(H20="ND",0,H20)*1000)</f>
        <v>0</v>
      </c>
      <c r="I21" s="119">
        <f>D21*I17/1000*365*IF(I20="-",0,IF(I20="ND",0,I20)*1000)</f>
        <v>0</v>
      </c>
      <c r="J21" s="119">
        <f>D21*J17/1000*365*IF(J20="-",0,IF(J20="ND",0,J20)*1000)</f>
        <v>0</v>
      </c>
      <c r="K21" s="119">
        <f>D21*K17/1000*365*IF(K20="-",0,IF(K20="ND",0,K20)*1000)</f>
        <v>0</v>
      </c>
      <c r="L21" s="119">
        <f>D21*L17*365*IF(L20="-",0,IF(L20="ND",0,L20)*1000)</f>
        <v>0</v>
      </c>
      <c r="M21" s="45">
        <f>SUM(G21:L21)</f>
        <v>0</v>
      </c>
      <c r="O21" s="126">
        <v>38991</v>
      </c>
      <c r="P21" s="106">
        <f>IF(B121&lt;&gt;"",B121,"")</f>
        <v>0.16650228360000002</v>
      </c>
    </row>
    <row r="22" spans="2:19" ht="11.1" customHeight="1" x14ac:dyDescent="0.2">
      <c r="B22" s="160"/>
      <c r="C22" s="160" t="s">
        <v>30</v>
      </c>
      <c r="D22" s="168" t="s">
        <v>22</v>
      </c>
      <c r="E22" s="163" t="s">
        <v>23</v>
      </c>
      <c r="F22" s="169" t="s">
        <v>24</v>
      </c>
      <c r="G22" s="122"/>
      <c r="H22" s="123"/>
      <c r="I22" s="123"/>
      <c r="J22" s="123"/>
      <c r="K22" s="120"/>
      <c r="L22" s="122"/>
      <c r="M22" s="181"/>
      <c r="O22" s="126">
        <v>38626</v>
      </c>
      <c r="P22" s="106">
        <f>B128</f>
        <v>0.16429978600000003</v>
      </c>
    </row>
    <row r="23" spans="2:19" ht="11.1" customHeight="1" x14ac:dyDescent="0.2">
      <c r="B23" s="180"/>
      <c r="C23" s="170"/>
      <c r="D23" s="171">
        <f>2.8*10^(-5)</f>
        <v>2.8E-5</v>
      </c>
      <c r="E23" s="172" t="s">
        <v>27</v>
      </c>
      <c r="F23" s="173" t="s">
        <v>17</v>
      </c>
      <c r="G23" s="119"/>
      <c r="H23" s="119">
        <f>D23*H17/1000*365*IF(H22="-",0,IF(H22="ND",0,H22)*1000)</f>
        <v>0</v>
      </c>
      <c r="I23" s="119">
        <f>D23*I17/1000*365*IF(I22="-",0,IF(I22="ND",0,I22)*1000)</f>
        <v>0</v>
      </c>
      <c r="J23" s="119">
        <f>D23*J17/1000*365*IF(J22="-",0,IF(J22="ND",0,J22)*1000)</f>
        <v>0</v>
      </c>
      <c r="K23" s="119">
        <f>D23*K17/1000*365*IF(K22="-",0,IF(K22="ND",0,K22)*1000)</f>
        <v>0</v>
      </c>
      <c r="L23" s="119"/>
      <c r="M23" s="45">
        <f>SUM(G23:L23)</f>
        <v>0</v>
      </c>
      <c r="O23" s="126">
        <v>38261</v>
      </c>
      <c r="P23" s="106">
        <f>B135</f>
        <v>0.15323430000000002</v>
      </c>
    </row>
    <row r="24" spans="2:19" ht="11.1" customHeight="1" x14ac:dyDescent="0.2">
      <c r="B24" s="174" t="s">
        <v>17</v>
      </c>
      <c r="C24" s="160" t="s">
        <v>32</v>
      </c>
      <c r="D24" s="168" t="s">
        <v>22</v>
      </c>
      <c r="E24" s="163" t="s">
        <v>23</v>
      </c>
      <c r="F24" s="175" t="s">
        <v>33</v>
      </c>
      <c r="G24" s="122"/>
      <c r="H24" s="122"/>
      <c r="I24" s="122"/>
      <c r="J24" s="122"/>
      <c r="K24" s="122"/>
      <c r="L24" s="121"/>
      <c r="M24" s="181"/>
      <c r="O24" s="126">
        <v>37895</v>
      </c>
      <c r="P24" s="106">
        <f>B142</f>
        <v>0.23050297500000003</v>
      </c>
    </row>
    <row r="25" spans="2:19" ht="11.1" customHeight="1" thickBot="1" x14ac:dyDescent="0.25">
      <c r="B25" s="176"/>
      <c r="C25" s="176"/>
      <c r="D25" s="177">
        <f>1.8*10^(-8)</f>
        <v>1.8000000000000002E-8</v>
      </c>
      <c r="E25" s="178" t="s">
        <v>27</v>
      </c>
      <c r="F25" s="179" t="s">
        <v>17</v>
      </c>
      <c r="G25" s="46"/>
      <c r="H25" s="46"/>
      <c r="I25" s="46"/>
      <c r="J25" s="46"/>
      <c r="K25" s="46"/>
      <c r="L25" s="124">
        <f>D25*L19*365*IF(L24="-",0,IF(L24="ND",0,L24)*1000)</f>
        <v>0</v>
      </c>
      <c r="M25" s="46">
        <f>SUM(G25:L25)</f>
        <v>0</v>
      </c>
      <c r="O25" s="126">
        <v>37530</v>
      </c>
      <c r="P25" s="106">
        <f>B149</f>
        <v>0.19808915000000005</v>
      </c>
    </row>
    <row r="26" spans="2:19" ht="11.1" customHeight="1" thickTop="1" x14ac:dyDescent="0.2">
      <c r="B26" s="160"/>
      <c r="C26" s="161"/>
      <c r="D26" s="162"/>
      <c r="E26" s="76" t="s">
        <v>106</v>
      </c>
      <c r="F26" s="163" t="s">
        <v>19</v>
      </c>
      <c r="G26" s="164">
        <v>100</v>
      </c>
      <c r="H26" s="165">
        <v>342.9</v>
      </c>
      <c r="I26" s="164">
        <v>200</v>
      </c>
      <c r="J26" s="164">
        <v>20</v>
      </c>
      <c r="K26" s="164">
        <v>40</v>
      </c>
      <c r="L26" s="166">
        <v>2.65</v>
      </c>
      <c r="M26" s="167"/>
      <c r="O26" s="126">
        <v>37165</v>
      </c>
      <c r="P26" s="106">
        <f>B156</f>
        <v>0.20469565000000006</v>
      </c>
    </row>
    <row r="27" spans="2:19" ht="11.1" customHeight="1" x14ac:dyDescent="0.2">
      <c r="B27" s="160"/>
      <c r="C27" s="160" t="s">
        <v>147</v>
      </c>
      <c r="D27" s="168" t="s">
        <v>22</v>
      </c>
      <c r="E27" s="163" t="s">
        <v>23</v>
      </c>
      <c r="F27" s="169" t="s">
        <v>24</v>
      </c>
      <c r="G27" s="120"/>
      <c r="H27" s="120"/>
      <c r="I27" s="120"/>
      <c r="J27" s="120"/>
      <c r="K27" s="120"/>
      <c r="L27" s="120"/>
      <c r="M27" s="167"/>
      <c r="O27" s="126">
        <v>36800</v>
      </c>
      <c r="P27" s="106">
        <f>B163</f>
        <v>0.20610455000000005</v>
      </c>
    </row>
    <row r="28" spans="2:19" ht="11.1" customHeight="1" x14ac:dyDescent="0.2">
      <c r="B28" s="160"/>
      <c r="C28" s="170"/>
      <c r="D28" s="171">
        <f>1.9*10^(-5)</f>
        <v>1.9000000000000001E-5</v>
      </c>
      <c r="E28" s="172" t="s">
        <v>27</v>
      </c>
      <c r="F28" s="173" t="s">
        <v>17</v>
      </c>
      <c r="G28" s="119">
        <f>D28*G26/1000*365*IF(G27="-",0,IF(G27="ND",0,G27)*1000)</f>
        <v>0</v>
      </c>
      <c r="H28" s="119">
        <f>D28*H26/1000*365*IF(H27="-",0,IF(H27="ND",0,H27)*1000)</f>
        <v>0</v>
      </c>
      <c r="I28" s="119">
        <f>D28*I26/1000*365*IF(I27="-",0,IF(I27="ND",0,I27)*1000)</f>
        <v>0</v>
      </c>
      <c r="J28" s="119">
        <f>D28*J26/1000*365*IF(J27="-",0,IF(J27="ND",0,J27)*1000)</f>
        <v>0</v>
      </c>
      <c r="K28" s="119">
        <f>D28*K26/1000*365*IF(K27="-",0,IF(K27="ND",0,K27)*1000)</f>
        <v>0</v>
      </c>
      <c r="L28" s="119">
        <f>D28*L26*365*IF(L27="-",0,IF(L27="ND",0,L27)*1000)</f>
        <v>0</v>
      </c>
      <c r="M28" s="45">
        <f>SUM(G28:L28)</f>
        <v>0</v>
      </c>
      <c r="O28" s="126">
        <v>36434</v>
      </c>
      <c r="P28" s="106">
        <f>B170</f>
        <v>0.19431139999999997</v>
      </c>
    </row>
    <row r="29" spans="2:19" ht="11.1" customHeight="1" x14ac:dyDescent="0.2">
      <c r="B29" s="160"/>
      <c r="C29" s="160" t="s">
        <v>21</v>
      </c>
      <c r="D29" s="168" t="s">
        <v>22</v>
      </c>
      <c r="E29" s="163" t="s">
        <v>23</v>
      </c>
      <c r="F29" s="169" t="s">
        <v>24</v>
      </c>
      <c r="G29" s="120">
        <v>7.1999999999999995E-2</v>
      </c>
      <c r="H29" s="120">
        <v>0.06</v>
      </c>
      <c r="I29" s="120">
        <v>0.2</v>
      </c>
      <c r="J29" s="120">
        <v>0.15</v>
      </c>
      <c r="K29" s="120">
        <v>0.05</v>
      </c>
      <c r="L29" s="193">
        <v>1.6999999999999999E-3</v>
      </c>
      <c r="M29" s="181"/>
      <c r="O29" s="126">
        <v>36069</v>
      </c>
      <c r="P29" s="106">
        <f>B177</f>
        <v>0.18101299000000001</v>
      </c>
    </row>
    <row r="30" spans="2:19" ht="11.1" customHeight="1" x14ac:dyDescent="0.2">
      <c r="B30" s="160" t="s">
        <v>149</v>
      </c>
      <c r="C30" s="170"/>
      <c r="D30" s="171">
        <f>1.3*10^(-5)</f>
        <v>1.3000000000000001E-5</v>
      </c>
      <c r="E30" s="172" t="s">
        <v>27</v>
      </c>
      <c r="F30" s="173" t="s">
        <v>17</v>
      </c>
      <c r="G30" s="119">
        <f>D30*G26/1000*365*IF(G29="-",0,IF(G29="ND",0,G29)*1000)</f>
        <v>3.4164000000000007E-2</v>
      </c>
      <c r="H30" s="119">
        <f>D30*H26/1000*365*IF(H29="-",0,IF(H29="ND",0,H29)*1000)</f>
        <v>9.7623630000000017E-2</v>
      </c>
      <c r="I30" s="119">
        <f>D30*I26/1000*365*IF(I29="-",0,IF(I29="ND",0,I29)*1000)</f>
        <v>0.18980000000000002</v>
      </c>
      <c r="J30" s="119">
        <f>D30*J26/1000*365*IF(J29="-",0,IF(J29="ND",0,J29)*1000)</f>
        <v>1.4235000000000003E-2</v>
      </c>
      <c r="K30" s="119">
        <f>D30*K26/1000*365*IF(K29="-",0,IF(K29="ND",0,K29)*1000)</f>
        <v>9.4900000000000019E-3</v>
      </c>
      <c r="L30" s="119">
        <f>D30*L26*365*IF(L29="-",0,IF(L29="ND",0,L29)*1000)</f>
        <v>2.1376225000000002E-2</v>
      </c>
      <c r="M30" s="45">
        <f>SUM(G30:L30)</f>
        <v>0.36668885500000004</v>
      </c>
      <c r="O30" s="126">
        <v>35704</v>
      </c>
      <c r="P30" s="106">
        <f>B184</f>
        <v>0.20238519999999996</v>
      </c>
    </row>
    <row r="31" spans="2:19" ht="11.1" customHeight="1" x14ac:dyDescent="0.2">
      <c r="B31" s="160"/>
      <c r="C31" s="160" t="s">
        <v>30</v>
      </c>
      <c r="D31" s="168" t="s">
        <v>22</v>
      </c>
      <c r="E31" s="163" t="s">
        <v>23</v>
      </c>
      <c r="F31" s="169" t="s">
        <v>24</v>
      </c>
      <c r="G31" s="122"/>
      <c r="H31" s="123"/>
      <c r="I31" s="123"/>
      <c r="J31" s="123"/>
      <c r="K31" s="120"/>
      <c r="L31" s="122"/>
      <c r="M31" s="181"/>
      <c r="O31" s="126">
        <v>35339</v>
      </c>
      <c r="P31" s="106">
        <f>B191</f>
        <v>0.1983994</v>
      </c>
    </row>
    <row r="32" spans="2:19" ht="11.1" customHeight="1" x14ac:dyDescent="0.2">
      <c r="B32" s="180">
        <f>M28+M30+M32+M34</f>
        <v>0.36668885500000004</v>
      </c>
      <c r="C32" s="170"/>
      <c r="D32" s="171">
        <f>2.8*10^(-5)</f>
        <v>2.8E-5</v>
      </c>
      <c r="E32" s="172" t="s">
        <v>27</v>
      </c>
      <c r="F32" s="173" t="s">
        <v>17</v>
      </c>
      <c r="G32" s="119"/>
      <c r="H32" s="119">
        <f>D32*H26/1000*365*IF(H31="-",0,IF(H31="ND",0,H31)*1000)</f>
        <v>0</v>
      </c>
      <c r="I32" s="119">
        <f>D32*I26/1000*365*IF(I31="-",0,IF(I31="ND",0,I31)*1000)</f>
        <v>0</v>
      </c>
      <c r="J32" s="119">
        <f>D32*J26/1000*365*IF(J31="-",0,IF(J31="ND",0,J31)*1000)</f>
        <v>0</v>
      </c>
      <c r="K32" s="119">
        <f>D32*K26/1000*365*IF(K31="-",0,IF(K31="ND",0,K31)*1000)</f>
        <v>0</v>
      </c>
      <c r="L32" s="119"/>
      <c r="M32" s="45">
        <f>SUM(G32:L32)</f>
        <v>0</v>
      </c>
      <c r="O32" s="126">
        <v>34973</v>
      </c>
      <c r="P32" s="106">
        <f>B198</f>
        <v>0.24284910000000001</v>
      </c>
      <c r="S32" s="192" t="s">
        <v>202</v>
      </c>
    </row>
    <row r="33" spans="2:25" ht="11.1" customHeight="1" x14ac:dyDescent="0.2">
      <c r="B33" s="174" t="s">
        <v>17</v>
      </c>
      <c r="C33" s="160" t="s">
        <v>32</v>
      </c>
      <c r="D33" s="168" t="s">
        <v>22</v>
      </c>
      <c r="E33" s="163" t="s">
        <v>23</v>
      </c>
      <c r="F33" s="175" t="s">
        <v>33</v>
      </c>
      <c r="G33" s="122"/>
      <c r="H33" s="122"/>
      <c r="I33" s="122"/>
      <c r="J33" s="122"/>
      <c r="K33" s="122"/>
      <c r="L33" s="121">
        <v>0.4</v>
      </c>
      <c r="M33" s="181"/>
      <c r="O33" s="126">
        <v>34608</v>
      </c>
      <c r="P33" s="106">
        <f>B205</f>
        <v>0.23374965</v>
      </c>
      <c r="S33" s="192" t="s">
        <v>203</v>
      </c>
    </row>
    <row r="34" spans="2:25" ht="11.1" customHeight="1" thickBot="1" x14ac:dyDescent="0.25">
      <c r="B34" s="176"/>
      <c r="C34" s="176"/>
      <c r="D34" s="177">
        <f>1.8*10^(-8)</f>
        <v>1.8000000000000002E-8</v>
      </c>
      <c r="E34" s="178" t="s">
        <v>27</v>
      </c>
      <c r="F34" s="179" t="s">
        <v>17</v>
      </c>
      <c r="G34" s="46"/>
      <c r="H34" s="46"/>
      <c r="I34" s="46"/>
      <c r="J34" s="46"/>
      <c r="K34" s="46"/>
      <c r="L34" s="124">
        <f>D34*L28*365*IF(L33="-",0,IF(L33="ND",0,L33)*1000)</f>
        <v>0</v>
      </c>
      <c r="M34" s="46">
        <f>SUM(G34:L34)</f>
        <v>0</v>
      </c>
      <c r="O34" s="126">
        <v>34243</v>
      </c>
      <c r="P34" s="106">
        <f>B212</f>
        <v>0.25168574999999993</v>
      </c>
      <c r="S34" s="192" t="s">
        <v>204</v>
      </c>
    </row>
    <row r="35" spans="2:25" ht="11.1" customHeight="1" thickTop="1" x14ac:dyDescent="0.2">
      <c r="B35" s="160"/>
      <c r="C35" s="161"/>
      <c r="D35" s="162"/>
      <c r="E35" s="76" t="s">
        <v>106</v>
      </c>
      <c r="F35" s="163" t="s">
        <v>19</v>
      </c>
      <c r="G35" s="164">
        <v>100</v>
      </c>
      <c r="H35" s="165">
        <v>342.9</v>
      </c>
      <c r="I35" s="164">
        <v>200</v>
      </c>
      <c r="J35" s="164">
        <v>20</v>
      </c>
      <c r="K35" s="164">
        <v>40</v>
      </c>
      <c r="L35" s="166">
        <v>2.65</v>
      </c>
      <c r="M35" s="167"/>
      <c r="O35" s="126">
        <v>33878</v>
      </c>
      <c r="P35" s="106">
        <f>B219</f>
        <v>0.32218550000000001</v>
      </c>
      <c r="S35" s="192" t="s">
        <v>205</v>
      </c>
    </row>
    <row r="36" spans="2:25" ht="11.1" customHeight="1" x14ac:dyDescent="0.2">
      <c r="B36" s="160"/>
      <c r="C36" s="160" t="s">
        <v>147</v>
      </c>
      <c r="D36" s="168" t="s">
        <v>22</v>
      </c>
      <c r="E36" s="163" t="s">
        <v>23</v>
      </c>
      <c r="F36" s="169" t="s">
        <v>24</v>
      </c>
      <c r="G36" s="120" t="s">
        <v>140</v>
      </c>
      <c r="H36" s="120">
        <v>1.6E-2</v>
      </c>
      <c r="I36" s="120" t="s">
        <v>140</v>
      </c>
      <c r="J36" s="120">
        <v>7.1999999999999995E-2</v>
      </c>
      <c r="K36" s="120" t="s">
        <v>140</v>
      </c>
      <c r="L36" s="120" t="s">
        <v>140</v>
      </c>
      <c r="M36" s="167"/>
      <c r="O36" s="126">
        <v>33512</v>
      </c>
      <c r="P36" s="106">
        <f>B226</f>
        <v>0.35061899999999985</v>
      </c>
      <c r="S36" s="192" t="s">
        <v>206</v>
      </c>
    </row>
    <row r="37" spans="2:25" ht="11.1" customHeight="1" x14ac:dyDescent="0.2">
      <c r="B37" s="160"/>
      <c r="C37" s="170"/>
      <c r="D37" s="171">
        <f>1.9*10^(-5)</f>
        <v>1.9000000000000001E-5</v>
      </c>
      <c r="E37" s="172" t="s">
        <v>27</v>
      </c>
      <c r="F37" s="173" t="s">
        <v>17</v>
      </c>
      <c r="G37" s="119">
        <f>D37*G35/1000*365*IF(G36="-",0,IF(G36="ND",0,G36)*1000)</f>
        <v>0</v>
      </c>
      <c r="H37" s="119">
        <f>D37*H35/1000*365*IF(H36="-",0,IF(H36="ND",0,H36)*1000)</f>
        <v>3.8048184000000006E-2</v>
      </c>
      <c r="I37" s="119">
        <f>D37*I35/1000*365*IF(I36="-",0,IF(I36="ND",0,I36)*1000)</f>
        <v>0</v>
      </c>
      <c r="J37" s="119">
        <f>D37*J35/1000*365*IF(J36="-",0,IF(J36="ND",0,J36)*1000)</f>
        <v>9.9864000000000012E-3</v>
      </c>
      <c r="K37" s="119">
        <f>D37*K35/1000*365*IF(K36="-",0,IF(K36="ND",0,K36)*1000)</f>
        <v>0</v>
      </c>
      <c r="L37" s="119">
        <f>D37*L35*365*IF(L36="-",0,IF(L36="ND",0,L36)*1000)</f>
        <v>0</v>
      </c>
      <c r="M37" s="45">
        <f>SUM(G37:L37)</f>
        <v>4.8034584000000005E-2</v>
      </c>
      <c r="O37" s="126">
        <v>33147</v>
      </c>
      <c r="P37" s="106">
        <f>B233</f>
        <v>0.43366380000000004</v>
      </c>
      <c r="S37" s="192" t="s">
        <v>207</v>
      </c>
    </row>
    <row r="38" spans="2:25" ht="11.1" customHeight="1" x14ac:dyDescent="0.2">
      <c r="B38" s="160"/>
      <c r="C38" s="160" t="s">
        <v>21</v>
      </c>
      <c r="D38" s="168" t="s">
        <v>22</v>
      </c>
      <c r="E38" s="163" t="s">
        <v>23</v>
      </c>
      <c r="F38" s="169" t="s">
        <v>24</v>
      </c>
      <c r="G38" s="121">
        <v>0.158</v>
      </c>
      <c r="H38" s="120">
        <v>0.112</v>
      </c>
      <c r="I38" s="121">
        <v>0.21</v>
      </c>
      <c r="J38" s="121">
        <v>0.25</v>
      </c>
      <c r="K38" s="121">
        <v>0.15</v>
      </c>
      <c r="L38" s="120">
        <v>3.2000000000000002E-3</v>
      </c>
      <c r="M38" s="181"/>
      <c r="O38" s="126">
        <v>32782</v>
      </c>
      <c r="P38" s="106">
        <f>B240</f>
        <v>0.43050289999999997</v>
      </c>
      <c r="S38" s="192" t="s">
        <v>208</v>
      </c>
    </row>
    <row r="39" spans="2:25" ht="11.1" customHeight="1" x14ac:dyDescent="0.2">
      <c r="B39" s="160" t="s">
        <v>150</v>
      </c>
      <c r="C39" s="170"/>
      <c r="D39" s="171">
        <f>1.3*10^(-5)</f>
        <v>1.3000000000000001E-5</v>
      </c>
      <c r="E39" s="172" t="s">
        <v>27</v>
      </c>
      <c r="F39" s="173" t="s">
        <v>17</v>
      </c>
      <c r="G39" s="119">
        <f>D39*G35/1000*365*IF(G38="-",0,IF(G38="ND",0,G38)*1000)</f>
        <v>7.497100000000001E-2</v>
      </c>
      <c r="H39" s="119">
        <f>D39*H35/1000*365*IF(H38="-",0,IF(H38="ND",0,H38)*1000)</f>
        <v>0.18223077600000004</v>
      </c>
      <c r="I39" s="119">
        <f>D39*I35/1000*365*IF(I38="-",0,IF(I38="ND",0,I38)*1000)</f>
        <v>0.19929000000000005</v>
      </c>
      <c r="J39" s="119">
        <f>D39*J35/1000*365*IF(J38="-",0,IF(J38="ND",0,J38)*1000)</f>
        <v>2.3725000000000003E-2</v>
      </c>
      <c r="K39" s="119">
        <f>D39*K35/1000*365*IF(K38="-",0,IF(K38="ND",0,K38)*1000)</f>
        <v>2.8470000000000006E-2</v>
      </c>
      <c r="L39" s="119">
        <f>D39*L35*365*IF(L38="-",0,IF(L38="ND",0,L38)*1000)</f>
        <v>4.0237600000000012E-2</v>
      </c>
      <c r="M39" s="45">
        <f>SUM(G39:L39)</f>
        <v>0.5489243760000001</v>
      </c>
      <c r="O39" s="126">
        <v>32417</v>
      </c>
      <c r="P39" s="106">
        <f>B247</f>
        <v>0.45478269999999993</v>
      </c>
      <c r="S39" s="192" t="s">
        <v>209</v>
      </c>
    </row>
    <row r="40" spans="2:25" ht="11.1" customHeight="1" x14ac:dyDescent="0.2">
      <c r="B40" s="160"/>
      <c r="C40" s="160" t="s">
        <v>30</v>
      </c>
      <c r="D40" s="168" t="s">
        <v>22</v>
      </c>
      <c r="E40" s="163" t="s">
        <v>23</v>
      </c>
      <c r="F40" s="169" t="s">
        <v>24</v>
      </c>
      <c r="G40" s="122"/>
      <c r="H40" s="123" t="s">
        <v>140</v>
      </c>
      <c r="I40" s="123" t="s">
        <v>140</v>
      </c>
      <c r="J40" s="123" t="s">
        <v>140</v>
      </c>
      <c r="K40" s="120">
        <v>3.5999999999999997E-2</v>
      </c>
      <c r="L40" s="122"/>
      <c r="M40" s="181"/>
      <c r="O40" s="126">
        <v>32051</v>
      </c>
      <c r="P40" s="106">
        <f>B254</f>
        <v>0.60305300000000006</v>
      </c>
      <c r="S40" s="192" t="s">
        <v>210</v>
      </c>
    </row>
    <row r="41" spans="2:25" ht="11.1" customHeight="1" x14ac:dyDescent="0.2">
      <c r="B41" s="180">
        <f>M37+M39+M41+M43</f>
        <v>0.61167576000000012</v>
      </c>
      <c r="C41" s="170"/>
      <c r="D41" s="171">
        <f>2.8*10^(-5)</f>
        <v>2.8E-5</v>
      </c>
      <c r="E41" s="172" t="s">
        <v>27</v>
      </c>
      <c r="F41" s="173" t="s">
        <v>17</v>
      </c>
      <c r="G41" s="119"/>
      <c r="H41" s="119">
        <f>D41*H35/1000*365*IF(H40="-",0,IF(H40="ND",0,H40)*1000)</f>
        <v>0</v>
      </c>
      <c r="I41" s="119">
        <f>D41*I35/1000*365*IF(I40="-",0,IF(I40="ND",0,I40)*1000)</f>
        <v>0</v>
      </c>
      <c r="J41" s="119">
        <f>D41*J35/1000*365*IF(J40="-",0,IF(J40="ND",0,J40)*1000)</f>
        <v>0</v>
      </c>
      <c r="K41" s="119">
        <f>D41*K35/1000*365*IF(K40="-",0,IF(K40="ND",0,K40)*1000)</f>
        <v>1.4716799999999999E-2</v>
      </c>
      <c r="L41" s="119"/>
      <c r="M41" s="45">
        <f>SUM(G41:L41)</f>
        <v>1.4716799999999999E-2</v>
      </c>
      <c r="O41" s="126">
        <v>31686</v>
      </c>
      <c r="P41" s="106">
        <f>B261</f>
        <v>0.60580807407407411</v>
      </c>
      <c r="S41" s="192" t="s">
        <v>211</v>
      </c>
    </row>
    <row r="42" spans="2:25" ht="11.1" customHeight="1" x14ac:dyDescent="0.2">
      <c r="B42" s="174" t="s">
        <v>17</v>
      </c>
      <c r="C42" s="160" t="s">
        <v>32</v>
      </c>
      <c r="D42" s="168" t="s">
        <v>22</v>
      </c>
      <c r="E42" s="163" t="s">
        <v>23</v>
      </c>
      <c r="F42" s="175" t="s">
        <v>33</v>
      </c>
      <c r="G42" s="122"/>
      <c r="H42" s="122"/>
      <c r="I42" s="122"/>
      <c r="J42" s="122"/>
      <c r="K42" s="122"/>
      <c r="L42" s="121">
        <v>0.45</v>
      </c>
      <c r="M42" s="181"/>
      <c r="O42" s="126">
        <v>31321</v>
      </c>
      <c r="P42" s="106">
        <f>B268</f>
        <v>0.6863405925925925</v>
      </c>
      <c r="S42" s="192" t="s">
        <v>212</v>
      </c>
    </row>
    <row r="43" spans="2:25" ht="11.1" customHeight="1" thickBot="1" x14ac:dyDescent="0.25">
      <c r="B43" s="176"/>
      <c r="C43" s="176"/>
      <c r="D43" s="177">
        <f>1.8*10^(-8)</f>
        <v>1.8000000000000002E-8</v>
      </c>
      <c r="E43" s="178" t="s">
        <v>27</v>
      </c>
      <c r="F43" s="179" t="s">
        <v>17</v>
      </c>
      <c r="G43" s="46"/>
      <c r="H43" s="46"/>
      <c r="I43" s="46"/>
      <c r="J43" s="46"/>
      <c r="K43" s="46"/>
      <c r="L43" s="124">
        <f>D43*L37*365*IF(L42="-",0,IF(L42="ND",0,L42)*1000)</f>
        <v>0</v>
      </c>
      <c r="M43" s="46">
        <f>SUM(G43:L43)</f>
        <v>0</v>
      </c>
      <c r="O43" s="126">
        <v>30956</v>
      </c>
      <c r="P43" s="106">
        <f>B275</f>
        <v>1.0211888888888887</v>
      </c>
      <c r="S43" s="192" t="s">
        <v>213</v>
      </c>
    </row>
    <row r="44" spans="2:25" ht="11.1" customHeight="1" thickTop="1" x14ac:dyDescent="0.2">
      <c r="B44" s="160"/>
      <c r="C44" s="161"/>
      <c r="D44" s="162"/>
      <c r="E44" s="76" t="s">
        <v>106</v>
      </c>
      <c r="F44" s="163" t="s">
        <v>19</v>
      </c>
      <c r="G44" s="164">
        <v>100</v>
      </c>
      <c r="H44" s="165">
        <v>359.9</v>
      </c>
      <c r="I44" s="164">
        <v>200</v>
      </c>
      <c r="J44" s="164">
        <v>20</v>
      </c>
      <c r="K44" s="164">
        <v>40</v>
      </c>
      <c r="L44" s="166">
        <v>2.65</v>
      </c>
      <c r="M44" s="167"/>
      <c r="O44" s="126">
        <v>30590</v>
      </c>
      <c r="P44" s="106">
        <f>B282</f>
        <v>0.78488518518518502</v>
      </c>
      <c r="S44" s="192" t="s">
        <v>214</v>
      </c>
    </row>
    <row r="45" spans="2:25" ht="11.1" customHeight="1" x14ac:dyDescent="0.2">
      <c r="B45" s="160"/>
      <c r="C45" s="160" t="s">
        <v>147</v>
      </c>
      <c r="D45" s="168" t="s">
        <v>22</v>
      </c>
      <c r="E45" s="163" t="s">
        <v>23</v>
      </c>
      <c r="F45" s="169" t="s">
        <v>24</v>
      </c>
      <c r="G45" s="120" t="s">
        <v>151</v>
      </c>
      <c r="H45" s="120">
        <v>1.0999999999999999E-2</v>
      </c>
      <c r="I45" s="120">
        <v>4.7E-2</v>
      </c>
      <c r="J45" s="120" t="s">
        <v>140</v>
      </c>
      <c r="K45" s="120" t="s">
        <v>151</v>
      </c>
      <c r="L45" s="120" t="s">
        <v>151</v>
      </c>
      <c r="M45" s="167"/>
      <c r="O45" s="126">
        <v>30225</v>
      </c>
      <c r="P45" s="106">
        <f>B289</f>
        <v>1.0487666666666666</v>
      </c>
    </row>
    <row r="46" spans="2:25" ht="11.1" customHeight="1" x14ac:dyDescent="0.2">
      <c r="B46" s="160"/>
      <c r="C46" s="170"/>
      <c r="D46" s="171">
        <f>1.9*10^(-5)</f>
        <v>1.9000000000000001E-5</v>
      </c>
      <c r="E46" s="172" t="s">
        <v>27</v>
      </c>
      <c r="F46" s="173" t="s">
        <v>17</v>
      </c>
      <c r="G46" s="119">
        <f>D46*G44/1000*365*IF(G45="-",0,IF(G45="ND",0,G45)*1000)</f>
        <v>0</v>
      </c>
      <c r="H46" s="119">
        <f>D46*H44/1000*365*IF(H45="-",0,IF(H45="ND",0,H45)*1000)</f>
        <v>2.7454971499999998E-2</v>
      </c>
      <c r="I46" s="119">
        <f>D46*I44/1000*365*IF(I45="-",0,IF(I45="ND",0,I45)*1000)</f>
        <v>6.5189000000000011E-2</v>
      </c>
      <c r="J46" s="119">
        <f>D46*J44/1000*365*IF(J45="-",0,IF(J45="ND",0,J45)*1000)</f>
        <v>0</v>
      </c>
      <c r="K46" s="119">
        <f>D46*K44/1000*365*IF(K45="-",0,IF(K45="ND",0,K45)*1000)</f>
        <v>0</v>
      </c>
      <c r="L46" s="119">
        <f>D46*L44*365*IF(L45="-",0,IF(L45="ND",0,L45)*1000)</f>
        <v>0</v>
      </c>
      <c r="M46" s="45">
        <f>SUM(G46:L46)</f>
        <v>9.2643971500000005E-2</v>
      </c>
      <c r="O46" s="126">
        <v>29860</v>
      </c>
      <c r="P46" s="106">
        <f>B296</f>
        <v>0.66689555555555557</v>
      </c>
    </row>
    <row r="47" spans="2:25" ht="11.1" customHeight="1" thickBot="1" x14ac:dyDescent="0.25">
      <c r="B47" s="160"/>
      <c r="C47" s="160" t="s">
        <v>21</v>
      </c>
      <c r="D47" s="168" t="s">
        <v>22</v>
      </c>
      <c r="E47" s="163" t="s">
        <v>23</v>
      </c>
      <c r="F47" s="169" t="s">
        <v>24</v>
      </c>
      <c r="G47" s="121">
        <v>6.3E-2</v>
      </c>
      <c r="H47" s="120">
        <v>5.8999999999999997E-2</v>
      </c>
      <c r="I47" s="121">
        <v>0.22</v>
      </c>
      <c r="J47" s="121">
        <v>9.2999999999999999E-2</v>
      </c>
      <c r="K47" s="121">
        <v>5.7000000000000002E-2</v>
      </c>
      <c r="L47" s="120">
        <v>2.5999999999999999E-3</v>
      </c>
      <c r="M47" s="181"/>
    </row>
    <row r="48" spans="2:25" ht="11.1" customHeight="1" thickTop="1" x14ac:dyDescent="0.2">
      <c r="B48" s="160" t="s">
        <v>152</v>
      </c>
      <c r="C48" s="170"/>
      <c r="D48" s="171">
        <f>1.3*10^(-5)</f>
        <v>1.3000000000000001E-5</v>
      </c>
      <c r="E48" s="172" t="s">
        <v>27</v>
      </c>
      <c r="F48" s="173" t="s">
        <v>17</v>
      </c>
      <c r="G48" s="119">
        <f>D48*G44/1000*365*IF(G47="-",0,IF(G47="ND",0,G47)*1000)</f>
        <v>2.9893500000000007E-2</v>
      </c>
      <c r="H48" s="119">
        <f>D48*H44/1000*365*IF(H47="-",0,IF(H47="ND",0,H47)*1000)</f>
        <v>0.10075580449999999</v>
      </c>
      <c r="I48" s="119">
        <f>D48*I44/1000*365*IF(I47="-",0,IF(I47="ND",0,I47)*1000)</f>
        <v>0.20878000000000005</v>
      </c>
      <c r="J48" s="119">
        <f>D48*J44/1000*365*IF(J47="-",0,IF(J47="ND",0,J47)*1000)</f>
        <v>8.8257000000000023E-3</v>
      </c>
      <c r="K48" s="119">
        <f>D48*K44/1000*365*IF(K47="-",0,IF(K47="ND",0,K47)*1000)</f>
        <v>1.0818600000000001E-2</v>
      </c>
      <c r="L48" s="119">
        <f>D48*L44*365*IF(L47="-",0,IF(L47="ND",0,L47)*1000)</f>
        <v>3.2693050000000008E-2</v>
      </c>
      <c r="M48" s="45">
        <f>SUM(G48:L48)</f>
        <v>0.39176665450000009</v>
      </c>
      <c r="O48" s="187" t="s">
        <v>190</v>
      </c>
      <c r="P48" s="107"/>
      <c r="Q48" s="108"/>
      <c r="R48" s="108"/>
      <c r="S48" s="108"/>
      <c r="T48" s="108"/>
      <c r="U48" s="108"/>
      <c r="V48" s="108"/>
      <c r="W48" s="108"/>
      <c r="X48" s="108"/>
      <c r="Y48" s="109"/>
    </row>
    <row r="49" spans="2:25" ht="11.1" customHeight="1" x14ac:dyDescent="0.2">
      <c r="B49" s="160"/>
      <c r="C49" s="160" t="s">
        <v>30</v>
      </c>
      <c r="D49" s="168" t="s">
        <v>22</v>
      </c>
      <c r="E49" s="163" t="s">
        <v>23</v>
      </c>
      <c r="F49" s="169" t="s">
        <v>24</v>
      </c>
      <c r="G49" s="122"/>
      <c r="H49" s="123" t="s">
        <v>151</v>
      </c>
      <c r="I49" s="123" t="s">
        <v>151</v>
      </c>
      <c r="J49" s="123" t="s">
        <v>151</v>
      </c>
      <c r="K49" s="120" t="s">
        <v>140</v>
      </c>
      <c r="L49" s="122"/>
      <c r="M49" s="181"/>
      <c r="O49" s="127" t="s">
        <v>109</v>
      </c>
      <c r="P49" s="183"/>
      <c r="Q49" s="111"/>
      <c r="R49" s="111"/>
      <c r="S49" s="111"/>
      <c r="T49" s="111"/>
      <c r="U49" s="111"/>
      <c r="V49" s="111"/>
      <c r="W49" s="111"/>
      <c r="X49" s="111"/>
      <c r="Y49" s="112"/>
    </row>
    <row r="50" spans="2:25" ht="11.1" customHeight="1" x14ac:dyDescent="0.2">
      <c r="B50" s="180">
        <f>M46+M48+M50+M52</f>
        <v>0.48441062600000007</v>
      </c>
      <c r="C50" s="170"/>
      <c r="D50" s="171">
        <f>2.8*10^(-5)</f>
        <v>2.8E-5</v>
      </c>
      <c r="E50" s="172" t="s">
        <v>27</v>
      </c>
      <c r="F50" s="173" t="s">
        <v>17</v>
      </c>
      <c r="G50" s="119"/>
      <c r="H50" s="119">
        <f>D50*H44/1000*365*IF(H49="-",0,IF(H49="ND",0,H49)*1000)</f>
        <v>0</v>
      </c>
      <c r="I50" s="119">
        <f>D50*I44/1000*365*IF(I49="-",0,IF(I49="ND",0,I49)*1000)</f>
        <v>0</v>
      </c>
      <c r="J50" s="119">
        <f>D50*J44/1000*365*IF(J49="-",0,IF(J49="ND",0,J49)*1000)</f>
        <v>0</v>
      </c>
      <c r="K50" s="119">
        <f>D50*K44/1000*365*IF(K49="-",0,IF(K49="ND",0,K49)*1000)</f>
        <v>0</v>
      </c>
      <c r="L50" s="119"/>
      <c r="M50" s="45">
        <f>SUM(G50:L50)</f>
        <v>0</v>
      </c>
      <c r="O50" s="127" t="s">
        <v>111</v>
      </c>
      <c r="P50" s="183"/>
      <c r="Q50" s="111"/>
      <c r="R50" s="111"/>
      <c r="S50" s="111"/>
      <c r="T50" s="111"/>
      <c r="U50" s="111"/>
      <c r="V50" s="111"/>
      <c r="W50" s="111"/>
      <c r="X50" s="111"/>
      <c r="Y50" s="112"/>
    </row>
    <row r="51" spans="2:25" ht="11.1" customHeight="1" x14ac:dyDescent="0.2">
      <c r="B51" s="174" t="s">
        <v>17</v>
      </c>
      <c r="C51" s="160" t="s">
        <v>32</v>
      </c>
      <c r="D51" s="168" t="s">
        <v>22</v>
      </c>
      <c r="E51" s="163" t="s">
        <v>23</v>
      </c>
      <c r="F51" s="175" t="s">
        <v>33</v>
      </c>
      <c r="G51" s="122"/>
      <c r="H51" s="122"/>
      <c r="I51" s="122"/>
      <c r="J51" s="122"/>
      <c r="K51" s="122"/>
      <c r="L51" s="121">
        <v>0.43</v>
      </c>
      <c r="M51" s="181"/>
      <c r="O51" s="127" t="s">
        <v>135</v>
      </c>
      <c r="P51" s="183"/>
      <c r="Q51" s="111"/>
      <c r="R51" s="111"/>
      <c r="S51" s="111"/>
      <c r="T51" s="111"/>
      <c r="U51" s="111"/>
      <c r="V51" s="111"/>
      <c r="W51" s="111"/>
      <c r="X51" s="111"/>
      <c r="Y51" s="112"/>
    </row>
    <row r="52" spans="2:25" ht="11.1" customHeight="1" thickBot="1" x14ac:dyDescent="0.25">
      <c r="B52" s="176"/>
      <c r="C52" s="176"/>
      <c r="D52" s="177">
        <f>1.8*10^(-8)</f>
        <v>1.8000000000000002E-8</v>
      </c>
      <c r="E52" s="178" t="s">
        <v>27</v>
      </c>
      <c r="F52" s="179" t="s">
        <v>17</v>
      </c>
      <c r="G52" s="46"/>
      <c r="H52" s="46"/>
      <c r="I52" s="46"/>
      <c r="J52" s="46"/>
      <c r="K52" s="46"/>
      <c r="L52" s="124">
        <f>D52*L46*365*IF(L51="-",0,IF(L51="ND",0,L51)*1000)</f>
        <v>0</v>
      </c>
      <c r="M52" s="46">
        <f>SUM(G52:L52)</f>
        <v>0</v>
      </c>
      <c r="O52" s="127" t="s">
        <v>113</v>
      </c>
      <c r="P52" s="183"/>
      <c r="Q52" s="111"/>
      <c r="R52" s="111"/>
      <c r="S52" s="111"/>
      <c r="T52" s="111"/>
      <c r="U52" s="111"/>
      <c r="V52" s="111"/>
      <c r="W52" s="111"/>
      <c r="X52" s="111"/>
      <c r="Y52" s="112"/>
    </row>
    <row r="53" spans="2:25" ht="11.1" customHeight="1" thickTop="1" x14ac:dyDescent="0.2">
      <c r="B53" s="160"/>
      <c r="C53" s="161"/>
      <c r="D53" s="162"/>
      <c r="E53" s="76" t="s">
        <v>106</v>
      </c>
      <c r="F53" s="163" t="s">
        <v>19</v>
      </c>
      <c r="G53" s="164">
        <v>100</v>
      </c>
      <c r="H53" s="165">
        <v>366.9</v>
      </c>
      <c r="I53" s="164">
        <v>200</v>
      </c>
      <c r="J53" s="164">
        <v>20</v>
      </c>
      <c r="K53" s="164">
        <v>40</v>
      </c>
      <c r="L53" s="166">
        <v>2.65</v>
      </c>
      <c r="M53" s="167"/>
      <c r="O53" s="127" t="s">
        <v>115</v>
      </c>
      <c r="P53" s="183"/>
      <c r="Q53" s="111"/>
      <c r="R53" s="111"/>
      <c r="S53" s="111"/>
      <c r="T53" s="111"/>
      <c r="U53" s="111"/>
      <c r="V53" s="111"/>
      <c r="W53" s="111"/>
      <c r="X53" s="111"/>
      <c r="Y53" s="112"/>
    </row>
    <row r="54" spans="2:25" ht="11.1" customHeight="1" x14ac:dyDescent="0.2">
      <c r="B54" s="160"/>
      <c r="C54" s="160" t="s">
        <v>147</v>
      </c>
      <c r="D54" s="168" t="s">
        <v>22</v>
      </c>
      <c r="E54" s="163" t="s">
        <v>23</v>
      </c>
      <c r="F54" s="169" t="s">
        <v>24</v>
      </c>
      <c r="G54" s="120">
        <v>4.3999999999999997E-2</v>
      </c>
      <c r="H54" s="120">
        <v>0.02</v>
      </c>
      <c r="I54" s="120">
        <v>0.02</v>
      </c>
      <c r="J54" s="120">
        <v>4.9000000000000002E-2</v>
      </c>
      <c r="K54" s="120" t="s">
        <v>151</v>
      </c>
      <c r="L54" s="120">
        <v>3.78E-2</v>
      </c>
      <c r="M54" s="167"/>
      <c r="O54" s="127" t="s">
        <v>117</v>
      </c>
      <c r="P54" s="183"/>
      <c r="Q54" s="111"/>
      <c r="R54" s="111"/>
      <c r="S54" s="111"/>
      <c r="T54" s="111"/>
      <c r="U54" s="111"/>
      <c r="V54" s="111"/>
      <c r="W54" s="111"/>
      <c r="X54" s="111"/>
      <c r="Y54" s="112"/>
    </row>
    <row r="55" spans="2:25" ht="11.1" customHeight="1" x14ac:dyDescent="0.2">
      <c r="B55" s="160"/>
      <c r="C55" s="170"/>
      <c r="D55" s="171">
        <f>1.9*10^(-5)</f>
        <v>1.9000000000000001E-5</v>
      </c>
      <c r="E55" s="172" t="s">
        <v>27</v>
      </c>
      <c r="F55" s="173" t="s">
        <v>17</v>
      </c>
      <c r="G55" s="119">
        <f>D55*G53/1000*365*IF(G54="-",0,IF(G54="ND",0,G54)*1000)</f>
        <v>3.0514000000000006E-2</v>
      </c>
      <c r="H55" s="119">
        <f>D55*H53/1000*365*IF(H54="-",0,IF(H54="ND",0,H54)*1000)</f>
        <v>5.0889029999999995E-2</v>
      </c>
      <c r="I55" s="119">
        <f>D55*I53/1000*365*IF(I54="-",0,IF(I54="ND",0,I54)*1000)</f>
        <v>2.7740000000000004E-2</v>
      </c>
      <c r="J55" s="119">
        <f>D55*J53/1000*365*IF(J54="-",0,IF(J54="ND",0,J54)*1000)</f>
        <v>6.7963000000000008E-3</v>
      </c>
      <c r="K55" s="119">
        <f>D55*K53/1000*365*IF(K54="-",0,IF(K54="ND",0,K54)*1000)</f>
        <v>0</v>
      </c>
      <c r="L55" s="119">
        <f>D55*L53*365*IF(L54="-",0,IF(L54="ND",0,L54)*1000)</f>
        <v>0.69467895000000002</v>
      </c>
      <c r="M55" s="45">
        <f>SUM(G55:L55)</f>
        <v>0.81061828000000002</v>
      </c>
      <c r="O55" s="127" t="s">
        <v>118</v>
      </c>
      <c r="P55" s="183"/>
      <c r="Q55" s="111"/>
      <c r="R55" s="111"/>
      <c r="S55" s="111"/>
      <c r="T55" s="111"/>
      <c r="U55" s="111"/>
      <c r="V55" s="111"/>
      <c r="W55" s="111"/>
      <c r="X55" s="111"/>
      <c r="Y55" s="112"/>
    </row>
    <row r="56" spans="2:25" ht="11.1" customHeight="1" x14ac:dyDescent="0.2">
      <c r="B56" s="160"/>
      <c r="C56" s="160" t="s">
        <v>21</v>
      </c>
      <c r="D56" s="168" t="s">
        <v>22</v>
      </c>
      <c r="E56" s="163" t="s">
        <v>23</v>
      </c>
      <c r="F56" s="169" t="s">
        <v>24</v>
      </c>
      <c r="G56" s="121">
        <v>8.1000000000000003E-2</v>
      </c>
      <c r="H56" s="120">
        <v>6.4000000000000001E-2</v>
      </c>
      <c r="I56" s="121">
        <v>0.65</v>
      </c>
      <c r="J56" s="121">
        <v>0.14000000000000001</v>
      </c>
      <c r="K56" s="121">
        <v>9.0999999999999998E-2</v>
      </c>
      <c r="L56" s="120">
        <v>0.12</v>
      </c>
      <c r="M56" s="181"/>
      <c r="O56" s="127" t="s">
        <v>120</v>
      </c>
      <c r="P56" s="183"/>
      <c r="Q56" s="111"/>
      <c r="R56" s="111"/>
      <c r="S56" s="111"/>
      <c r="T56" s="111"/>
      <c r="U56" s="111"/>
      <c r="V56" s="111"/>
      <c r="W56" s="111"/>
      <c r="X56" s="111"/>
      <c r="Y56" s="112"/>
    </row>
    <row r="57" spans="2:25" ht="11.1" customHeight="1" x14ac:dyDescent="0.2">
      <c r="B57" s="160" t="s">
        <v>153</v>
      </c>
      <c r="C57" s="170"/>
      <c r="D57" s="171">
        <f>1.3*10^(-5)</f>
        <v>1.3000000000000001E-5</v>
      </c>
      <c r="E57" s="172" t="s">
        <v>27</v>
      </c>
      <c r="F57" s="173" t="s">
        <v>17</v>
      </c>
      <c r="G57" s="119">
        <f>D57*G53/1000*365*IF(G56="-",0,IF(G56="ND",0,G56)*1000)</f>
        <v>3.843450000000001E-2</v>
      </c>
      <c r="H57" s="119">
        <f>D57*H53/1000*365*IF(H56="-",0,IF(H56="ND",0,H56)*1000)</f>
        <v>0.111420192</v>
      </c>
      <c r="I57" s="119">
        <f>D57*I53/1000*365*IF(I56="-",0,IF(I56="ND",0,I56)*1000)</f>
        <v>0.61685000000000012</v>
      </c>
      <c r="J57" s="119">
        <f>D57*J53/1000*365*IF(J56="-",0,IF(J56="ND",0,J56)*1000)</f>
        <v>1.3286000000000003E-2</v>
      </c>
      <c r="K57" s="119">
        <f>D57*K53/1000*365*IF(K56="-",0,IF(K56="ND",0,K56)*1000)</f>
        <v>1.7271800000000004E-2</v>
      </c>
      <c r="L57" s="119">
        <f>D57*L53*365*IF(L56="-",0,IF(L56="ND",0,L56)*1000)</f>
        <v>1.5089100000000002</v>
      </c>
      <c r="M57" s="45">
        <f>SUM(G57:L57)</f>
        <v>2.3061724920000004</v>
      </c>
      <c r="O57" s="127" t="s">
        <v>121</v>
      </c>
      <c r="P57" s="183"/>
      <c r="Q57" s="111"/>
      <c r="R57" s="111"/>
      <c r="S57" s="111"/>
      <c r="T57" s="111"/>
      <c r="U57" s="111"/>
      <c r="V57" s="111"/>
      <c r="W57" s="111"/>
      <c r="X57" s="111"/>
      <c r="Y57" s="112"/>
    </row>
    <row r="58" spans="2:25" ht="11.1" customHeight="1" x14ac:dyDescent="0.2">
      <c r="B58" s="160"/>
      <c r="C58" s="160" t="s">
        <v>30</v>
      </c>
      <c r="D58" s="168" t="s">
        <v>22</v>
      </c>
      <c r="E58" s="163" t="s">
        <v>23</v>
      </c>
      <c r="F58" s="169" t="s">
        <v>24</v>
      </c>
      <c r="G58" s="122"/>
      <c r="H58" s="123" t="s">
        <v>151</v>
      </c>
      <c r="I58" s="123" t="s">
        <v>151</v>
      </c>
      <c r="J58" s="123" t="s">
        <v>151</v>
      </c>
      <c r="K58" s="120">
        <v>5.6000000000000001E-2</v>
      </c>
      <c r="L58" s="122"/>
      <c r="M58" s="181"/>
      <c r="O58" s="127" t="s">
        <v>122</v>
      </c>
      <c r="P58" s="183"/>
      <c r="Q58" s="111"/>
      <c r="R58" s="111"/>
      <c r="S58" s="111"/>
      <c r="T58" s="111"/>
      <c r="U58" s="111"/>
      <c r="V58" s="111"/>
      <c r="W58" s="111"/>
      <c r="X58" s="111"/>
      <c r="Y58" s="112"/>
    </row>
    <row r="59" spans="2:25" ht="11.1" customHeight="1" x14ac:dyDescent="0.2">
      <c r="B59" s="180">
        <f>M55+M57+M59+M61</f>
        <v>3.1417373903156753</v>
      </c>
      <c r="C59" s="170"/>
      <c r="D59" s="171">
        <f>2.8*10^(-5)</f>
        <v>2.8E-5</v>
      </c>
      <c r="E59" s="172" t="s">
        <v>27</v>
      </c>
      <c r="F59" s="173" t="s">
        <v>17</v>
      </c>
      <c r="G59" s="119"/>
      <c r="H59" s="119">
        <f>D59*H53/1000*365*IF(H58="-",0,IF(H58="ND",0,H58)*1000)</f>
        <v>0</v>
      </c>
      <c r="I59" s="119">
        <f>D59*I53/1000*365*IF(I58="-",0,IF(I58="ND",0,I58)*1000)</f>
        <v>0</v>
      </c>
      <c r="J59" s="119">
        <f>D59*J53/1000*365*IF(J58="-",0,IF(J58="ND",0,J58)*1000)</f>
        <v>0</v>
      </c>
      <c r="K59" s="119">
        <f>D59*K53/1000*365*IF(K58="-",0,IF(K58="ND",0,K58)*1000)</f>
        <v>2.2892799999999998E-2</v>
      </c>
      <c r="L59" s="119"/>
      <c r="M59" s="45">
        <f>SUM(G59:L59)</f>
        <v>2.2892799999999998E-2</v>
      </c>
      <c r="O59" s="127" t="s">
        <v>124</v>
      </c>
      <c r="P59" s="183"/>
      <c r="Q59" s="111"/>
      <c r="R59" s="111"/>
      <c r="S59" s="111"/>
      <c r="T59" s="111"/>
      <c r="U59" s="111"/>
      <c r="V59" s="111"/>
      <c r="W59" s="111"/>
      <c r="X59" s="111"/>
      <c r="Y59" s="112"/>
    </row>
    <row r="60" spans="2:25" ht="11.1" customHeight="1" x14ac:dyDescent="0.2">
      <c r="B60" s="174" t="s">
        <v>17</v>
      </c>
      <c r="C60" s="160" t="s">
        <v>32</v>
      </c>
      <c r="D60" s="168" t="s">
        <v>22</v>
      </c>
      <c r="E60" s="163" t="s">
        <v>23</v>
      </c>
      <c r="F60" s="175" t="s">
        <v>33</v>
      </c>
      <c r="G60" s="122"/>
      <c r="H60" s="122"/>
      <c r="I60" s="122"/>
      <c r="J60" s="122"/>
      <c r="K60" s="122"/>
      <c r="L60" s="121">
        <v>0.45</v>
      </c>
      <c r="M60" s="181"/>
      <c r="O60" s="127" t="s">
        <v>126</v>
      </c>
      <c r="P60" s="183"/>
      <c r="Q60" s="111"/>
      <c r="R60" s="111"/>
      <c r="S60" s="111"/>
      <c r="T60" s="111"/>
      <c r="U60" s="111"/>
      <c r="V60" s="111"/>
      <c r="W60" s="111"/>
      <c r="X60" s="111"/>
      <c r="Y60" s="112"/>
    </row>
    <row r="61" spans="2:25" ht="11.1" customHeight="1" thickBot="1" x14ac:dyDescent="0.25">
      <c r="B61" s="176"/>
      <c r="C61" s="176"/>
      <c r="D61" s="177">
        <f>1.8*10^(-8)</f>
        <v>1.8000000000000002E-8</v>
      </c>
      <c r="E61" s="178" t="s">
        <v>27</v>
      </c>
      <c r="F61" s="179" t="s">
        <v>17</v>
      </c>
      <c r="G61" s="46"/>
      <c r="H61" s="46"/>
      <c r="I61" s="46"/>
      <c r="J61" s="46"/>
      <c r="K61" s="46"/>
      <c r="L61" s="124">
        <f>D61*L55*365*IF(L60="-",0,IF(L60="ND",0,L60)*1000)</f>
        <v>2.0538183156750003E-3</v>
      </c>
      <c r="M61" s="46">
        <f>SUM(G61:L61)</f>
        <v>2.0538183156750003E-3</v>
      </c>
      <c r="O61" s="127" t="s">
        <v>127</v>
      </c>
      <c r="P61" s="183"/>
      <c r="Q61" s="111"/>
      <c r="R61" s="111"/>
      <c r="S61" s="111"/>
      <c r="T61" s="111"/>
      <c r="U61" s="111"/>
      <c r="V61" s="111"/>
      <c r="W61" s="111"/>
      <c r="X61" s="111"/>
      <c r="Y61" s="112"/>
    </row>
    <row r="62" spans="2:25" ht="11.1" customHeight="1" thickTop="1" x14ac:dyDescent="0.2">
      <c r="B62" s="160"/>
      <c r="C62" s="161"/>
      <c r="D62" s="162"/>
      <c r="E62" s="76" t="s">
        <v>106</v>
      </c>
      <c r="F62" s="163" t="s">
        <v>19</v>
      </c>
      <c r="G62" s="164">
        <v>100</v>
      </c>
      <c r="H62" s="165">
        <v>360</v>
      </c>
      <c r="I62" s="164">
        <v>200</v>
      </c>
      <c r="J62" s="164">
        <v>20</v>
      </c>
      <c r="K62" s="164">
        <v>40</v>
      </c>
      <c r="L62" s="166">
        <v>2.65</v>
      </c>
      <c r="M62" s="167"/>
      <c r="O62" s="128"/>
      <c r="P62" s="183"/>
      <c r="Q62" s="111"/>
      <c r="R62" s="111"/>
      <c r="S62" s="111"/>
      <c r="T62" s="111"/>
      <c r="U62" s="111"/>
      <c r="V62" s="111"/>
      <c r="W62" s="111"/>
      <c r="X62" s="111"/>
      <c r="Y62" s="112"/>
    </row>
    <row r="63" spans="2:25" ht="11.1" customHeight="1" x14ac:dyDescent="0.2">
      <c r="B63" s="160"/>
      <c r="C63" s="160" t="s">
        <v>147</v>
      </c>
      <c r="D63" s="168" t="s">
        <v>22</v>
      </c>
      <c r="E63" s="163" t="s">
        <v>23</v>
      </c>
      <c r="F63" s="169" t="s">
        <v>24</v>
      </c>
      <c r="G63" s="120">
        <v>9.1999999999999998E-2</v>
      </c>
      <c r="H63" s="120">
        <v>8.2000000000000003E-2</v>
      </c>
      <c r="I63" s="120">
        <v>0.27</v>
      </c>
      <c r="J63" s="120">
        <v>0.65</v>
      </c>
      <c r="K63" s="120">
        <v>0.28999999999999998</v>
      </c>
      <c r="L63" s="120">
        <v>3.7000000000000002E-3</v>
      </c>
      <c r="M63" s="167"/>
      <c r="O63" s="129" t="s">
        <v>129</v>
      </c>
      <c r="P63" s="184"/>
      <c r="Q63" s="111"/>
      <c r="R63" s="111"/>
      <c r="S63" s="111"/>
      <c r="T63" s="111"/>
      <c r="U63" s="111"/>
      <c r="V63" s="111"/>
      <c r="W63" s="111"/>
      <c r="X63" s="111"/>
      <c r="Y63" s="112"/>
    </row>
    <row r="64" spans="2:25" ht="11.1" customHeight="1" x14ac:dyDescent="0.2">
      <c r="B64" s="160"/>
      <c r="C64" s="170"/>
      <c r="D64" s="171">
        <f>1.9*10^(-5)</f>
        <v>1.9000000000000001E-5</v>
      </c>
      <c r="E64" s="172" t="s">
        <v>27</v>
      </c>
      <c r="F64" s="173" t="s">
        <v>17</v>
      </c>
      <c r="G64" s="119">
        <f>D64*G62/1000*365*IF(G63="-",0,IF(G63="ND",0,G63)*1000)</f>
        <v>6.3802000000000011E-2</v>
      </c>
      <c r="H64" s="119">
        <f>D64*H62/1000*365*IF(H63="-",0,IF(H63="ND",0,H63)*1000)</f>
        <v>0.20472120000000002</v>
      </c>
      <c r="I64" s="119">
        <f>D64*I62/1000*365*IF(I63="-",0,IF(I63="ND",0,I63)*1000)</f>
        <v>0.37449000000000005</v>
      </c>
      <c r="J64" s="119">
        <f>D64*J62/1000*365*IF(J63="-",0,IF(J63="ND",0,J63)*1000)</f>
        <v>9.0155000000000013E-2</v>
      </c>
      <c r="K64" s="119">
        <f>D64*K62/1000*365*IF(K63="-",0,IF(K63="ND",0,K63)*1000)</f>
        <v>8.0446000000000004E-2</v>
      </c>
      <c r="L64" s="119">
        <f>D64*L62*365*IF(L63="-",0,IF(L63="ND",0,L63)*1000)</f>
        <v>6.7997675000000007E-2</v>
      </c>
      <c r="M64" s="45">
        <f>SUM(G64:L64)</f>
        <v>0.88161187500000004</v>
      </c>
      <c r="O64" s="129" t="s">
        <v>130</v>
      </c>
      <c r="P64" s="184"/>
      <c r="Q64" s="111"/>
      <c r="R64" s="111"/>
      <c r="S64" s="111"/>
      <c r="T64" s="111"/>
      <c r="U64" s="111"/>
      <c r="V64" s="111"/>
      <c r="W64" s="111"/>
      <c r="X64" s="111"/>
      <c r="Y64" s="112"/>
    </row>
    <row r="65" spans="2:25" ht="11.1" customHeight="1" x14ac:dyDescent="0.2">
      <c r="B65" s="160"/>
      <c r="C65" s="160" t="s">
        <v>21</v>
      </c>
      <c r="D65" s="168" t="s">
        <v>22</v>
      </c>
      <c r="E65" s="163" t="s">
        <v>23</v>
      </c>
      <c r="F65" s="169" t="s">
        <v>24</v>
      </c>
      <c r="G65" s="121">
        <v>0.21</v>
      </c>
      <c r="H65" s="120">
        <v>0.214</v>
      </c>
      <c r="I65" s="121">
        <v>0.6</v>
      </c>
      <c r="J65" s="121">
        <v>1.49</v>
      </c>
      <c r="K65" s="121">
        <v>0.63</v>
      </c>
      <c r="L65" s="120">
        <v>0.01</v>
      </c>
      <c r="M65" s="181"/>
      <c r="O65" s="129" t="s">
        <v>131</v>
      </c>
      <c r="P65" s="184"/>
      <c r="Q65" s="111"/>
      <c r="R65" s="111"/>
      <c r="S65" s="111"/>
      <c r="T65" s="111"/>
      <c r="U65" s="111"/>
      <c r="V65" s="111"/>
      <c r="W65" s="111"/>
      <c r="X65" s="111"/>
      <c r="Y65" s="112"/>
    </row>
    <row r="66" spans="2:25" ht="11.1" customHeight="1" x14ac:dyDescent="0.2">
      <c r="B66" s="160" t="s">
        <v>154</v>
      </c>
      <c r="C66" s="170"/>
      <c r="D66" s="171">
        <f>1.3*10^(-5)</f>
        <v>1.3000000000000001E-5</v>
      </c>
      <c r="E66" s="172" t="s">
        <v>27</v>
      </c>
      <c r="F66" s="173" t="s">
        <v>17</v>
      </c>
      <c r="G66" s="119">
        <f>D66*G62/1000*365*IF(G65="-",0,IF(G65="ND",0,G65)*1000)</f>
        <v>9.9645000000000025E-2</v>
      </c>
      <c r="H66" s="119">
        <f>D66*H62/1000*365*IF(H65="-",0,IF(H65="ND",0,H65)*1000)</f>
        <v>0.36555480000000001</v>
      </c>
      <c r="I66" s="119">
        <f>D66*I62/1000*365*IF(I65="-",0,IF(I65="ND",0,I65)*1000)</f>
        <v>0.56940000000000013</v>
      </c>
      <c r="J66" s="119">
        <f>D66*J62/1000*365*IF(J65="-",0,IF(J65="ND",0,J65)*1000)</f>
        <v>0.14140100000000003</v>
      </c>
      <c r="K66" s="119">
        <f>D66*K62/1000*365*IF(K65="-",0,IF(K65="ND",0,K65)*1000)</f>
        <v>0.11957400000000003</v>
      </c>
      <c r="L66" s="119">
        <f>D66*L62*365*IF(L65="-",0,IF(L65="ND",0,L65)*1000)</f>
        <v>0.12574250000000003</v>
      </c>
      <c r="M66" s="45">
        <f>SUM(G66:L66)</f>
        <v>1.4213173000000003</v>
      </c>
      <c r="O66" s="130"/>
      <c r="P66" s="113"/>
      <c r="Q66" s="111"/>
      <c r="R66" s="111"/>
      <c r="S66" s="111"/>
      <c r="T66" s="111"/>
      <c r="U66" s="111"/>
      <c r="V66" s="111"/>
      <c r="W66" s="111"/>
      <c r="X66" s="111"/>
      <c r="Y66" s="112"/>
    </row>
    <row r="67" spans="2:25" ht="11.1" customHeight="1" x14ac:dyDescent="0.2">
      <c r="B67" s="160"/>
      <c r="C67" s="160" t="s">
        <v>30</v>
      </c>
      <c r="D67" s="168" t="s">
        <v>22</v>
      </c>
      <c r="E67" s="163" t="s">
        <v>23</v>
      </c>
      <c r="F67" s="169" t="s">
        <v>24</v>
      </c>
      <c r="G67" s="122"/>
      <c r="H67" s="123" t="s">
        <v>151</v>
      </c>
      <c r="I67" s="123" t="s">
        <v>151</v>
      </c>
      <c r="J67" s="123" t="s">
        <v>151</v>
      </c>
      <c r="K67" s="120">
        <v>0.04</v>
      </c>
      <c r="L67" s="122"/>
      <c r="M67" s="181"/>
      <c r="O67" s="130"/>
      <c r="P67" s="113"/>
      <c r="Q67" s="111"/>
      <c r="R67" s="111"/>
      <c r="S67" s="111"/>
      <c r="T67" s="111"/>
      <c r="U67" s="111"/>
      <c r="V67" s="111"/>
      <c r="W67" s="111"/>
      <c r="X67" s="111"/>
      <c r="Y67" s="112"/>
    </row>
    <row r="68" spans="2:25" ht="11.1" customHeight="1" x14ac:dyDescent="0.2">
      <c r="B68" s="180">
        <f>M64+M66+M68+M70</f>
        <v>2.319500079915128</v>
      </c>
      <c r="C68" s="170"/>
      <c r="D68" s="171">
        <f>2.8*10^(-5)</f>
        <v>2.8E-5</v>
      </c>
      <c r="E68" s="172" t="s">
        <v>27</v>
      </c>
      <c r="F68" s="173" t="s">
        <v>17</v>
      </c>
      <c r="G68" s="119"/>
      <c r="H68" s="119">
        <f>D68*H62/1000*365*IF(H67="-",IF(H67="ND",0,H67))*1000</f>
        <v>0</v>
      </c>
      <c r="I68" s="119">
        <f>D68*I62/1000*365*IF(I67="-",0,IF(I67="ND",0,I67)*1000)</f>
        <v>0</v>
      </c>
      <c r="J68" s="119">
        <f>D68*J62/1000*365*IF(J67="-",0,IF(J67="ND",0,J67)*1000)</f>
        <v>0</v>
      </c>
      <c r="K68" s="119">
        <f>D68*K62/1000*365*IF(K67="-",0,IF(K67="ND",0,K67)*1000)</f>
        <v>1.6351999999999998E-2</v>
      </c>
      <c r="L68" s="119"/>
      <c r="M68" s="45">
        <f>SUM(G68:L68)</f>
        <v>1.6351999999999998E-2</v>
      </c>
      <c r="O68" s="130"/>
      <c r="P68" s="113"/>
      <c r="Q68" s="111"/>
      <c r="R68" s="111"/>
      <c r="S68" s="111"/>
      <c r="T68" s="111"/>
      <c r="U68" s="111"/>
      <c r="V68" s="111"/>
      <c r="W68" s="111"/>
      <c r="X68" s="111"/>
      <c r="Y68" s="112"/>
    </row>
    <row r="69" spans="2:25" ht="11.1" customHeight="1" x14ac:dyDescent="0.2">
      <c r="B69" s="174" t="s">
        <v>17</v>
      </c>
      <c r="C69" s="160" t="s">
        <v>32</v>
      </c>
      <c r="D69" s="168" t="s">
        <v>22</v>
      </c>
      <c r="E69" s="163" t="s">
        <v>23</v>
      </c>
      <c r="F69" s="175" t="s">
        <v>33</v>
      </c>
      <c r="G69" s="122"/>
      <c r="H69" s="122"/>
      <c r="I69" s="122"/>
      <c r="J69" s="122"/>
      <c r="K69" s="122"/>
      <c r="L69" s="121">
        <v>0.49</v>
      </c>
      <c r="M69" s="181"/>
      <c r="O69" s="129" t="s">
        <v>105</v>
      </c>
      <c r="P69" s="185"/>
      <c r="Q69" s="94"/>
      <c r="R69" s="87"/>
      <c r="S69" s="87"/>
      <c r="T69" s="86"/>
      <c r="U69" s="87"/>
      <c r="V69" s="87"/>
      <c r="W69" s="87"/>
      <c r="X69" s="87"/>
      <c r="Y69" s="88"/>
    </row>
    <row r="70" spans="2:25" ht="11.1" customHeight="1" thickBot="1" x14ac:dyDescent="0.25">
      <c r="B70" s="176"/>
      <c r="C70" s="176"/>
      <c r="D70" s="177">
        <f>1.8*10^(-8)</f>
        <v>1.8000000000000002E-8</v>
      </c>
      <c r="E70" s="178" t="s">
        <v>27</v>
      </c>
      <c r="F70" s="179" t="s">
        <v>17</v>
      </c>
      <c r="G70" s="46"/>
      <c r="H70" s="46"/>
      <c r="I70" s="46"/>
      <c r="J70" s="46"/>
      <c r="K70" s="46"/>
      <c r="L70" s="124">
        <f>D70*L64*365*IF(L69="-",0,IF(L69="ND",0,L69)*1000)</f>
        <v>2.1890491512750003E-4</v>
      </c>
      <c r="M70" s="46">
        <f>SUM(G70:L70)</f>
        <v>2.1890491512750003E-4</v>
      </c>
      <c r="O70" s="129" t="s">
        <v>91</v>
      </c>
      <c r="P70" s="185"/>
      <c r="Q70" s="94"/>
      <c r="R70" s="85"/>
      <c r="S70" s="85"/>
      <c r="T70" s="86"/>
      <c r="U70" s="87"/>
      <c r="V70" s="87"/>
      <c r="W70" s="87"/>
      <c r="X70" s="87"/>
      <c r="Y70" s="88"/>
    </row>
    <row r="71" spans="2:25" ht="11.1" customHeight="1" thickTop="1" x14ac:dyDescent="0.2">
      <c r="B71" s="160"/>
      <c r="C71" s="161"/>
      <c r="D71" s="162"/>
      <c r="E71" s="76" t="s">
        <v>106</v>
      </c>
      <c r="F71" s="163" t="s">
        <v>19</v>
      </c>
      <c r="G71" s="164">
        <v>100</v>
      </c>
      <c r="H71" s="165">
        <v>348.3</v>
      </c>
      <c r="I71" s="164">
        <v>200</v>
      </c>
      <c r="J71" s="164">
        <v>20</v>
      </c>
      <c r="K71" s="164">
        <v>40</v>
      </c>
      <c r="L71" s="166">
        <v>2.65</v>
      </c>
      <c r="M71" s="167"/>
      <c r="O71" s="129" t="s">
        <v>92</v>
      </c>
      <c r="P71" s="185"/>
      <c r="Q71" s="94"/>
      <c r="R71" s="85"/>
      <c r="S71" s="85"/>
      <c r="T71" s="86"/>
      <c r="U71" s="87"/>
      <c r="V71" s="87"/>
      <c r="W71" s="87"/>
      <c r="X71" s="87"/>
      <c r="Y71" s="88"/>
    </row>
    <row r="72" spans="2:25" ht="11.1" customHeight="1" x14ac:dyDescent="0.2">
      <c r="B72" s="160"/>
      <c r="C72" s="160" t="s">
        <v>147</v>
      </c>
      <c r="D72" s="168" t="s">
        <v>22</v>
      </c>
      <c r="E72" s="163" t="s">
        <v>23</v>
      </c>
      <c r="F72" s="169" t="s">
        <v>24</v>
      </c>
      <c r="G72" s="120">
        <v>0.63</v>
      </c>
      <c r="H72" s="120">
        <v>9.8000000000000004E-2</v>
      </c>
      <c r="I72" s="120">
        <v>1.19</v>
      </c>
      <c r="J72" s="120">
        <v>0.99</v>
      </c>
      <c r="K72" s="120">
        <v>0.8</v>
      </c>
      <c r="L72" s="120">
        <v>0.151</v>
      </c>
      <c r="M72" s="167"/>
      <c r="O72" s="129" t="s">
        <v>93</v>
      </c>
      <c r="P72" s="185"/>
      <c r="Q72" s="94"/>
      <c r="R72" s="85"/>
      <c r="S72" s="85"/>
      <c r="T72" s="86"/>
      <c r="U72" s="87"/>
      <c r="V72" s="87"/>
      <c r="W72" s="87"/>
      <c r="X72" s="87"/>
      <c r="Y72" s="88"/>
    </row>
    <row r="73" spans="2:25" ht="11.1" customHeight="1" x14ac:dyDescent="0.2">
      <c r="B73" s="160"/>
      <c r="C73" s="170"/>
      <c r="D73" s="171">
        <f>1.9*10^(-5)</f>
        <v>1.9000000000000001E-5</v>
      </c>
      <c r="E73" s="172" t="s">
        <v>27</v>
      </c>
      <c r="F73" s="173" t="s">
        <v>17</v>
      </c>
      <c r="G73" s="119">
        <f>D73*G71/1000*365*IF(G72="-",0,IF(G72="ND",0,G72)*1000)</f>
        <v>0.43690500000000004</v>
      </c>
      <c r="H73" s="119">
        <f>D73*H71/1000*365*IF(H72="-",0,IF(H72="ND",0,H72)*1000)</f>
        <v>0.23671512900000005</v>
      </c>
      <c r="I73" s="119">
        <f>D73*I71/1000*365*IF(I72="-",0,IF(I72="ND",0,I72)*1000)</f>
        <v>1.6505300000000003</v>
      </c>
      <c r="J73" s="119">
        <f>D73*J71/1000*365*IF(J72="-",0,IF(J72="ND",0,J72)*1000)</f>
        <v>0.13731300000000002</v>
      </c>
      <c r="K73" s="119">
        <f>D73*K71/1000*365*IF(K72="-",0,IF(K72="ND",0,K72)*1000)</f>
        <v>0.22192000000000001</v>
      </c>
      <c r="L73" s="119">
        <f>D73*L71*365*IF(L72="-",0,IF(L72="ND",0,L72)*1000)</f>
        <v>2.7750402500000004</v>
      </c>
      <c r="M73" s="45">
        <f>SUM(G73:L73)</f>
        <v>5.458423379000001</v>
      </c>
      <c r="O73" s="129" t="s">
        <v>94</v>
      </c>
      <c r="P73" s="185"/>
      <c r="Q73" s="94"/>
      <c r="R73" s="85"/>
      <c r="S73" s="85"/>
      <c r="T73" s="86"/>
      <c r="U73" s="87"/>
      <c r="V73" s="87"/>
      <c r="W73" s="87"/>
      <c r="X73" s="87"/>
      <c r="Y73" s="88"/>
    </row>
    <row r="74" spans="2:25" ht="11.1" customHeight="1" x14ac:dyDescent="0.2">
      <c r="B74" s="160"/>
      <c r="C74" s="160" t="s">
        <v>21</v>
      </c>
      <c r="D74" s="168" t="s">
        <v>22</v>
      </c>
      <c r="E74" s="163" t="s">
        <v>23</v>
      </c>
      <c r="F74" s="169" t="s">
        <v>24</v>
      </c>
      <c r="G74" s="121">
        <v>1.1100000000000001</v>
      </c>
      <c r="H74" s="120">
        <v>0.184</v>
      </c>
      <c r="I74" s="121">
        <v>2.0499999999999998</v>
      </c>
      <c r="J74" s="121">
        <v>1.66</v>
      </c>
      <c r="K74" s="121">
        <v>1.26</v>
      </c>
      <c r="L74" s="120">
        <v>0.28199999999999997</v>
      </c>
      <c r="M74" s="181"/>
      <c r="O74" s="129" t="s">
        <v>95</v>
      </c>
      <c r="P74" s="185"/>
      <c r="Q74" s="94"/>
      <c r="R74" s="85"/>
      <c r="S74" s="85"/>
      <c r="T74" s="86"/>
      <c r="U74" s="87"/>
      <c r="V74" s="87"/>
      <c r="W74" s="87"/>
      <c r="X74" s="87"/>
      <c r="Y74" s="88"/>
    </row>
    <row r="75" spans="2:25" ht="11.1" customHeight="1" x14ac:dyDescent="0.2">
      <c r="B75" s="160" t="s">
        <v>155</v>
      </c>
      <c r="C75" s="170"/>
      <c r="D75" s="171">
        <f>1.3*10^(-5)</f>
        <v>1.3000000000000001E-5</v>
      </c>
      <c r="E75" s="172" t="s">
        <v>27</v>
      </c>
      <c r="F75" s="173" t="s">
        <v>17</v>
      </c>
      <c r="G75" s="119">
        <f>D75*G71/1000*365*IF(G74="-",0,IF(G74="ND",0,G74)*1000)</f>
        <v>0.52669500000000014</v>
      </c>
      <c r="H75" s="119">
        <f>D75*H71/1000*365*IF(H74="-",0,IF(H74="ND",0,H74)*1000)</f>
        <v>0.30409376399999999</v>
      </c>
      <c r="I75" s="119">
        <f>D75*I71/1000*365*IF(I74="-",0,IF(I74="ND",0,I74)*1000)</f>
        <v>1.9454500000000003</v>
      </c>
      <c r="J75" s="119">
        <f>D75*J71/1000*365*IF(J74="-",0,IF(J74="ND",0,J74)*1000)</f>
        <v>0.15753400000000004</v>
      </c>
      <c r="K75" s="119">
        <f>D75*K71/1000*365*IF(K74="-",0,IF(K74="ND",0,K74)*1000)</f>
        <v>0.23914800000000005</v>
      </c>
      <c r="L75" s="119">
        <f>D75*L71*365*IF(L74="-",0,IF(L74="ND",0,L74)*1000)</f>
        <v>3.5459385000000005</v>
      </c>
      <c r="M75" s="45">
        <f>SUM(G75:L75)</f>
        <v>6.7188592640000007</v>
      </c>
      <c r="O75" s="129" t="s">
        <v>132</v>
      </c>
      <c r="P75" s="185"/>
      <c r="Q75" s="94"/>
      <c r="R75" s="85"/>
      <c r="S75" s="85"/>
      <c r="T75" s="86"/>
      <c r="U75" s="87"/>
      <c r="V75" s="87"/>
      <c r="W75" s="87"/>
      <c r="X75" s="87"/>
      <c r="Y75" s="88"/>
    </row>
    <row r="76" spans="2:25" ht="11.1" customHeight="1" x14ac:dyDescent="0.2">
      <c r="B76" s="160"/>
      <c r="C76" s="160" t="s">
        <v>30</v>
      </c>
      <c r="D76" s="168" t="s">
        <v>22</v>
      </c>
      <c r="E76" s="163" t="s">
        <v>23</v>
      </c>
      <c r="F76" s="169" t="s">
        <v>24</v>
      </c>
      <c r="G76" s="122"/>
      <c r="H76" s="123" t="s">
        <v>151</v>
      </c>
      <c r="I76" s="123" t="s">
        <v>151</v>
      </c>
      <c r="J76" s="123">
        <v>3.4000000000000002E-2</v>
      </c>
      <c r="K76" s="120" t="s">
        <v>90</v>
      </c>
      <c r="L76" s="122"/>
      <c r="M76" s="181"/>
      <c r="O76" s="129" t="s">
        <v>96</v>
      </c>
      <c r="P76" s="185"/>
      <c r="Q76" s="94"/>
      <c r="R76" s="85"/>
      <c r="S76" s="85"/>
      <c r="T76" s="86"/>
      <c r="U76" s="87"/>
      <c r="V76" s="87"/>
      <c r="W76" s="87"/>
      <c r="X76" s="87"/>
      <c r="Y76" s="88"/>
    </row>
    <row r="77" spans="2:25" ht="11.1" customHeight="1" x14ac:dyDescent="0.2">
      <c r="B77" s="180">
        <f>M73+M75+M77+M79</f>
        <v>12.193530570365677</v>
      </c>
      <c r="C77" s="170"/>
      <c r="D77" s="171">
        <f>2.8*10^(-5)</f>
        <v>2.8E-5</v>
      </c>
      <c r="E77" s="172" t="s">
        <v>27</v>
      </c>
      <c r="F77" s="173" t="s">
        <v>17</v>
      </c>
      <c r="G77" s="119"/>
      <c r="H77" s="119">
        <f>D77*H71/1000*365*IF(H76="-",0,IF(H76="ND",0,H76)*1000)</f>
        <v>0</v>
      </c>
      <c r="I77" s="119">
        <f>D77*I71/1000*365*IF(I76="-",0,IF(I76="ND",0,I76)*1000)</f>
        <v>0</v>
      </c>
      <c r="J77" s="119">
        <f>D77*J71/1000*365*IF(J76="-",0,IF(J76="ND",0,J76)*1000)</f>
        <v>6.9495999999999994E-3</v>
      </c>
      <c r="K77" s="119">
        <f>D77*K71/1000*365*IF(K76="-",0,IF(K76="ND",0,K76)*1000)</f>
        <v>0</v>
      </c>
      <c r="L77" s="119"/>
      <c r="M77" s="45">
        <f>SUM(G77:L77)</f>
        <v>6.9495999999999994E-3</v>
      </c>
      <c r="O77" s="129" t="s">
        <v>133</v>
      </c>
      <c r="P77" s="185"/>
      <c r="Q77" s="94"/>
      <c r="R77" s="85"/>
      <c r="S77" s="85"/>
      <c r="T77" s="86"/>
      <c r="U77" s="87"/>
      <c r="V77" s="87"/>
      <c r="W77" s="87"/>
      <c r="X77" s="87"/>
      <c r="Y77" s="88"/>
    </row>
    <row r="78" spans="2:25" ht="11.1" customHeight="1" x14ac:dyDescent="0.2">
      <c r="B78" s="174" t="s">
        <v>17</v>
      </c>
      <c r="C78" s="160" t="s">
        <v>32</v>
      </c>
      <c r="D78" s="168" t="s">
        <v>22</v>
      </c>
      <c r="E78" s="163" t="s">
        <v>23</v>
      </c>
      <c r="F78" s="175" t="s">
        <v>33</v>
      </c>
      <c r="G78" s="122"/>
      <c r="H78" s="122"/>
      <c r="I78" s="122"/>
      <c r="J78" s="122"/>
      <c r="K78" s="122"/>
      <c r="L78" s="121">
        <v>0.51</v>
      </c>
      <c r="M78" s="181"/>
      <c r="O78" s="129" t="s">
        <v>97</v>
      </c>
      <c r="P78" s="185"/>
      <c r="Q78" s="94"/>
      <c r="R78" s="85"/>
      <c r="S78" s="85"/>
      <c r="T78" s="86"/>
      <c r="U78" s="87"/>
      <c r="V78" s="87"/>
      <c r="W78" s="87"/>
      <c r="X78" s="87"/>
      <c r="Y78" s="88"/>
    </row>
    <row r="79" spans="2:25" ht="11.1" customHeight="1" thickBot="1" x14ac:dyDescent="0.25">
      <c r="B79" s="176"/>
      <c r="C79" s="176"/>
      <c r="D79" s="177">
        <f>1.8*10^(-8)</f>
        <v>1.8000000000000002E-8</v>
      </c>
      <c r="E79" s="178" t="s">
        <v>27</v>
      </c>
      <c r="F79" s="179" t="s">
        <v>17</v>
      </c>
      <c r="G79" s="46"/>
      <c r="H79" s="46"/>
      <c r="I79" s="46"/>
      <c r="J79" s="46"/>
      <c r="K79" s="46"/>
      <c r="L79" s="124">
        <f>D79*L73*365*IF(L78="-",0,IF(L78="ND",0,L78)*1000)</f>
        <v>9.2983273656750028E-3</v>
      </c>
      <c r="M79" s="46">
        <f>SUM(G79:L79)</f>
        <v>9.2983273656750028E-3</v>
      </c>
      <c r="O79" s="129" t="s">
        <v>98</v>
      </c>
      <c r="P79" s="185"/>
      <c r="Q79" s="94"/>
      <c r="R79" s="85"/>
      <c r="S79" s="85"/>
      <c r="T79" s="86"/>
      <c r="U79" s="87"/>
      <c r="V79" s="87"/>
      <c r="W79" s="87"/>
      <c r="X79" s="87"/>
      <c r="Y79" s="88"/>
    </row>
    <row r="80" spans="2:25" ht="11.1" customHeight="1" thickTop="1" x14ac:dyDescent="0.2">
      <c r="B80" s="160"/>
      <c r="C80" s="161"/>
      <c r="D80" s="162"/>
      <c r="E80" s="76" t="s">
        <v>106</v>
      </c>
      <c r="F80" s="163" t="s">
        <v>19</v>
      </c>
      <c r="G80" s="164">
        <v>100</v>
      </c>
      <c r="H80" s="165">
        <v>348</v>
      </c>
      <c r="I80" s="164">
        <v>200</v>
      </c>
      <c r="J80" s="164">
        <v>20</v>
      </c>
      <c r="K80" s="164">
        <v>40</v>
      </c>
      <c r="L80" s="166">
        <v>2.65</v>
      </c>
      <c r="M80" s="167"/>
      <c r="O80" s="129" t="s">
        <v>99</v>
      </c>
      <c r="P80" s="185"/>
      <c r="Q80" s="94"/>
      <c r="R80" s="85"/>
      <c r="S80" s="85"/>
      <c r="T80" s="86"/>
      <c r="U80" s="87"/>
      <c r="V80" s="87"/>
      <c r="W80" s="87"/>
      <c r="X80" s="87"/>
      <c r="Y80" s="88"/>
    </row>
    <row r="81" spans="2:25" ht="11.1" customHeight="1" x14ac:dyDescent="0.2">
      <c r="B81" s="160"/>
      <c r="C81" s="160" t="s">
        <v>147</v>
      </c>
      <c r="D81" s="168" t="s">
        <v>22</v>
      </c>
      <c r="E81" s="163" t="s">
        <v>23</v>
      </c>
      <c r="F81" s="169" t="s">
        <v>24</v>
      </c>
      <c r="G81" s="120"/>
      <c r="H81" s="120"/>
      <c r="I81" s="120"/>
      <c r="J81" s="120"/>
      <c r="K81" s="120"/>
      <c r="L81" s="120"/>
      <c r="M81" s="167"/>
      <c r="O81" s="129" t="s">
        <v>100</v>
      </c>
      <c r="P81" s="185"/>
      <c r="Q81" s="94"/>
      <c r="R81" s="85"/>
      <c r="S81" s="85"/>
      <c r="T81" s="86"/>
      <c r="U81" s="87"/>
      <c r="V81" s="87"/>
      <c r="W81" s="87"/>
      <c r="X81" s="87"/>
      <c r="Y81" s="88"/>
    </row>
    <row r="82" spans="2:25" ht="11.1" customHeight="1" x14ac:dyDescent="0.2">
      <c r="B82" s="160"/>
      <c r="C82" s="170"/>
      <c r="D82" s="171">
        <f>1.9*10^(-5)</f>
        <v>1.9000000000000001E-5</v>
      </c>
      <c r="E82" s="172" t="s">
        <v>27</v>
      </c>
      <c r="F82" s="173" t="s">
        <v>17</v>
      </c>
      <c r="G82" s="119">
        <f>D82*G80/1000*365*IF(G81="-",0,IF(G81="ND",0,G81)*1000)</f>
        <v>0</v>
      </c>
      <c r="H82" s="119">
        <f>D82*H80/1000*365*IF(H81="-",0,IF(H81="ND",0,H81)*1000)</f>
        <v>0</v>
      </c>
      <c r="I82" s="119">
        <f>D82*I80/1000*365*IF(I81="-",0,IF(I81="ND",0,I81)*1000)</f>
        <v>0</v>
      </c>
      <c r="J82" s="119">
        <f>D82*J80/1000*365*IF(J81="-",0,IF(J81="ND",0,J81)*1000)</f>
        <v>0</v>
      </c>
      <c r="K82" s="119">
        <f>D82*K80/1000*365*IF(K81="-",0,IF(K81="ND",0,K81)*1000)</f>
        <v>0</v>
      </c>
      <c r="L82" s="119">
        <f>D82*L80*365*IF(L81="-",0,IF(L81="ND",0,L81)*1000)</f>
        <v>0</v>
      </c>
      <c r="M82" s="45">
        <f>SUM(G82:L82)</f>
        <v>0</v>
      </c>
      <c r="O82" s="129" t="s">
        <v>101</v>
      </c>
      <c r="P82" s="185"/>
      <c r="Q82" s="94"/>
      <c r="R82" s="85"/>
      <c r="S82" s="85"/>
      <c r="T82" s="86"/>
      <c r="U82" s="87"/>
      <c r="V82" s="87"/>
      <c r="W82" s="87"/>
      <c r="X82" s="87"/>
      <c r="Y82" s="88"/>
    </row>
    <row r="83" spans="2:25" ht="11.1" customHeight="1" x14ac:dyDescent="0.2">
      <c r="B83" s="160"/>
      <c r="C83" s="160" t="s">
        <v>21</v>
      </c>
      <c r="D83" s="168" t="s">
        <v>22</v>
      </c>
      <c r="E83" s="163" t="s">
        <v>23</v>
      </c>
      <c r="F83" s="169" t="s">
        <v>24</v>
      </c>
      <c r="G83" s="121"/>
      <c r="H83" s="120"/>
      <c r="I83" s="121"/>
      <c r="J83" s="121"/>
      <c r="K83" s="121"/>
      <c r="L83" s="120"/>
      <c r="M83" s="181"/>
      <c r="O83" s="129" t="s">
        <v>102</v>
      </c>
      <c r="P83" s="185"/>
      <c r="Q83" s="94"/>
      <c r="R83" s="85"/>
      <c r="S83" s="85"/>
      <c r="T83" s="86"/>
      <c r="U83" s="87"/>
      <c r="V83" s="87"/>
      <c r="W83" s="87"/>
      <c r="X83" s="87"/>
      <c r="Y83" s="88"/>
    </row>
    <row r="84" spans="2:25" ht="11.1" customHeight="1" x14ac:dyDescent="0.2">
      <c r="B84" s="160" t="s">
        <v>156</v>
      </c>
      <c r="C84" s="170"/>
      <c r="D84" s="171">
        <f>1.3*10^(-5)</f>
        <v>1.3000000000000001E-5</v>
      </c>
      <c r="E84" s="172" t="s">
        <v>27</v>
      </c>
      <c r="F84" s="173" t="s">
        <v>17</v>
      </c>
      <c r="G84" s="119">
        <f>D84*G80/1000*365*IF(G83="-",0,IF(G83="ND",0,G83)*1000)</f>
        <v>0</v>
      </c>
      <c r="H84" s="119">
        <f>D84*H80/1000*365*IF(H83="-",0,IF(H83="ND",0,H83)*1000)</f>
        <v>0</v>
      </c>
      <c r="I84" s="119">
        <f>D84*I80/1000*365*IF(I83="-",0,IF(I83="ND",0,I83)*1000)</f>
        <v>0</v>
      </c>
      <c r="J84" s="119">
        <f>D84*J80/1000*365*IF(J83="-",0,IF(J83="ND",0,J83)*1000)</f>
        <v>0</v>
      </c>
      <c r="K84" s="119">
        <f>D84*K80/1000*365*IF(K83="-",0,IF(K83="ND",0,K83)*1000)</f>
        <v>0</v>
      </c>
      <c r="L84" s="119">
        <f>D84*L80*365*IF(L83="-",0,IF(L83="ND",0,L83)*1000)</f>
        <v>0</v>
      </c>
      <c r="M84" s="45">
        <f>SUM(G84:L84)</f>
        <v>0</v>
      </c>
      <c r="O84" s="129" t="s">
        <v>103</v>
      </c>
      <c r="P84" s="185"/>
      <c r="Q84" s="94"/>
      <c r="R84" s="85"/>
      <c r="S84" s="85"/>
      <c r="T84" s="86"/>
      <c r="U84" s="87"/>
      <c r="V84" s="87"/>
      <c r="W84" s="87"/>
      <c r="X84" s="87"/>
      <c r="Y84" s="88"/>
    </row>
    <row r="85" spans="2:25" ht="11.1" customHeight="1" x14ac:dyDescent="0.2">
      <c r="B85" s="160"/>
      <c r="C85" s="160" t="s">
        <v>30</v>
      </c>
      <c r="D85" s="168" t="s">
        <v>22</v>
      </c>
      <c r="E85" s="163" t="s">
        <v>23</v>
      </c>
      <c r="F85" s="169" t="s">
        <v>24</v>
      </c>
      <c r="G85" s="122"/>
      <c r="H85" s="123"/>
      <c r="I85" s="123"/>
      <c r="J85" s="123"/>
      <c r="K85" s="120"/>
      <c r="L85" s="122"/>
      <c r="M85" s="181"/>
      <c r="O85" s="129" t="s">
        <v>104</v>
      </c>
      <c r="P85" s="185"/>
      <c r="Q85" s="94"/>
      <c r="R85" s="85"/>
      <c r="S85" s="85"/>
      <c r="T85" s="86"/>
      <c r="U85" s="87"/>
      <c r="V85" s="87"/>
      <c r="W85" s="87"/>
      <c r="X85" s="87"/>
      <c r="Y85" s="88"/>
    </row>
    <row r="86" spans="2:25" ht="11.1" customHeight="1" thickBot="1" x14ac:dyDescent="0.25">
      <c r="B86" s="180"/>
      <c r="C86" s="170"/>
      <c r="D86" s="171">
        <f>2.8*10^(-5)</f>
        <v>2.8E-5</v>
      </c>
      <c r="E86" s="172" t="s">
        <v>27</v>
      </c>
      <c r="F86" s="173" t="s">
        <v>17</v>
      </c>
      <c r="G86" s="119"/>
      <c r="H86" s="119">
        <f>D86*H80/1000*365*IF(H85="-",0,IF(H85="ND",0,H85)*1000)</f>
        <v>0</v>
      </c>
      <c r="I86" s="119">
        <f>D86*I80/1000*365*IF(I85="-",0,IF(I85="ND",0,I85)*1000)</f>
        <v>0</v>
      </c>
      <c r="J86" s="119">
        <f>D86*J80/1000*365*IF(J85="-",0,IF(J85="ND",0,J85)*1000)</f>
        <v>0</v>
      </c>
      <c r="K86" s="119">
        <f>D86*K80/1000*365*IF(K85="-",0,IF(K85="ND",0,K85)*1000)</f>
        <v>0</v>
      </c>
      <c r="L86" s="119"/>
      <c r="M86" s="45">
        <f>SUM(G86:L86)</f>
        <v>0</v>
      </c>
      <c r="O86" s="131"/>
      <c r="P86" s="186"/>
      <c r="Q86" s="95"/>
      <c r="R86" s="89"/>
      <c r="S86" s="89"/>
      <c r="T86" s="90"/>
      <c r="U86" s="91"/>
      <c r="V86" s="91"/>
      <c r="W86" s="91"/>
      <c r="X86" s="91"/>
      <c r="Y86" s="92"/>
    </row>
    <row r="87" spans="2:25" ht="11.1" customHeight="1" thickTop="1" thickBot="1" x14ac:dyDescent="0.25">
      <c r="B87" s="174" t="s">
        <v>17</v>
      </c>
      <c r="C87" s="160" t="s">
        <v>32</v>
      </c>
      <c r="D87" s="168" t="s">
        <v>22</v>
      </c>
      <c r="E87" s="163" t="s">
        <v>23</v>
      </c>
      <c r="F87" s="175" t="s">
        <v>33</v>
      </c>
      <c r="G87" s="122"/>
      <c r="H87" s="122"/>
      <c r="I87" s="122"/>
      <c r="J87" s="122"/>
      <c r="K87" s="122"/>
      <c r="L87" s="121"/>
      <c r="M87" s="181"/>
      <c r="O87" s="93"/>
      <c r="R87" s="114"/>
      <c r="S87" s="115"/>
      <c r="T87" s="42"/>
      <c r="U87" s="44"/>
      <c r="V87" s="44"/>
      <c r="W87" s="43"/>
      <c r="Y87" s="80"/>
    </row>
    <row r="88" spans="2:25" ht="11.1" customHeight="1" thickTop="1" thickBot="1" x14ac:dyDescent="0.25">
      <c r="B88" s="176"/>
      <c r="C88" s="176"/>
      <c r="D88" s="177">
        <f>1.8*10^(-8)</f>
        <v>1.8000000000000002E-8</v>
      </c>
      <c r="E88" s="178" t="s">
        <v>27</v>
      </c>
      <c r="F88" s="179" t="s">
        <v>17</v>
      </c>
      <c r="G88" s="46"/>
      <c r="H88" s="46"/>
      <c r="I88" s="46"/>
      <c r="J88" s="46"/>
      <c r="K88" s="46"/>
      <c r="L88" s="124">
        <f>D88*L82*365*IF(L87="-",0,IF(L87="ND",0,L87)*1000)</f>
        <v>0</v>
      </c>
      <c r="M88" s="46">
        <f>SUM(G88:L88)</f>
        <v>0</v>
      </c>
      <c r="O88" s="187" t="s">
        <v>191</v>
      </c>
      <c r="P88" s="107"/>
      <c r="Q88" s="108"/>
      <c r="R88" s="81"/>
      <c r="S88" s="81"/>
      <c r="T88" s="82"/>
      <c r="U88" s="83"/>
      <c r="V88" s="83"/>
      <c r="W88" s="83"/>
      <c r="X88" s="83"/>
      <c r="Y88" s="84"/>
    </row>
    <row r="89" spans="2:25" ht="11.1" customHeight="1" thickTop="1" x14ac:dyDescent="0.2">
      <c r="B89" s="160"/>
      <c r="C89" s="161"/>
      <c r="D89" s="162"/>
      <c r="E89" s="76" t="s">
        <v>18</v>
      </c>
      <c r="F89" s="163" t="s">
        <v>19</v>
      </c>
      <c r="G89" s="164">
        <v>100</v>
      </c>
      <c r="H89" s="165">
        <v>389.4</v>
      </c>
      <c r="I89" s="164">
        <v>200</v>
      </c>
      <c r="J89" s="164">
        <v>20</v>
      </c>
      <c r="K89" s="164">
        <v>40</v>
      </c>
      <c r="L89" s="166">
        <v>2.65</v>
      </c>
      <c r="M89" s="167"/>
      <c r="O89" s="127" t="s">
        <v>110</v>
      </c>
      <c r="P89" s="110"/>
      <c r="Q89" s="111"/>
      <c r="R89" s="85"/>
      <c r="S89" s="85"/>
      <c r="T89" s="86"/>
      <c r="U89" s="87"/>
      <c r="V89" s="87"/>
      <c r="W89" s="87"/>
      <c r="X89" s="87"/>
      <c r="Y89" s="88"/>
    </row>
    <row r="90" spans="2:25" ht="11.1" customHeight="1" x14ac:dyDescent="0.2">
      <c r="B90" s="160"/>
      <c r="C90" s="160" t="s">
        <v>157</v>
      </c>
      <c r="D90" s="168" t="s">
        <v>22</v>
      </c>
      <c r="E90" s="163" t="s">
        <v>23</v>
      </c>
      <c r="F90" s="169" t="s">
        <v>24</v>
      </c>
      <c r="G90" s="120"/>
      <c r="H90" s="120"/>
      <c r="I90" s="120"/>
      <c r="J90" s="120"/>
      <c r="K90" s="120"/>
      <c r="L90" s="120"/>
      <c r="M90" s="167"/>
      <c r="O90" s="127" t="s">
        <v>112</v>
      </c>
      <c r="P90" s="110"/>
      <c r="Q90" s="111"/>
      <c r="R90" s="85"/>
      <c r="S90" s="85"/>
      <c r="T90" s="86"/>
      <c r="U90" s="87"/>
      <c r="V90" s="87"/>
      <c r="W90" s="87"/>
      <c r="X90" s="87"/>
      <c r="Y90" s="88"/>
    </row>
    <row r="91" spans="2:25" ht="11.1" customHeight="1" x14ac:dyDescent="0.2">
      <c r="B91" s="160" t="s">
        <v>43</v>
      </c>
      <c r="C91" s="170"/>
      <c r="D91" s="171">
        <f>1.3*10^(-5)</f>
        <v>1.3000000000000001E-5</v>
      </c>
      <c r="E91" s="172" t="s">
        <v>27</v>
      </c>
      <c r="F91" s="173" t="s">
        <v>17</v>
      </c>
      <c r="G91" s="119">
        <f>D91*G89/1000*365*IF(G90="-",0,IF(G90="ND",0,G90)*1000)</f>
        <v>0</v>
      </c>
      <c r="H91" s="119">
        <f>D91*H89/1000*365*IF(H90="-",0,IF(H90="ND",0,H90)*1000)</f>
        <v>0</v>
      </c>
      <c r="I91" s="119">
        <f>D91*I89/1000*365*IF(I90="-",0,IF(I90="ND",0,I90)*1000)</f>
        <v>0</v>
      </c>
      <c r="J91" s="119">
        <f>D91*J89/1000*365*IF(J90="-",0,IF(J90="ND",0,J90)*1000)</f>
        <v>0</v>
      </c>
      <c r="K91" s="119">
        <f>D91*K89/1000*365*IF(K90="-",0,IF(K90="ND",0,K90)*1000)</f>
        <v>0</v>
      </c>
      <c r="L91" s="119">
        <f>D91*L89*365*IF(L90="-",0,IF(L90="ND",0,L90)*1000)</f>
        <v>0</v>
      </c>
      <c r="M91" s="45">
        <f>SUM(G91:L91)</f>
        <v>0</v>
      </c>
      <c r="O91" s="127" t="s">
        <v>136</v>
      </c>
      <c r="P91" s="110"/>
      <c r="Q91" s="111"/>
      <c r="R91" s="85"/>
      <c r="S91" s="85"/>
      <c r="T91" s="86"/>
      <c r="U91" s="87"/>
      <c r="V91" s="87"/>
      <c r="W91" s="87"/>
      <c r="X91" s="87"/>
      <c r="Y91" s="88"/>
    </row>
    <row r="92" spans="2:25" ht="11.1" customHeight="1" x14ac:dyDescent="0.2">
      <c r="B92" s="160"/>
      <c r="C92" s="160" t="s">
        <v>30</v>
      </c>
      <c r="D92" s="168" t="s">
        <v>22</v>
      </c>
      <c r="E92" s="163" t="s">
        <v>23</v>
      </c>
      <c r="F92" s="169" t="s">
        <v>24</v>
      </c>
      <c r="G92" s="121"/>
      <c r="H92" s="120"/>
      <c r="I92" s="121"/>
      <c r="J92" s="121"/>
      <c r="K92" s="121"/>
      <c r="L92" s="120"/>
      <c r="M92" s="181"/>
      <c r="O92" s="127" t="s">
        <v>114</v>
      </c>
      <c r="P92" s="110"/>
      <c r="Q92" s="111"/>
      <c r="R92" s="85"/>
      <c r="S92" s="85"/>
      <c r="T92" s="86"/>
      <c r="U92" s="87"/>
      <c r="V92" s="87"/>
      <c r="W92" s="87"/>
      <c r="X92" s="87"/>
      <c r="Y92" s="88"/>
    </row>
    <row r="93" spans="2:25" ht="11.1" customHeight="1" x14ac:dyDescent="0.2">
      <c r="B93" s="182"/>
      <c r="C93" s="170"/>
      <c r="D93" s="171">
        <f>2.8*10^(-5)</f>
        <v>2.8E-5</v>
      </c>
      <c r="E93" s="172" t="s">
        <v>27</v>
      </c>
      <c r="F93" s="173" t="s">
        <v>17</v>
      </c>
      <c r="G93" s="119"/>
      <c r="H93" s="119">
        <f>D93*H89/1000*365*IF(H92="-",0,IF(H92="ND",0,H92)*1000)</f>
        <v>0</v>
      </c>
      <c r="I93" s="119">
        <f>D93*I89/1000*365*IF(I92="-",0,IF(I92="ND",0,I92)*1000)</f>
        <v>0</v>
      </c>
      <c r="J93" s="119">
        <f>D93*J89/1000*365*IF(J92="-",0,IF(J92="ND",0,J92)*1000)</f>
        <v>0</v>
      </c>
      <c r="K93" s="119">
        <f>D93*K89/1000*365*IF(K92="-",0,IF(K92="ND",0,K92)*1000)</f>
        <v>0</v>
      </c>
      <c r="L93" s="119"/>
      <c r="M93" s="45">
        <f>SUM(G93:L93)</f>
        <v>0</v>
      </c>
      <c r="O93" s="127" t="s">
        <v>116</v>
      </c>
      <c r="P93" s="110"/>
      <c r="Q93" s="111"/>
      <c r="R93" s="85"/>
      <c r="S93" s="85"/>
      <c r="T93" s="86"/>
      <c r="U93" s="87"/>
      <c r="V93" s="87"/>
      <c r="W93" s="87"/>
      <c r="X93" s="87"/>
      <c r="Y93" s="88"/>
    </row>
    <row r="94" spans="2:25" ht="11.1" customHeight="1" x14ac:dyDescent="0.2">
      <c r="B94" s="174" t="s">
        <v>17</v>
      </c>
      <c r="C94" s="160" t="s">
        <v>32</v>
      </c>
      <c r="D94" s="168" t="s">
        <v>22</v>
      </c>
      <c r="E94" s="163" t="s">
        <v>23</v>
      </c>
      <c r="F94" s="175" t="s">
        <v>33</v>
      </c>
      <c r="G94" s="122"/>
      <c r="H94" s="122"/>
      <c r="I94" s="122"/>
      <c r="J94" s="122"/>
      <c r="K94" s="122"/>
      <c r="L94" s="121"/>
      <c r="M94" s="181"/>
      <c r="O94" s="127" t="s">
        <v>117</v>
      </c>
      <c r="P94" s="110"/>
      <c r="Q94" s="111"/>
      <c r="R94" s="85"/>
      <c r="S94" s="85"/>
      <c r="T94" s="86"/>
      <c r="U94" s="87"/>
      <c r="V94" s="87"/>
      <c r="W94" s="87"/>
      <c r="X94" s="87"/>
      <c r="Y94" s="88"/>
    </row>
    <row r="95" spans="2:25" ht="11.1" customHeight="1" thickBot="1" x14ac:dyDescent="0.25">
      <c r="B95" s="176"/>
      <c r="C95" s="176"/>
      <c r="D95" s="177">
        <f>1.8*10^(-8)</f>
        <v>1.8000000000000002E-8</v>
      </c>
      <c r="E95" s="178" t="s">
        <v>27</v>
      </c>
      <c r="F95" s="179" t="s">
        <v>17</v>
      </c>
      <c r="G95" s="46"/>
      <c r="H95" s="46"/>
      <c r="I95" s="46"/>
      <c r="J95" s="46"/>
      <c r="K95" s="46"/>
      <c r="L95" s="124">
        <f>D95*L89*365*IF(L94="-",0,IF(L94="ND",0,L94)*1000)</f>
        <v>0</v>
      </c>
      <c r="M95" s="46">
        <f>SUM(G95:L95)</f>
        <v>0</v>
      </c>
      <c r="O95" s="127" t="s">
        <v>119</v>
      </c>
      <c r="P95" s="110"/>
      <c r="Q95" s="111"/>
      <c r="R95" s="85"/>
      <c r="S95" s="85"/>
      <c r="T95" s="86"/>
      <c r="U95" s="87"/>
      <c r="V95" s="87"/>
      <c r="W95" s="87"/>
      <c r="X95" s="87"/>
      <c r="Y95" s="88"/>
    </row>
    <row r="96" spans="2:25" ht="11.1" customHeight="1" thickTop="1" x14ac:dyDescent="0.2">
      <c r="B96" s="160"/>
      <c r="C96" s="161"/>
      <c r="D96" s="162"/>
      <c r="E96" s="76" t="s">
        <v>18</v>
      </c>
      <c r="F96" s="163" t="s">
        <v>19</v>
      </c>
      <c r="G96" s="164">
        <v>100</v>
      </c>
      <c r="H96" s="165">
        <v>389.4</v>
      </c>
      <c r="I96" s="164">
        <v>200</v>
      </c>
      <c r="J96" s="164">
        <v>20</v>
      </c>
      <c r="K96" s="164">
        <v>40</v>
      </c>
      <c r="L96" s="166">
        <v>2.65</v>
      </c>
      <c r="M96" s="167"/>
      <c r="O96" s="127" t="s">
        <v>123</v>
      </c>
      <c r="P96" s="110"/>
      <c r="Q96" s="111"/>
      <c r="R96" s="85"/>
      <c r="S96" s="85"/>
      <c r="T96" s="86"/>
      <c r="U96" s="87"/>
      <c r="V96" s="87"/>
      <c r="W96" s="87"/>
      <c r="X96" s="87"/>
      <c r="Y96" s="88"/>
    </row>
    <row r="97" spans="2:28" ht="11.1" customHeight="1" x14ac:dyDescent="0.2">
      <c r="B97" s="160"/>
      <c r="C97" s="160" t="s">
        <v>157</v>
      </c>
      <c r="D97" s="168" t="s">
        <v>22</v>
      </c>
      <c r="E97" s="163" t="s">
        <v>23</v>
      </c>
      <c r="F97" s="169" t="s">
        <v>24</v>
      </c>
      <c r="G97" s="120">
        <v>1.7000000000000001E-2</v>
      </c>
      <c r="H97" s="120">
        <v>1.0999999999999999E-2</v>
      </c>
      <c r="I97" s="120">
        <v>8.5000000000000006E-2</v>
      </c>
      <c r="J97" s="120">
        <v>3.6999999999999998E-2</v>
      </c>
      <c r="K97" s="120" t="s">
        <v>42</v>
      </c>
      <c r="L97" s="120" t="s">
        <v>42</v>
      </c>
      <c r="M97" s="167"/>
      <c r="O97" s="127" t="s">
        <v>125</v>
      </c>
      <c r="P97" s="110"/>
      <c r="Q97" s="111"/>
      <c r="R97" s="85"/>
      <c r="S97" s="85"/>
      <c r="T97" s="86"/>
      <c r="U97" s="87"/>
      <c r="V97" s="87"/>
      <c r="W97" s="87"/>
      <c r="X97" s="87"/>
      <c r="Y97" s="88"/>
    </row>
    <row r="98" spans="2:28" ht="11.1" customHeight="1" x14ac:dyDescent="0.2">
      <c r="B98" s="160" t="s">
        <v>158</v>
      </c>
      <c r="C98" s="170"/>
      <c r="D98" s="171">
        <f>1.3*10^(-5)</f>
        <v>1.3000000000000001E-5</v>
      </c>
      <c r="E98" s="172" t="s">
        <v>27</v>
      </c>
      <c r="F98" s="173" t="s">
        <v>17</v>
      </c>
      <c r="G98" s="119">
        <f>D98*G96/1000*365*IF(G97="-",0,IF(G97="ND",0,G97)*1000)</f>
        <v>8.0665000000000008E-3</v>
      </c>
      <c r="H98" s="119">
        <f>D98*H96/1000*365*IF(H97="-",0,IF(H97="ND",0,H97)*1000)</f>
        <v>2.0324733000000001E-2</v>
      </c>
      <c r="I98" s="119">
        <f>D98*I96/1000*365*IF(I97="-",0,IF(I97="ND",0,I97)*1000)</f>
        <v>8.0665000000000014E-2</v>
      </c>
      <c r="J98" s="119">
        <f>D98*J96/1000*365*IF(J97="-",0,IF(J97="ND",0,J97)*1000)</f>
        <v>3.5113000000000006E-3</v>
      </c>
      <c r="K98" s="119">
        <f>D98*K96/1000*365*IF(K97="-",0,IF(K97="ND",0,K97)*1000)</f>
        <v>0</v>
      </c>
      <c r="L98" s="119">
        <f>D98*L96*365*IF(L97="-",0,IF(L97="ND",0,L97)*1000)</f>
        <v>0</v>
      </c>
      <c r="M98" s="45">
        <f>SUM(G98:L98)</f>
        <v>0.11256753300000001</v>
      </c>
      <c r="O98" s="127" t="s">
        <v>137</v>
      </c>
      <c r="P98" s="110"/>
      <c r="Q98" s="111"/>
      <c r="R98" s="85"/>
      <c r="S98" s="85"/>
      <c r="T98" s="86"/>
      <c r="U98" s="87"/>
      <c r="V98" s="87"/>
      <c r="W98" s="87"/>
      <c r="X98" s="87"/>
      <c r="Y98" s="88"/>
    </row>
    <row r="99" spans="2:28" ht="11.1" customHeight="1" thickBot="1" x14ac:dyDescent="0.25">
      <c r="B99" s="160"/>
      <c r="C99" s="160" t="s">
        <v>30</v>
      </c>
      <c r="D99" s="168" t="s">
        <v>22</v>
      </c>
      <c r="E99" s="163" t="s">
        <v>23</v>
      </c>
      <c r="F99" s="169" t="s">
        <v>24</v>
      </c>
      <c r="G99" s="121"/>
      <c r="H99" s="120" t="s">
        <v>42</v>
      </c>
      <c r="I99" s="121" t="s">
        <v>42</v>
      </c>
      <c r="J99" s="121" t="s">
        <v>42</v>
      </c>
      <c r="K99" s="121">
        <v>2.7E-2</v>
      </c>
      <c r="L99" s="120"/>
      <c r="M99" s="181"/>
      <c r="O99" s="132" t="s">
        <v>128</v>
      </c>
      <c r="P99" s="116"/>
      <c r="Q99" s="117"/>
      <c r="R99" s="89"/>
      <c r="S99" s="89"/>
      <c r="T99" s="90"/>
      <c r="U99" s="91"/>
      <c r="V99" s="91"/>
      <c r="W99" s="91"/>
      <c r="X99" s="91"/>
      <c r="Y99" s="92"/>
    </row>
    <row r="100" spans="2:28" ht="11.1" customHeight="1" thickTop="1" x14ac:dyDescent="0.2">
      <c r="B100" s="180">
        <f>M98+M100+M102</f>
        <v>0.135966588</v>
      </c>
      <c r="C100" s="170"/>
      <c r="D100" s="171">
        <f>2.8*10^(-5)</f>
        <v>2.8E-5</v>
      </c>
      <c r="E100" s="172" t="s">
        <v>27</v>
      </c>
      <c r="F100" s="173" t="s">
        <v>17</v>
      </c>
      <c r="G100" s="119"/>
      <c r="H100" s="119">
        <f>D100*H96/1000*365*IF(H99="-",0,IF(H99="ND",0,H99)*1000)</f>
        <v>0</v>
      </c>
      <c r="I100" s="119">
        <f>D100*I96/1000*365*IF(I99="-",0,IF(I99="ND",0,I99)*1000)</f>
        <v>0</v>
      </c>
      <c r="J100" s="119">
        <f>D100*J96/1000*365*IF(J99="-",0,IF(J99="ND",0,J99)*1000)</f>
        <v>0</v>
      </c>
      <c r="K100" s="119">
        <f>D100*K96/1000*365*IF(K99="-",0,IF(K99="ND",0,K99)*1000)</f>
        <v>1.1037599999999998E-2</v>
      </c>
      <c r="L100" s="119"/>
      <c r="M100" s="45">
        <f>SUM(G100:L100)</f>
        <v>1.1037599999999998E-2</v>
      </c>
      <c r="O100" s="37" t="s">
        <v>192</v>
      </c>
      <c r="P100" s="38"/>
      <c r="Q100" s="38"/>
      <c r="R100" s="37"/>
      <c r="S100" s="37"/>
      <c r="T100" s="37"/>
      <c r="U100" s="37"/>
      <c r="V100" s="39"/>
      <c r="W100" s="37"/>
      <c r="X100" s="37"/>
      <c r="Y100" s="39"/>
    </row>
    <row r="101" spans="2:28" ht="11.1" customHeight="1" x14ac:dyDescent="0.2">
      <c r="B101" s="174" t="s">
        <v>17</v>
      </c>
      <c r="C101" s="160" t="s">
        <v>32</v>
      </c>
      <c r="D101" s="168" t="s">
        <v>22</v>
      </c>
      <c r="E101" s="163" t="s">
        <v>23</v>
      </c>
      <c r="F101" s="175" t="s">
        <v>33</v>
      </c>
      <c r="G101" s="122"/>
      <c r="H101" s="122"/>
      <c r="I101" s="122"/>
      <c r="J101" s="122"/>
      <c r="K101" s="122"/>
      <c r="L101" s="121">
        <v>0.71</v>
      </c>
      <c r="M101" s="181"/>
      <c r="O101" s="37" t="s">
        <v>34</v>
      </c>
      <c r="P101" s="38"/>
      <c r="Q101" s="38"/>
      <c r="R101" s="40"/>
      <c r="S101" s="40"/>
      <c r="T101" s="40"/>
      <c r="U101" s="40"/>
      <c r="V101" s="39"/>
      <c r="W101" s="37"/>
      <c r="X101" s="37"/>
      <c r="Y101" s="39"/>
    </row>
    <row r="102" spans="2:28" ht="11.1" customHeight="1" thickBot="1" x14ac:dyDescent="0.25">
      <c r="B102" s="176"/>
      <c r="C102" s="176"/>
      <c r="D102" s="177">
        <f>1.8*10^(-8)</f>
        <v>1.8000000000000002E-8</v>
      </c>
      <c r="E102" s="178" t="s">
        <v>27</v>
      </c>
      <c r="F102" s="179" t="s">
        <v>17</v>
      </c>
      <c r="G102" s="46"/>
      <c r="H102" s="46"/>
      <c r="I102" s="46"/>
      <c r="J102" s="46"/>
      <c r="K102" s="46"/>
      <c r="L102" s="124">
        <f>D102*L96*365*IF(L101="-",0,IF(L101="ND",0,L101)*1000)</f>
        <v>1.2361455000000002E-2</v>
      </c>
      <c r="M102" s="46">
        <f>SUM(G102:L102)</f>
        <v>1.2361455000000002E-2</v>
      </c>
      <c r="O102" s="37" t="s">
        <v>35</v>
      </c>
      <c r="P102" s="38"/>
      <c r="Q102" s="38"/>
      <c r="R102" s="40"/>
      <c r="S102" s="40"/>
      <c r="T102" s="40"/>
      <c r="U102" s="40"/>
      <c r="V102" s="39"/>
      <c r="W102" s="37"/>
      <c r="X102" s="37"/>
      <c r="Y102" s="39"/>
    </row>
    <row r="103" spans="2:28" ht="11.1" customHeight="1" thickTop="1" x14ac:dyDescent="0.2">
      <c r="B103" s="160"/>
      <c r="C103" s="161"/>
      <c r="D103" s="162"/>
      <c r="E103" s="76" t="s">
        <v>18</v>
      </c>
      <c r="F103" s="163" t="s">
        <v>19</v>
      </c>
      <c r="G103" s="164">
        <v>100</v>
      </c>
      <c r="H103" s="165">
        <v>389.4</v>
      </c>
      <c r="I103" s="164">
        <v>200</v>
      </c>
      <c r="J103" s="164">
        <v>20</v>
      </c>
      <c r="K103" s="164">
        <v>40</v>
      </c>
      <c r="L103" s="166">
        <v>2.65</v>
      </c>
      <c r="M103" s="167"/>
      <c r="O103" s="37" t="s">
        <v>36</v>
      </c>
      <c r="P103" s="38"/>
      <c r="Q103" s="38"/>
      <c r="R103" s="40"/>
      <c r="S103" s="40"/>
      <c r="T103" s="40"/>
      <c r="U103" s="40"/>
      <c r="V103" s="39"/>
      <c r="W103" s="37"/>
      <c r="X103" s="37"/>
      <c r="Y103" s="39"/>
    </row>
    <row r="104" spans="2:28" ht="11.1" customHeight="1" x14ac:dyDescent="0.2">
      <c r="B104" s="160"/>
      <c r="C104" s="160" t="s">
        <v>157</v>
      </c>
      <c r="D104" s="168" t="s">
        <v>22</v>
      </c>
      <c r="E104" s="163" t="s">
        <v>23</v>
      </c>
      <c r="F104" s="169" t="s">
        <v>24</v>
      </c>
      <c r="G104" s="120">
        <v>5.6000000000000001E-2</v>
      </c>
      <c r="H104" s="120" t="s">
        <v>42</v>
      </c>
      <c r="I104" s="120">
        <v>7.6999999999999999E-2</v>
      </c>
      <c r="J104" s="120">
        <v>3.9E-2</v>
      </c>
      <c r="K104" s="120" t="s">
        <v>159</v>
      </c>
      <c r="L104" s="120" t="s">
        <v>159</v>
      </c>
      <c r="M104" s="167"/>
      <c r="O104" s="37" t="s">
        <v>37</v>
      </c>
      <c r="P104" s="38"/>
      <c r="Q104" s="38"/>
      <c r="R104" s="40"/>
      <c r="S104" s="40"/>
      <c r="T104" s="40"/>
      <c r="U104" s="40"/>
      <c r="V104" s="39"/>
      <c r="W104" s="37"/>
      <c r="X104" s="37"/>
      <c r="Y104" s="39"/>
    </row>
    <row r="105" spans="2:28" ht="11.1" customHeight="1" x14ac:dyDescent="0.2">
      <c r="B105" s="160" t="s">
        <v>160</v>
      </c>
      <c r="C105" s="170"/>
      <c r="D105" s="171">
        <f>1.3*10^(-5)</f>
        <v>1.3000000000000001E-5</v>
      </c>
      <c r="E105" s="172" t="s">
        <v>27</v>
      </c>
      <c r="F105" s="173" t="s">
        <v>17</v>
      </c>
      <c r="G105" s="119">
        <f>D105*G103/1000*365*IF(G104="-",0,IF(G104="ND",0,G104)*1000)</f>
        <v>2.6572000000000005E-2</v>
      </c>
      <c r="H105" s="119">
        <f>D105*H103/1000*365*IF(H104="-",0,IF(H104="ND",0,H104)*1000)</f>
        <v>0</v>
      </c>
      <c r="I105" s="119">
        <f>D105*I103/1000*365*IF(I104="-",0,IF(I104="ND",0,I104)*1000)</f>
        <v>7.3073000000000013E-2</v>
      </c>
      <c r="J105" s="119">
        <f>D105*J103/1000*365*IF(J104="-",0,IF(J104="ND",0,J104)*1000)</f>
        <v>3.7011000000000006E-3</v>
      </c>
      <c r="K105" s="119">
        <f>D105*K103/1000*365*IF(K104="-",0,IF(K104="ND",0,K104)*1000)</f>
        <v>0</v>
      </c>
      <c r="L105" s="119">
        <f>D105*L103*365*IF(L104="-",0,IF(L104="ND",0,L104)*1000)</f>
        <v>0</v>
      </c>
      <c r="M105" s="45">
        <f>SUM(G105:L105)</f>
        <v>0.10334610000000001</v>
      </c>
      <c r="O105" s="37" t="s">
        <v>38</v>
      </c>
      <c r="P105" s="38"/>
      <c r="Q105" s="38"/>
      <c r="R105" s="40"/>
      <c r="S105" s="40"/>
      <c r="T105" s="40"/>
      <c r="U105" s="40"/>
      <c r="V105" s="39"/>
      <c r="W105" s="37"/>
      <c r="X105" s="37"/>
      <c r="Y105" s="39"/>
    </row>
    <row r="106" spans="2:28" ht="11.1" customHeight="1" x14ac:dyDescent="0.2">
      <c r="B106" s="160"/>
      <c r="C106" s="160" t="s">
        <v>30</v>
      </c>
      <c r="D106" s="168" t="s">
        <v>22</v>
      </c>
      <c r="E106" s="163" t="s">
        <v>23</v>
      </c>
      <c r="F106" s="169" t="s">
        <v>24</v>
      </c>
      <c r="G106" s="121"/>
      <c r="H106" s="120" t="s">
        <v>159</v>
      </c>
      <c r="I106" s="121" t="s">
        <v>159</v>
      </c>
      <c r="J106" s="121" t="s">
        <v>159</v>
      </c>
      <c r="K106" s="121" t="s">
        <v>42</v>
      </c>
      <c r="L106" s="120"/>
      <c r="M106" s="181"/>
      <c r="O106" s="37" t="s">
        <v>41</v>
      </c>
      <c r="P106" s="38"/>
      <c r="Q106" s="38"/>
      <c r="R106" s="40"/>
      <c r="S106" s="40"/>
      <c r="T106" s="40"/>
      <c r="U106" s="40"/>
      <c r="V106" s="39"/>
      <c r="W106" s="37"/>
      <c r="X106" s="139" t="s">
        <v>145</v>
      </c>
      <c r="Y106" s="39"/>
    </row>
    <row r="107" spans="2:28" ht="11.1" customHeight="1" x14ac:dyDescent="0.2">
      <c r="B107" s="180">
        <f>M105+M107+M109</f>
        <v>0.10334610000000001</v>
      </c>
      <c r="C107" s="170"/>
      <c r="D107" s="171">
        <f>2.8*10^(-5)</f>
        <v>2.8E-5</v>
      </c>
      <c r="E107" s="172" t="s">
        <v>27</v>
      </c>
      <c r="F107" s="173" t="s">
        <v>17</v>
      </c>
      <c r="G107" s="119"/>
      <c r="H107" s="119">
        <f>D107*H103/1000*365*IF(H106="-",0,IF(H106="ND",0,H106)*1000)</f>
        <v>0</v>
      </c>
      <c r="I107" s="119">
        <f>D107*I103/1000*365*IF(I106="-",0,IF(I106="ND",0,I106)*1000)</f>
        <v>0</v>
      </c>
      <c r="J107" s="119">
        <f>D107*J103/1000*365*IF(J106="-",0,IF(J106="ND",0,J106)*1000)</f>
        <v>0</v>
      </c>
      <c r="K107" s="119">
        <f>D107*K103/1000*365*IF(K106="-",0,IF(K106="ND",0,K106)*1000)</f>
        <v>0</v>
      </c>
      <c r="L107" s="119"/>
      <c r="M107" s="45">
        <f>SUM(G107:L107)</f>
        <v>0</v>
      </c>
      <c r="O107" s="37" t="s">
        <v>194</v>
      </c>
      <c r="P107" s="38"/>
      <c r="Q107" s="38"/>
      <c r="R107" s="40"/>
      <c r="S107" s="40"/>
      <c r="T107" s="40"/>
      <c r="U107" s="40"/>
      <c r="V107" s="39"/>
      <c r="W107" s="37"/>
      <c r="X107" s="37"/>
      <c r="Y107" s="39"/>
    </row>
    <row r="108" spans="2:28" ht="11.1" customHeight="1" x14ac:dyDescent="0.2">
      <c r="B108" s="174" t="s">
        <v>17</v>
      </c>
      <c r="C108" s="160" t="s">
        <v>32</v>
      </c>
      <c r="D108" s="168" t="s">
        <v>22</v>
      </c>
      <c r="E108" s="163" t="s">
        <v>23</v>
      </c>
      <c r="F108" s="175" t="s">
        <v>33</v>
      </c>
      <c r="G108" s="122"/>
      <c r="H108" s="122"/>
      <c r="I108" s="122"/>
      <c r="J108" s="122"/>
      <c r="K108" s="122"/>
      <c r="L108" s="121" t="s">
        <v>42</v>
      </c>
      <c r="M108" s="181"/>
      <c r="O108" s="37" t="s">
        <v>193</v>
      </c>
      <c r="P108" s="38"/>
      <c r="Q108" s="38"/>
      <c r="R108" s="40"/>
      <c r="S108" s="40"/>
      <c r="T108" s="40"/>
      <c r="U108" s="40"/>
      <c r="V108" s="39"/>
      <c r="W108" s="37"/>
      <c r="X108" s="37"/>
      <c r="Y108" s="39"/>
    </row>
    <row r="109" spans="2:28" ht="11.1" customHeight="1" thickBot="1" x14ac:dyDescent="0.25">
      <c r="B109" s="176"/>
      <c r="C109" s="176"/>
      <c r="D109" s="177">
        <f>1.8*10^(-8)</f>
        <v>1.8000000000000002E-8</v>
      </c>
      <c r="E109" s="178" t="s">
        <v>27</v>
      </c>
      <c r="F109" s="179" t="s">
        <v>17</v>
      </c>
      <c r="G109" s="46"/>
      <c r="H109" s="46"/>
      <c r="I109" s="46"/>
      <c r="J109" s="46"/>
      <c r="K109" s="46"/>
      <c r="L109" s="124">
        <f>D109*L103*365*IF(L108="-",0,IF(L108="ND",0,L108)*1000)</f>
        <v>0</v>
      </c>
      <c r="M109" s="46">
        <f>SUM(G109:L109)</f>
        <v>0</v>
      </c>
      <c r="O109" s="37" t="s">
        <v>39</v>
      </c>
      <c r="P109" s="38"/>
      <c r="Q109" s="38"/>
      <c r="R109" s="40"/>
      <c r="S109" s="40"/>
      <c r="T109" s="40"/>
      <c r="U109" s="40"/>
      <c r="V109" s="39"/>
      <c r="W109" s="37"/>
      <c r="X109" s="37"/>
      <c r="Y109" s="39"/>
    </row>
    <row r="110" spans="2:28" ht="11.1" customHeight="1" thickTop="1" x14ac:dyDescent="0.2">
      <c r="B110" s="160"/>
      <c r="C110" s="161"/>
      <c r="D110" s="162"/>
      <c r="E110" s="76" t="s">
        <v>18</v>
      </c>
      <c r="F110" s="163" t="s">
        <v>19</v>
      </c>
      <c r="G110" s="164">
        <v>100</v>
      </c>
      <c r="H110" s="165">
        <v>389.4</v>
      </c>
      <c r="I110" s="164">
        <v>200</v>
      </c>
      <c r="J110" s="164">
        <v>20</v>
      </c>
      <c r="K110" s="164">
        <v>40</v>
      </c>
      <c r="L110" s="166">
        <v>2.65</v>
      </c>
      <c r="M110" s="167"/>
      <c r="O110" s="37" t="s">
        <v>195</v>
      </c>
      <c r="P110" s="38"/>
      <c r="Q110" s="38"/>
      <c r="R110" s="40"/>
      <c r="S110" s="40"/>
      <c r="T110" s="40"/>
      <c r="U110" s="40"/>
      <c r="V110" s="39"/>
      <c r="W110" s="37"/>
      <c r="X110" s="37"/>
      <c r="Y110" s="39"/>
      <c r="AA110" s="143">
        <f>B68/0.35/1000</f>
        <v>6.627143085471794E-3</v>
      </c>
      <c r="AB110" s="144" t="s">
        <v>146</v>
      </c>
    </row>
    <row r="111" spans="2:28" ht="11.1" customHeight="1" x14ac:dyDescent="0.2">
      <c r="B111" s="160"/>
      <c r="C111" s="160" t="s">
        <v>157</v>
      </c>
      <c r="D111" s="168" t="s">
        <v>22</v>
      </c>
      <c r="E111" s="163" t="s">
        <v>23</v>
      </c>
      <c r="F111" s="169" t="s">
        <v>24</v>
      </c>
      <c r="G111" s="120">
        <v>2.1000000000000001E-2</v>
      </c>
      <c r="H111" s="120" t="s">
        <v>159</v>
      </c>
      <c r="I111" s="120">
        <v>0.10199999999999999</v>
      </c>
      <c r="J111" s="120">
        <v>4.3999999999999997E-2</v>
      </c>
      <c r="K111" s="120" t="s">
        <v>159</v>
      </c>
      <c r="L111" s="120" t="s">
        <v>159</v>
      </c>
      <c r="M111" s="167"/>
      <c r="O111" s="52" t="s">
        <v>46</v>
      </c>
      <c r="P111" s="53"/>
      <c r="Q111" s="53"/>
      <c r="R111" s="53"/>
      <c r="S111" s="53"/>
      <c r="T111" s="53"/>
      <c r="U111" s="54"/>
      <c r="V111" s="53"/>
      <c r="W111" s="53"/>
      <c r="X111" s="53"/>
      <c r="Y111" s="53"/>
      <c r="AA111" s="143">
        <f>1/1800</f>
        <v>5.5555555555555556E-4</v>
      </c>
      <c r="AB111" s="144" t="s">
        <v>146</v>
      </c>
    </row>
    <row r="112" spans="2:28" ht="11.1" customHeight="1" x14ac:dyDescent="0.2">
      <c r="B112" s="160" t="s">
        <v>161</v>
      </c>
      <c r="C112" s="170"/>
      <c r="D112" s="171">
        <f>1.3*10^(-5)</f>
        <v>1.3000000000000001E-5</v>
      </c>
      <c r="E112" s="172" t="s">
        <v>27</v>
      </c>
      <c r="F112" s="173" t="s">
        <v>17</v>
      </c>
      <c r="G112" s="119">
        <f>D112*G110/1000*365*IF(G111="-",0,IF(G111="ND",0,G111)*1000)</f>
        <v>9.9645000000000011E-3</v>
      </c>
      <c r="H112" s="119">
        <f>D112*H110/1000*365*IF(H111="-",0,IF(H111="ND",0,H111)*1000)</f>
        <v>0</v>
      </c>
      <c r="I112" s="119">
        <f>D112*I110/1000*365*IF(I111="-",0,IF(I111="ND",0,I111)*1000)</f>
        <v>9.6798000000000023E-2</v>
      </c>
      <c r="J112" s="119">
        <f>D112*J110/1000*365*IF(J111="-",0,IF(J111="ND",0,J111)*1000)</f>
        <v>4.1756000000000007E-3</v>
      </c>
      <c r="K112" s="119">
        <f>D112*K110/1000*365*IF(K111="-",0,IF(K111="ND",0,K111)*1000)</f>
        <v>0</v>
      </c>
      <c r="L112" s="119">
        <f>D112*L110*365*IF(L111="-",0,IF(L111="ND",0,L111)*1000)</f>
        <v>0</v>
      </c>
      <c r="M112" s="45">
        <f>SUM(G112:L112)</f>
        <v>0.11093810000000003</v>
      </c>
      <c r="Z112" s="37"/>
    </row>
    <row r="113" spans="2:28" ht="11.1" customHeight="1" x14ac:dyDescent="0.2">
      <c r="B113" s="160"/>
      <c r="C113" s="160" t="s">
        <v>30</v>
      </c>
      <c r="D113" s="168" t="s">
        <v>22</v>
      </c>
      <c r="E113" s="163" t="s">
        <v>23</v>
      </c>
      <c r="F113" s="169" t="s">
        <v>24</v>
      </c>
      <c r="G113" s="121"/>
      <c r="H113" s="120" t="s">
        <v>159</v>
      </c>
      <c r="I113" s="121" t="s">
        <v>159</v>
      </c>
      <c r="J113" s="121" t="s">
        <v>159</v>
      </c>
      <c r="K113" s="121" t="s">
        <v>159</v>
      </c>
      <c r="L113" s="120"/>
      <c r="M113" s="181"/>
      <c r="O113" s="11" t="s">
        <v>85</v>
      </c>
      <c r="V113" s="11">
        <v>100</v>
      </c>
      <c r="W113" s="11">
        <v>205</v>
      </c>
      <c r="X113" s="11">
        <v>200</v>
      </c>
      <c r="Y113" s="11">
        <v>20</v>
      </c>
      <c r="Z113" s="11">
        <v>40</v>
      </c>
      <c r="AA113" s="11">
        <v>2.2000000000000002</v>
      </c>
    </row>
    <row r="114" spans="2:28" ht="11.1" customHeight="1" x14ac:dyDescent="0.2">
      <c r="B114" s="180">
        <f>M112+M114+M116</f>
        <v>0.11859872000000003</v>
      </c>
      <c r="C114" s="170"/>
      <c r="D114" s="171">
        <f>2.8*10^(-5)</f>
        <v>2.8E-5</v>
      </c>
      <c r="E114" s="172" t="s">
        <v>27</v>
      </c>
      <c r="F114" s="173" t="s">
        <v>17</v>
      </c>
      <c r="G114" s="119"/>
      <c r="H114" s="119">
        <f>D114*H110/1000*365*IF(H113="-",0,IF(H113="ND",0,H113)*1000)</f>
        <v>0</v>
      </c>
      <c r="I114" s="119">
        <f>D114*I110/1000*365*IF(I113="-",0,IF(I113="ND",0,I113)*1000)</f>
        <v>0</v>
      </c>
      <c r="J114" s="119">
        <f>D114*J110/1000*365*IF(J113="-",0,IF(J113="ND",0,J113)*1000)</f>
        <v>0</v>
      </c>
      <c r="K114" s="119">
        <f>D114*K110/1000*365*IF(K113="-",0,IF(K113="ND",0,K113)*1000)</f>
        <v>0</v>
      </c>
      <c r="L114" s="119"/>
      <c r="M114" s="45">
        <f>SUM(G114:L114)</f>
        <v>0</v>
      </c>
      <c r="O114" s="50" t="s">
        <v>86</v>
      </c>
      <c r="P114" s="51"/>
      <c r="Q114" s="6"/>
      <c r="R114" s="6"/>
      <c r="S114" s="6"/>
      <c r="T114" s="6"/>
      <c r="U114" s="6"/>
      <c r="V114" s="7"/>
      <c r="W114" s="8"/>
      <c r="X114" s="9"/>
      <c r="Y114" s="8"/>
      <c r="Z114" s="8"/>
      <c r="AA114" s="8"/>
      <c r="AB114" s="10"/>
    </row>
    <row r="115" spans="2:28" ht="11.1" customHeight="1" x14ac:dyDescent="0.2">
      <c r="B115" s="174" t="s">
        <v>17</v>
      </c>
      <c r="C115" s="160" t="s">
        <v>32</v>
      </c>
      <c r="D115" s="168" t="s">
        <v>22</v>
      </c>
      <c r="E115" s="163" t="s">
        <v>23</v>
      </c>
      <c r="F115" s="175" t="s">
        <v>33</v>
      </c>
      <c r="G115" s="122"/>
      <c r="H115" s="122"/>
      <c r="I115" s="122"/>
      <c r="J115" s="122"/>
      <c r="K115" s="122"/>
      <c r="L115" s="121">
        <v>0.44</v>
      </c>
      <c r="M115" s="181"/>
      <c r="O115" s="14" t="s">
        <v>0</v>
      </c>
      <c r="P115" s="15"/>
      <c r="Q115" s="16"/>
      <c r="R115" s="17" t="s">
        <v>1</v>
      </c>
      <c r="S115" s="17"/>
      <c r="T115" s="17"/>
      <c r="U115" s="18"/>
      <c r="V115" s="19" t="s">
        <v>2</v>
      </c>
      <c r="W115" s="20" t="s">
        <v>3</v>
      </c>
      <c r="X115" s="20" t="s">
        <v>4</v>
      </c>
      <c r="Y115" s="19" t="s">
        <v>5</v>
      </c>
      <c r="Z115" s="20" t="s">
        <v>6</v>
      </c>
      <c r="AA115" s="20" t="s">
        <v>7</v>
      </c>
      <c r="AB115" s="21" t="s">
        <v>8</v>
      </c>
    </row>
    <row r="116" spans="2:28" ht="11.1" customHeight="1" thickBot="1" x14ac:dyDescent="0.25">
      <c r="B116" s="176"/>
      <c r="C116" s="176"/>
      <c r="D116" s="177">
        <f>1.8*10^(-8)</f>
        <v>1.8000000000000002E-8</v>
      </c>
      <c r="E116" s="178" t="s">
        <v>27</v>
      </c>
      <c r="F116" s="179" t="s">
        <v>17</v>
      </c>
      <c r="G116" s="46"/>
      <c r="H116" s="46"/>
      <c r="I116" s="46"/>
      <c r="J116" s="46"/>
      <c r="K116" s="46"/>
      <c r="L116" s="124">
        <f>D116*L110*365*IF(L115="-",0,IF(L115="ND",0,L115)*1000)</f>
        <v>7.6606200000000008E-3</v>
      </c>
      <c r="M116" s="46">
        <f>SUM(G116:L116)</f>
        <v>7.6606200000000008E-3</v>
      </c>
      <c r="O116" s="22" t="s">
        <v>9</v>
      </c>
      <c r="P116" s="23"/>
      <c r="Q116" s="24"/>
      <c r="R116" s="25" t="s">
        <v>10</v>
      </c>
      <c r="S116" s="25"/>
      <c r="T116" s="74"/>
      <c r="U116" s="18"/>
      <c r="V116" s="26" t="s">
        <v>11</v>
      </c>
      <c r="W116" s="27" t="s">
        <v>12</v>
      </c>
      <c r="X116" s="27" t="s">
        <v>13</v>
      </c>
      <c r="Y116" s="28" t="s">
        <v>14</v>
      </c>
      <c r="Z116" s="27" t="s">
        <v>15</v>
      </c>
      <c r="AA116" s="27" t="s">
        <v>16</v>
      </c>
      <c r="AB116" s="29"/>
    </row>
    <row r="117" spans="2:28" ht="11.1" customHeight="1" thickTop="1" x14ac:dyDescent="0.2">
      <c r="B117" s="160"/>
      <c r="C117" s="161"/>
      <c r="D117" s="162"/>
      <c r="E117" s="76" t="s">
        <v>18</v>
      </c>
      <c r="F117" s="163" t="s">
        <v>19</v>
      </c>
      <c r="G117" s="164">
        <v>100</v>
      </c>
      <c r="H117" s="165">
        <v>389.4</v>
      </c>
      <c r="I117" s="164">
        <v>200</v>
      </c>
      <c r="J117" s="164">
        <v>20</v>
      </c>
      <c r="K117" s="164">
        <v>40</v>
      </c>
      <c r="L117" s="166">
        <v>2.65</v>
      </c>
      <c r="M117" s="167"/>
      <c r="O117" s="31" t="s">
        <v>17</v>
      </c>
      <c r="P117" s="23"/>
      <c r="Q117" s="24"/>
      <c r="R117" s="17" t="s">
        <v>18</v>
      </c>
      <c r="S117" s="17"/>
      <c r="T117" s="74"/>
      <c r="U117" s="76" t="s">
        <v>19</v>
      </c>
      <c r="V117" s="68">
        <v>100</v>
      </c>
      <c r="W117" s="68">
        <v>205</v>
      </c>
      <c r="X117" s="68">
        <v>200</v>
      </c>
      <c r="Y117" s="68">
        <v>20</v>
      </c>
      <c r="Z117" s="68">
        <v>40</v>
      </c>
      <c r="AA117" s="69">
        <v>2200</v>
      </c>
      <c r="AB117" s="70"/>
    </row>
    <row r="118" spans="2:28" ht="11.1" customHeight="1" x14ac:dyDescent="0.2">
      <c r="B118" s="160"/>
      <c r="C118" s="160" t="s">
        <v>157</v>
      </c>
      <c r="D118" s="168" t="s">
        <v>22</v>
      </c>
      <c r="E118" s="163" t="s">
        <v>23</v>
      </c>
      <c r="F118" s="169" t="s">
        <v>24</v>
      </c>
      <c r="G118" s="120">
        <v>2.3E-2</v>
      </c>
      <c r="H118" s="120" t="s">
        <v>159</v>
      </c>
      <c r="I118" s="120">
        <v>0.124</v>
      </c>
      <c r="J118" s="120">
        <v>3.1E-2</v>
      </c>
      <c r="K118" s="120" t="s">
        <v>159</v>
      </c>
      <c r="L118" s="120" t="s">
        <v>159</v>
      </c>
      <c r="M118" s="167"/>
      <c r="O118" s="32"/>
      <c r="P118" s="32" t="s">
        <v>21</v>
      </c>
      <c r="Q118" s="33" t="s">
        <v>22</v>
      </c>
      <c r="R118" s="74" t="s">
        <v>23</v>
      </c>
      <c r="S118" s="74"/>
      <c r="T118" s="74"/>
      <c r="U118" s="76" t="s">
        <v>24</v>
      </c>
      <c r="V118" s="71">
        <v>3.3000000000000002E-2</v>
      </c>
      <c r="W118" s="71">
        <v>2.1999999999999999E-2</v>
      </c>
      <c r="X118" s="71">
        <v>0.12</v>
      </c>
      <c r="Y118" s="71">
        <v>3.2000000000000001E-2</v>
      </c>
      <c r="Z118" s="72" t="s">
        <v>25</v>
      </c>
      <c r="AA118" s="72" t="s">
        <v>25</v>
      </c>
      <c r="AB118" s="73"/>
    </row>
    <row r="119" spans="2:28" ht="11.1" customHeight="1" x14ac:dyDescent="0.2">
      <c r="B119" s="160" t="s">
        <v>162</v>
      </c>
      <c r="C119" s="170"/>
      <c r="D119" s="171">
        <f>1.3*10^(-5)</f>
        <v>1.3000000000000001E-5</v>
      </c>
      <c r="E119" s="172" t="s">
        <v>27</v>
      </c>
      <c r="F119" s="173" t="s">
        <v>17</v>
      </c>
      <c r="G119" s="119">
        <f>D119*G117/1000*365*IF(G118="-",0,IF(G118="ND",0,G118)*1000)</f>
        <v>1.0913500000000003E-2</v>
      </c>
      <c r="H119" s="119">
        <f>D119*H117/1000*365*IF(H118="-",0,IF(H118="ND",0,H118)*1000)</f>
        <v>0</v>
      </c>
      <c r="I119" s="119">
        <f>D119*I117/1000*365*IF(I118="-",0,IF(I118="ND",0,I118)*1000)</f>
        <v>0.11767600000000003</v>
      </c>
      <c r="J119" s="119">
        <f>D119*J117/1000*365*IF(J118="-",0,IF(J118="ND",0,J118)*1000)</f>
        <v>2.9419000000000003E-3</v>
      </c>
      <c r="K119" s="119">
        <f>D119*K117/1000*365*IF(K118="-",0,IF(K118="ND",0,K118)*1000)</f>
        <v>0</v>
      </c>
      <c r="L119" s="119">
        <f>D119*L117*365*IF(L118="-",0,IF(L118="ND",0,L118)*1000)</f>
        <v>0</v>
      </c>
      <c r="M119" s="45">
        <f>SUM(G119:L119)</f>
        <v>0.13153140000000002</v>
      </c>
      <c r="O119" s="32" t="s">
        <v>29</v>
      </c>
      <c r="P119" s="34"/>
      <c r="Q119" s="141">
        <f>1.4*10^(-5)</f>
        <v>1.4E-5</v>
      </c>
      <c r="R119" s="75" t="s">
        <v>27</v>
      </c>
      <c r="S119" s="75"/>
      <c r="T119" s="75"/>
      <c r="U119" s="77" t="s">
        <v>17</v>
      </c>
      <c r="V119" s="142">
        <f>Q119*V117/1000*365*IF(V118="-",0,V118)*1000</f>
        <v>1.6862999999999996E-2</v>
      </c>
      <c r="W119" s="142">
        <f>Q119*W117/1000*365*IF(W118="-",0,W118)*1000</f>
        <v>2.3046099999999996E-2</v>
      </c>
      <c r="X119" s="142">
        <f>Q119*X117/1000*365*IF(X118="-",0,X118)*1000</f>
        <v>0.12263999999999997</v>
      </c>
      <c r="Y119" s="142">
        <f>Q119*Y117/1000*365*IF(Y118="-",0,Y118)*1000</f>
        <v>3.2703999999999997E-3</v>
      </c>
      <c r="Z119" s="142">
        <f>Q119*Z117/1000*365*IF(Z118="-",0,Z118)*1000</f>
        <v>0</v>
      </c>
      <c r="AA119" s="142">
        <f>Q119*AA117/1000*365*IF(AA118="-",0,AA118)*1000</f>
        <v>0</v>
      </c>
      <c r="AB119" s="142">
        <f>SUM(V119:AA119)</f>
        <v>0.16581949999999995</v>
      </c>
    </row>
    <row r="120" spans="2:28" ht="11.1" customHeight="1" x14ac:dyDescent="0.2">
      <c r="B120" s="160"/>
      <c r="C120" s="160" t="s">
        <v>30</v>
      </c>
      <c r="D120" s="168" t="s">
        <v>22</v>
      </c>
      <c r="E120" s="163" t="s">
        <v>23</v>
      </c>
      <c r="F120" s="169" t="s">
        <v>24</v>
      </c>
      <c r="G120" s="121"/>
      <c r="H120" s="120">
        <v>5.1999999999999998E-3</v>
      </c>
      <c r="I120" s="121" t="s">
        <v>159</v>
      </c>
      <c r="J120" s="121" t="s">
        <v>159</v>
      </c>
      <c r="K120" s="121" t="s">
        <v>159</v>
      </c>
      <c r="L120" s="120"/>
      <c r="M120" s="181"/>
      <c r="O120" s="32"/>
      <c r="P120" s="32" t="s">
        <v>30</v>
      </c>
      <c r="Q120" s="33" t="s">
        <v>22</v>
      </c>
      <c r="R120" s="74" t="s">
        <v>23</v>
      </c>
      <c r="S120" s="74"/>
      <c r="T120" s="74"/>
      <c r="U120" s="76" t="s">
        <v>24</v>
      </c>
      <c r="V120" s="71"/>
      <c r="W120" s="72" t="s">
        <v>25</v>
      </c>
      <c r="X120" s="72" t="s">
        <v>25</v>
      </c>
      <c r="Y120" s="72" t="s">
        <v>25</v>
      </c>
      <c r="Z120" s="72">
        <v>4.1000000000000002E-2</v>
      </c>
      <c r="AA120" s="71"/>
      <c r="AB120" s="73"/>
    </row>
    <row r="121" spans="2:28" ht="11.1" customHeight="1" x14ac:dyDescent="0.2">
      <c r="B121" s="180">
        <f>M119+M121+M123</f>
        <v>0.16650228360000002</v>
      </c>
      <c r="C121" s="170"/>
      <c r="D121" s="171">
        <f>2.8*10^(-5)</f>
        <v>2.8E-5</v>
      </c>
      <c r="E121" s="172" t="s">
        <v>27</v>
      </c>
      <c r="F121" s="173" t="s">
        <v>17</v>
      </c>
      <c r="G121" s="119"/>
      <c r="H121" s="119">
        <f>D121*H117/1000*365*IF(H120="-",0,IF(H120="ND",0,H120)*1000)</f>
        <v>2.06942736E-2</v>
      </c>
      <c r="I121" s="119">
        <f>D121*I117/1000*365*IF(I120="-",0,IF(I120="ND",0,I120)*1000)</f>
        <v>0</v>
      </c>
      <c r="J121" s="119">
        <f>D121*J117/1000*365*IF(J120="-",0,IF(J120="ND",0,J120)*1000)</f>
        <v>0</v>
      </c>
      <c r="K121" s="119">
        <f>D121*K117/1000*365*IF(K120="-",0,IF(K120="ND",0,K120)*1000)</f>
        <v>0</v>
      </c>
      <c r="L121" s="119"/>
      <c r="M121" s="45">
        <f>SUM(G121:L121)</f>
        <v>2.06942736E-2</v>
      </c>
      <c r="O121" s="140">
        <f>AB119+AB121+AB123</f>
        <v>0.20238519999999996</v>
      </c>
      <c r="P121" s="34"/>
      <c r="Q121" s="141">
        <f>3.6*10^(-5)</f>
        <v>3.6000000000000001E-5</v>
      </c>
      <c r="R121" s="75" t="s">
        <v>27</v>
      </c>
      <c r="S121" s="75"/>
      <c r="T121" s="75"/>
      <c r="U121" s="77" t="s">
        <v>17</v>
      </c>
      <c r="V121" s="142"/>
      <c r="W121" s="142">
        <f>Q121*W117/1000*365*IF(W120="-",0,W120)*1000</f>
        <v>0</v>
      </c>
      <c r="X121" s="142">
        <f>Q121*X117/1000*365*IF(X120="-",0,X120)*1000</f>
        <v>0</v>
      </c>
      <c r="Y121" s="142">
        <f>Q121*Y117/1000*365*IF(Y120="-",0,Y120)*1000</f>
        <v>0</v>
      </c>
      <c r="Z121" s="142">
        <f>Q121*Z117/1000*365*IF(Z120="-",0,Z120)*1000</f>
        <v>2.1549600000000006E-2</v>
      </c>
      <c r="AA121" s="142"/>
      <c r="AB121" s="142">
        <f>SUM(V121:AA121)</f>
        <v>2.1549600000000006E-2</v>
      </c>
    </row>
    <row r="122" spans="2:28" ht="11.1" customHeight="1" x14ac:dyDescent="0.2">
      <c r="B122" s="174" t="s">
        <v>17</v>
      </c>
      <c r="C122" s="160" t="s">
        <v>32</v>
      </c>
      <c r="D122" s="168" t="s">
        <v>22</v>
      </c>
      <c r="E122" s="163" t="s">
        <v>23</v>
      </c>
      <c r="F122" s="175" t="s">
        <v>33</v>
      </c>
      <c r="G122" s="122"/>
      <c r="H122" s="122"/>
      <c r="I122" s="122"/>
      <c r="J122" s="122"/>
      <c r="K122" s="122"/>
      <c r="L122" s="121">
        <v>0.82</v>
      </c>
      <c r="M122" s="181"/>
      <c r="O122" s="36" t="s">
        <v>17</v>
      </c>
      <c r="P122" s="32" t="s">
        <v>32</v>
      </c>
      <c r="Q122" s="33" t="s">
        <v>22</v>
      </c>
      <c r="R122" s="74" t="s">
        <v>23</v>
      </c>
      <c r="S122" s="74"/>
      <c r="T122" s="74"/>
      <c r="U122" s="78" t="s">
        <v>33</v>
      </c>
      <c r="V122" s="73"/>
      <c r="W122" s="73"/>
      <c r="X122" s="73"/>
      <c r="Y122" s="73"/>
      <c r="Z122" s="73"/>
      <c r="AA122" s="73">
        <v>1.1000000000000001</v>
      </c>
      <c r="AB122" s="73"/>
    </row>
    <row r="123" spans="2:28" ht="11.1" customHeight="1" thickBot="1" x14ac:dyDescent="0.25">
      <c r="B123" s="176"/>
      <c r="C123" s="176"/>
      <c r="D123" s="177">
        <f>1.8*10^(-8)</f>
        <v>1.8000000000000002E-8</v>
      </c>
      <c r="E123" s="178" t="s">
        <v>27</v>
      </c>
      <c r="F123" s="179" t="s">
        <v>17</v>
      </c>
      <c r="G123" s="46"/>
      <c r="H123" s="46"/>
      <c r="I123" s="46"/>
      <c r="J123" s="46"/>
      <c r="K123" s="46"/>
      <c r="L123" s="124">
        <f>D123*L117*365*IF(L122="-",0,L122)*1000</f>
        <v>1.427661E-2</v>
      </c>
      <c r="M123" s="46">
        <f>SUM(G123:L123)</f>
        <v>1.427661E-2</v>
      </c>
      <c r="O123" s="34"/>
      <c r="P123" s="34"/>
      <c r="Q123" s="141">
        <f>1.7*10^(-8)</f>
        <v>1.7E-8</v>
      </c>
      <c r="R123" s="75" t="s">
        <v>27</v>
      </c>
      <c r="S123" s="75"/>
      <c r="T123" s="75"/>
      <c r="U123" s="77" t="s">
        <v>17</v>
      </c>
      <c r="V123" s="142"/>
      <c r="W123" s="142"/>
      <c r="X123" s="142"/>
      <c r="Y123" s="142"/>
      <c r="Z123" s="142"/>
      <c r="AA123" s="142">
        <f>Q123*AA117/1000*365*IF(AA122="-",0,AA122)*1000</f>
        <v>1.5016100000000003E-2</v>
      </c>
      <c r="AB123" s="142">
        <f>SUM(V123:AA123)</f>
        <v>1.5016100000000003E-2</v>
      </c>
    </row>
    <row r="124" spans="2:28" ht="11.1" customHeight="1" thickTop="1" x14ac:dyDescent="0.2">
      <c r="B124" s="160"/>
      <c r="C124" s="161"/>
      <c r="D124" s="162"/>
      <c r="E124" s="76" t="s">
        <v>18</v>
      </c>
      <c r="F124" s="163" t="s">
        <v>19</v>
      </c>
      <c r="G124" s="164">
        <v>100</v>
      </c>
      <c r="H124" s="165">
        <v>389.4</v>
      </c>
      <c r="I124" s="164">
        <v>200</v>
      </c>
      <c r="J124" s="164">
        <v>20</v>
      </c>
      <c r="K124" s="164">
        <v>40</v>
      </c>
      <c r="L124" s="166">
        <v>2.65</v>
      </c>
      <c r="M124" s="167"/>
    </row>
    <row r="125" spans="2:28" ht="11.1" customHeight="1" x14ac:dyDescent="0.2">
      <c r="B125" s="160"/>
      <c r="C125" s="160" t="s">
        <v>157</v>
      </c>
      <c r="D125" s="168" t="s">
        <v>22</v>
      </c>
      <c r="E125" s="163" t="s">
        <v>23</v>
      </c>
      <c r="F125" s="169" t="s">
        <v>24</v>
      </c>
      <c r="G125" s="120" t="s">
        <v>42</v>
      </c>
      <c r="H125" s="120" t="s">
        <v>159</v>
      </c>
      <c r="I125" s="120">
        <v>0.13</v>
      </c>
      <c r="J125" s="120">
        <v>2.4E-2</v>
      </c>
      <c r="K125" s="120" t="s">
        <v>159</v>
      </c>
      <c r="L125" s="120" t="s">
        <v>159</v>
      </c>
      <c r="M125" s="167"/>
      <c r="O125" s="50" t="s">
        <v>47</v>
      </c>
    </row>
    <row r="126" spans="2:28" ht="11.1" customHeight="1" x14ac:dyDescent="0.2">
      <c r="B126" s="160" t="s">
        <v>163</v>
      </c>
      <c r="C126" s="170"/>
      <c r="D126" s="171">
        <f>1.3*10^(-5)</f>
        <v>1.3000000000000001E-5</v>
      </c>
      <c r="E126" s="172" t="s">
        <v>27</v>
      </c>
      <c r="F126" s="173" t="s">
        <v>17</v>
      </c>
      <c r="G126" s="119">
        <f>D126*G124/1000*365*IF(G125="-",0,IF(G125="ND",0,G125)*1000)</f>
        <v>0</v>
      </c>
      <c r="H126" s="119">
        <f>D126*H124/1000*365*IF(H125="-",0,IF(H125="ND",0,H125)*1000)</f>
        <v>0</v>
      </c>
      <c r="I126" s="119">
        <f>D126*I124/1000*365*IF(I125="-",0,IF(I125="ND",0,I125)*1000)</f>
        <v>0.12337000000000002</v>
      </c>
      <c r="J126" s="119">
        <f>D126*J124/1000*365*IF(J125="-",0,IF(J125="ND",0,J125)*1000)</f>
        <v>2.2776000000000003E-3</v>
      </c>
      <c r="K126" s="119">
        <f>D126*K124/1000*365*IF(K125="-",0,IF(K125="ND",0,K125)*1000)</f>
        <v>0</v>
      </c>
      <c r="L126" s="119">
        <f>D126*L124*365*IF(L125="-",0,IF(L125="ND",0,L125)*1000)</f>
        <v>0</v>
      </c>
      <c r="M126" s="45">
        <f>SUM(G126:L126)</f>
        <v>0.12564760000000003</v>
      </c>
      <c r="O126" s="61"/>
      <c r="P126" s="200" t="s">
        <v>63</v>
      </c>
      <c r="Q126" s="203" t="s">
        <v>64</v>
      </c>
      <c r="R126" s="203" t="s">
        <v>65</v>
      </c>
      <c r="S126" s="203" t="s">
        <v>66</v>
      </c>
      <c r="T126" s="194" t="s">
        <v>83</v>
      </c>
      <c r="U126" s="197" t="s">
        <v>84</v>
      </c>
    </row>
    <row r="127" spans="2:28" ht="11.1" customHeight="1" x14ac:dyDescent="0.2">
      <c r="B127" s="160"/>
      <c r="C127" s="160" t="s">
        <v>30</v>
      </c>
      <c r="D127" s="168" t="s">
        <v>22</v>
      </c>
      <c r="E127" s="163" t="s">
        <v>23</v>
      </c>
      <c r="F127" s="169" t="s">
        <v>24</v>
      </c>
      <c r="G127" s="121"/>
      <c r="H127" s="120">
        <v>7.0000000000000001E-3</v>
      </c>
      <c r="I127" s="121" t="s">
        <v>159</v>
      </c>
      <c r="J127" s="121" t="s">
        <v>159</v>
      </c>
      <c r="K127" s="121" t="s">
        <v>159</v>
      </c>
      <c r="L127" s="120"/>
      <c r="M127" s="181"/>
      <c r="O127" s="62"/>
      <c r="P127" s="201"/>
      <c r="Q127" s="204"/>
      <c r="R127" s="204"/>
      <c r="S127" s="204"/>
      <c r="T127" s="195"/>
      <c r="U127" s="198"/>
    </row>
    <row r="128" spans="2:28" ht="11.1" customHeight="1" x14ac:dyDescent="0.2">
      <c r="B128" s="180">
        <f>M126+M128+M130</f>
        <v>0.16429978600000003</v>
      </c>
      <c r="C128" s="170"/>
      <c r="D128" s="171">
        <f>2.8*10^(-5)</f>
        <v>2.8E-5</v>
      </c>
      <c r="E128" s="172" t="s">
        <v>27</v>
      </c>
      <c r="F128" s="173" t="s">
        <v>17</v>
      </c>
      <c r="G128" s="119"/>
      <c r="H128" s="119">
        <f>D128*H124/1000*365*IF(H127="-",0,IF(H127="ND",0,H127)*1000)</f>
        <v>2.7857675999999998E-2</v>
      </c>
      <c r="I128" s="119">
        <f>D128*I124/1000*365*IF(I127="-",0,IF(I127="ND",0,I127)*1000)</f>
        <v>0</v>
      </c>
      <c r="J128" s="119">
        <f>D128*J124/1000*365*IF(J127="-",0,IF(J127="ND",0,J127)*1000)</f>
        <v>0</v>
      </c>
      <c r="K128" s="119">
        <f>D128*K124/1000*365*IF(K127="-",0,IF(K127="ND",0,K127)*1000)</f>
        <v>0</v>
      </c>
      <c r="L128" s="119"/>
      <c r="M128" s="45">
        <f>SUM(G128:L128)</f>
        <v>2.7857675999999998E-2</v>
      </c>
      <c r="O128" s="63"/>
      <c r="P128" s="202"/>
      <c r="Q128" s="205"/>
      <c r="R128" s="205"/>
      <c r="S128" s="205"/>
      <c r="T128" s="196"/>
      <c r="U128" s="199"/>
    </row>
    <row r="129" spans="2:21" ht="11.1" customHeight="1" x14ac:dyDescent="0.2">
      <c r="B129" s="174" t="s">
        <v>17</v>
      </c>
      <c r="C129" s="160" t="s">
        <v>32</v>
      </c>
      <c r="D129" s="168" t="s">
        <v>22</v>
      </c>
      <c r="E129" s="163" t="s">
        <v>23</v>
      </c>
      <c r="F129" s="175" t="s">
        <v>33</v>
      </c>
      <c r="G129" s="122"/>
      <c r="H129" s="122"/>
      <c r="I129" s="122"/>
      <c r="J129" s="122"/>
      <c r="K129" s="122"/>
      <c r="L129" s="121">
        <v>0.62</v>
      </c>
      <c r="M129" s="181"/>
      <c r="O129" s="64" t="s">
        <v>48</v>
      </c>
      <c r="P129" s="58">
        <v>16</v>
      </c>
      <c r="Q129" s="56">
        <v>15</v>
      </c>
      <c r="R129" s="56">
        <v>15</v>
      </c>
      <c r="S129" s="56">
        <v>16</v>
      </c>
      <c r="T129" s="97">
        <f>SUM(P129:S129)</f>
        <v>62</v>
      </c>
      <c r="U129" s="100">
        <f>T129*0.007</f>
        <v>0.434</v>
      </c>
    </row>
    <row r="130" spans="2:21" ht="11.1" customHeight="1" thickBot="1" x14ac:dyDescent="0.25">
      <c r="B130" s="176"/>
      <c r="C130" s="176"/>
      <c r="D130" s="177">
        <f>1.8*10^(-8)</f>
        <v>1.8000000000000002E-8</v>
      </c>
      <c r="E130" s="178" t="s">
        <v>27</v>
      </c>
      <c r="F130" s="179" t="s">
        <v>17</v>
      </c>
      <c r="G130" s="46"/>
      <c r="H130" s="46"/>
      <c r="I130" s="46"/>
      <c r="J130" s="46"/>
      <c r="K130" s="46"/>
      <c r="L130" s="124">
        <f>D130*L124*365*IF(L129="-",0,L129)*1000</f>
        <v>1.079451E-2</v>
      </c>
      <c r="M130" s="46">
        <f>SUM(G130:L130)</f>
        <v>1.079451E-2</v>
      </c>
      <c r="O130" s="65" t="s">
        <v>67</v>
      </c>
      <c r="P130" s="59">
        <v>14</v>
      </c>
      <c r="Q130" s="55">
        <v>14</v>
      </c>
      <c r="R130" s="55">
        <v>14</v>
      </c>
      <c r="S130" s="55">
        <v>16</v>
      </c>
      <c r="T130" s="98">
        <f t="shared" ref="T130:T159" si="0">SUM(P130:S130)</f>
        <v>58</v>
      </c>
      <c r="U130" s="101">
        <f t="shared" ref="U130:U159" si="1">T130*0.007</f>
        <v>0.40600000000000003</v>
      </c>
    </row>
    <row r="131" spans="2:21" ht="11.1" customHeight="1" thickTop="1" x14ac:dyDescent="0.2">
      <c r="B131" s="160"/>
      <c r="C131" s="161"/>
      <c r="D131" s="162"/>
      <c r="E131" s="76" t="s">
        <v>18</v>
      </c>
      <c r="F131" s="163" t="s">
        <v>19</v>
      </c>
      <c r="G131" s="164">
        <v>100</v>
      </c>
      <c r="H131" s="164">
        <v>362</v>
      </c>
      <c r="I131" s="164">
        <v>200</v>
      </c>
      <c r="J131" s="164">
        <v>20</v>
      </c>
      <c r="K131" s="164">
        <v>40</v>
      </c>
      <c r="L131" s="166">
        <v>2.65</v>
      </c>
      <c r="M131" s="167"/>
      <c r="O131" s="65" t="s">
        <v>49</v>
      </c>
      <c r="P131" s="59">
        <v>13</v>
      </c>
      <c r="Q131" s="55">
        <v>12</v>
      </c>
      <c r="R131" s="55">
        <v>13</v>
      </c>
      <c r="S131" s="55">
        <v>14</v>
      </c>
      <c r="T131" s="98">
        <f t="shared" si="0"/>
        <v>52</v>
      </c>
      <c r="U131" s="101">
        <f t="shared" si="1"/>
        <v>0.36399999999999999</v>
      </c>
    </row>
    <row r="132" spans="2:21" ht="11.1" customHeight="1" x14ac:dyDescent="0.2">
      <c r="B132" s="160"/>
      <c r="C132" s="160" t="s">
        <v>157</v>
      </c>
      <c r="D132" s="168" t="s">
        <v>22</v>
      </c>
      <c r="E132" s="163" t="s">
        <v>23</v>
      </c>
      <c r="F132" s="169" t="s">
        <v>24</v>
      </c>
      <c r="G132" s="120" t="s">
        <v>159</v>
      </c>
      <c r="H132" s="120" t="s">
        <v>159</v>
      </c>
      <c r="I132" s="120">
        <v>0.12</v>
      </c>
      <c r="J132" s="120">
        <v>4.5999999999999999E-2</v>
      </c>
      <c r="K132" s="120">
        <v>2.8000000000000001E-2</v>
      </c>
      <c r="L132" s="120" t="s">
        <v>159</v>
      </c>
      <c r="M132" s="167"/>
      <c r="O132" s="65" t="s">
        <v>50</v>
      </c>
      <c r="P132" s="59">
        <v>13</v>
      </c>
      <c r="Q132" s="55">
        <v>12</v>
      </c>
      <c r="R132" s="55">
        <v>13</v>
      </c>
      <c r="S132" s="55">
        <v>14</v>
      </c>
      <c r="T132" s="98">
        <f t="shared" si="0"/>
        <v>52</v>
      </c>
      <c r="U132" s="101">
        <f t="shared" si="1"/>
        <v>0.36399999999999999</v>
      </c>
    </row>
    <row r="133" spans="2:21" ht="11.1" customHeight="1" x14ac:dyDescent="0.2">
      <c r="B133" s="160" t="s">
        <v>164</v>
      </c>
      <c r="C133" s="170"/>
      <c r="D133" s="171">
        <f>1.3*10^(-5)</f>
        <v>1.3000000000000001E-5</v>
      </c>
      <c r="E133" s="172" t="s">
        <v>27</v>
      </c>
      <c r="F133" s="173" t="s">
        <v>17</v>
      </c>
      <c r="G133" s="119">
        <f>D133*G131/1000*365*IF(G132="-",0,IF(G132="ND",0,G132)*1000)</f>
        <v>0</v>
      </c>
      <c r="H133" s="119">
        <f>D133*H131/1000*365*IF(H132="-",0,IF(H132="ND",0,H132)*1000)</f>
        <v>0</v>
      </c>
      <c r="I133" s="119">
        <f>D133*I131/1000*365*IF(I132="-",0,IF(I132="ND",0,I132)*1000)</f>
        <v>0.11388000000000002</v>
      </c>
      <c r="J133" s="119">
        <f>D133*J131/1000*365*IF(J132="-",0,IF(J132="ND",0,J132)*1000)</f>
        <v>4.3654000000000011E-3</v>
      </c>
      <c r="K133" s="119">
        <f>D133*K131/1000*365*IF(K132="-",0,IF(K132="ND",0,K132)*1000)</f>
        <v>5.3144000000000012E-3</v>
      </c>
      <c r="L133" s="119">
        <f>D133*L131*365*IF(L132="-",0,IF(L132="ND",0,L132)*1000)</f>
        <v>0</v>
      </c>
      <c r="M133" s="45">
        <f>SUM(G133:L133)</f>
        <v>0.12355980000000003</v>
      </c>
      <c r="O133" s="65" t="s">
        <v>51</v>
      </c>
      <c r="P133" s="59">
        <v>16</v>
      </c>
      <c r="Q133" s="55">
        <v>15</v>
      </c>
      <c r="R133" s="55">
        <v>16</v>
      </c>
      <c r="S133" s="55">
        <v>17</v>
      </c>
      <c r="T133" s="98">
        <f t="shared" si="0"/>
        <v>64</v>
      </c>
      <c r="U133" s="101">
        <f t="shared" si="1"/>
        <v>0.44800000000000001</v>
      </c>
    </row>
    <row r="134" spans="2:21" ht="11.1" customHeight="1" x14ac:dyDescent="0.2">
      <c r="B134" s="160"/>
      <c r="C134" s="160" t="s">
        <v>30</v>
      </c>
      <c r="D134" s="168" t="s">
        <v>22</v>
      </c>
      <c r="E134" s="163" t="s">
        <v>23</v>
      </c>
      <c r="F134" s="169" t="s">
        <v>24</v>
      </c>
      <c r="G134" s="121"/>
      <c r="H134" s="120" t="s">
        <v>139</v>
      </c>
      <c r="I134" s="121" t="s">
        <v>159</v>
      </c>
      <c r="J134" s="121" t="s">
        <v>159</v>
      </c>
      <c r="K134" s="121">
        <v>0.03</v>
      </c>
      <c r="L134" s="120"/>
      <c r="M134" s="181"/>
      <c r="O134" s="65" t="s">
        <v>52</v>
      </c>
      <c r="P134" s="59">
        <v>16</v>
      </c>
      <c r="Q134" s="55">
        <v>15</v>
      </c>
      <c r="R134" s="55">
        <v>17</v>
      </c>
      <c r="S134" s="55">
        <v>17</v>
      </c>
      <c r="T134" s="98">
        <f t="shared" si="0"/>
        <v>65</v>
      </c>
      <c r="U134" s="101">
        <f t="shared" si="1"/>
        <v>0.45500000000000002</v>
      </c>
    </row>
    <row r="135" spans="2:21" ht="11.1" customHeight="1" x14ac:dyDescent="0.2">
      <c r="B135" s="180">
        <f>M133+M135+M137</f>
        <v>0.15323430000000002</v>
      </c>
      <c r="C135" s="170"/>
      <c r="D135" s="171">
        <f>2.8*10^(-5)</f>
        <v>2.8E-5</v>
      </c>
      <c r="E135" s="172" t="s">
        <v>27</v>
      </c>
      <c r="F135" s="173" t="s">
        <v>17</v>
      </c>
      <c r="G135" s="119"/>
      <c r="H135" s="119">
        <f>D135*H131/1000*365*IF(H134="-",0,IF(H134="ND",0,H134)*1000)</f>
        <v>0</v>
      </c>
      <c r="I135" s="119">
        <f>D135*I131/1000*365*IF(I134="-",0,IF(I134="ND",0,I134)*1000)</f>
        <v>0</v>
      </c>
      <c r="J135" s="119">
        <f>D135*J131/1000*365*IF(J134="-",0,IF(J134="ND",0,J134)*1000)</f>
        <v>0</v>
      </c>
      <c r="K135" s="119">
        <f>D135*K131/1000*365*IF(K134="-",0,IF(K134="ND",0,K134)*1000)</f>
        <v>1.2263999999999999E-2</v>
      </c>
      <c r="L135" s="119"/>
      <c r="M135" s="45">
        <f>SUM(G135:L135)</f>
        <v>1.2263999999999999E-2</v>
      </c>
      <c r="O135" s="65" t="s">
        <v>68</v>
      </c>
      <c r="P135" s="59">
        <v>14</v>
      </c>
      <c r="Q135" s="55">
        <v>13</v>
      </c>
      <c r="R135" s="55">
        <v>15</v>
      </c>
      <c r="S135" s="55">
        <v>15</v>
      </c>
      <c r="T135" s="98">
        <f t="shared" si="0"/>
        <v>57</v>
      </c>
      <c r="U135" s="101">
        <f t="shared" si="1"/>
        <v>0.39900000000000002</v>
      </c>
    </row>
    <row r="136" spans="2:21" ht="11.1" customHeight="1" x14ac:dyDescent="0.2">
      <c r="B136" s="174" t="s">
        <v>17</v>
      </c>
      <c r="C136" s="160" t="s">
        <v>32</v>
      </c>
      <c r="D136" s="168" t="s">
        <v>22</v>
      </c>
      <c r="E136" s="163" t="s">
        <v>23</v>
      </c>
      <c r="F136" s="175" t="s">
        <v>33</v>
      </c>
      <c r="G136" s="122"/>
      <c r="H136" s="122"/>
      <c r="I136" s="122"/>
      <c r="J136" s="122"/>
      <c r="K136" s="122"/>
      <c r="L136" s="121">
        <v>1</v>
      </c>
      <c r="M136" s="181"/>
      <c r="O136" s="65" t="s">
        <v>53</v>
      </c>
      <c r="P136" s="59">
        <v>16</v>
      </c>
      <c r="Q136" s="55">
        <v>16</v>
      </c>
      <c r="R136" s="55">
        <v>17</v>
      </c>
      <c r="S136" s="55">
        <v>18</v>
      </c>
      <c r="T136" s="98">
        <f t="shared" si="0"/>
        <v>67</v>
      </c>
      <c r="U136" s="101">
        <f t="shared" si="1"/>
        <v>0.46900000000000003</v>
      </c>
    </row>
    <row r="137" spans="2:21" ht="11.1" customHeight="1" thickBot="1" x14ac:dyDescent="0.25">
      <c r="B137" s="176"/>
      <c r="C137" s="176"/>
      <c r="D137" s="177">
        <f>1.8*10^(-8)</f>
        <v>1.8000000000000002E-8</v>
      </c>
      <c r="E137" s="178" t="s">
        <v>27</v>
      </c>
      <c r="F137" s="179" t="s">
        <v>17</v>
      </c>
      <c r="G137" s="46"/>
      <c r="H137" s="46"/>
      <c r="I137" s="46"/>
      <c r="J137" s="46"/>
      <c r="K137" s="46"/>
      <c r="L137" s="124">
        <f>D137*L131*365*IF(L136="-",0,L136)*1000</f>
        <v>1.7410500000000002E-2</v>
      </c>
      <c r="M137" s="46">
        <f>SUM(G137:L137)</f>
        <v>1.7410500000000002E-2</v>
      </c>
      <c r="O137" s="65" t="s">
        <v>54</v>
      </c>
      <c r="P137" s="59">
        <v>19</v>
      </c>
      <c r="Q137" s="55">
        <v>18</v>
      </c>
      <c r="R137" s="55">
        <v>20</v>
      </c>
      <c r="S137" s="55">
        <v>21</v>
      </c>
      <c r="T137" s="98">
        <f t="shared" si="0"/>
        <v>78</v>
      </c>
      <c r="U137" s="101">
        <f t="shared" si="1"/>
        <v>0.54600000000000004</v>
      </c>
    </row>
    <row r="138" spans="2:21" ht="11.1" customHeight="1" thickTop="1" x14ac:dyDescent="0.2">
      <c r="B138" s="160"/>
      <c r="C138" s="161"/>
      <c r="D138" s="162"/>
      <c r="E138" s="76" t="s">
        <v>18</v>
      </c>
      <c r="F138" s="163" t="s">
        <v>19</v>
      </c>
      <c r="G138" s="164">
        <v>100</v>
      </c>
      <c r="H138" s="164">
        <v>362</v>
      </c>
      <c r="I138" s="164">
        <v>200</v>
      </c>
      <c r="J138" s="164">
        <v>20</v>
      </c>
      <c r="K138" s="164">
        <v>40</v>
      </c>
      <c r="L138" s="166">
        <v>2.65</v>
      </c>
      <c r="M138" s="167"/>
      <c r="O138" s="65" t="s">
        <v>69</v>
      </c>
      <c r="P138" s="59">
        <v>12</v>
      </c>
      <c r="Q138" s="55">
        <v>11</v>
      </c>
      <c r="R138" s="55">
        <v>12</v>
      </c>
      <c r="S138" s="55">
        <v>13</v>
      </c>
      <c r="T138" s="98">
        <f t="shared" si="0"/>
        <v>48</v>
      </c>
      <c r="U138" s="101">
        <f t="shared" si="1"/>
        <v>0.33600000000000002</v>
      </c>
    </row>
    <row r="139" spans="2:21" ht="11.1" customHeight="1" x14ac:dyDescent="0.2">
      <c r="B139" s="160"/>
      <c r="C139" s="160" t="s">
        <v>157</v>
      </c>
      <c r="D139" s="168" t="s">
        <v>22</v>
      </c>
      <c r="E139" s="163" t="s">
        <v>23</v>
      </c>
      <c r="F139" s="169" t="s">
        <v>24</v>
      </c>
      <c r="G139" s="120" t="s">
        <v>159</v>
      </c>
      <c r="H139" s="120" t="s">
        <v>159</v>
      </c>
      <c r="I139" s="120">
        <v>0.16</v>
      </c>
      <c r="J139" s="120">
        <v>2.7E-2</v>
      </c>
      <c r="K139" s="120" t="s">
        <v>139</v>
      </c>
      <c r="L139" s="120" t="s">
        <v>159</v>
      </c>
      <c r="M139" s="167"/>
      <c r="O139" s="65" t="s">
        <v>70</v>
      </c>
      <c r="P139" s="59">
        <v>16</v>
      </c>
      <c r="Q139" s="55">
        <v>15</v>
      </c>
      <c r="R139" s="55">
        <v>17</v>
      </c>
      <c r="S139" s="55">
        <v>18</v>
      </c>
      <c r="T139" s="98">
        <f t="shared" si="0"/>
        <v>66</v>
      </c>
      <c r="U139" s="101">
        <f t="shared" si="1"/>
        <v>0.46200000000000002</v>
      </c>
    </row>
    <row r="140" spans="2:21" ht="11.1" customHeight="1" x14ac:dyDescent="0.2">
      <c r="B140" s="160" t="s">
        <v>165</v>
      </c>
      <c r="C140" s="170"/>
      <c r="D140" s="171">
        <f>1.3*10^(-5)</f>
        <v>1.3000000000000001E-5</v>
      </c>
      <c r="E140" s="172" t="s">
        <v>27</v>
      </c>
      <c r="F140" s="173" t="s">
        <v>17</v>
      </c>
      <c r="G140" s="119">
        <f>D140*G138/1000*365*IF(G139="-",0,G139)*1000</f>
        <v>0</v>
      </c>
      <c r="H140" s="119">
        <f>D140*H138/1000*365*IF(H139="-",0,H139)*1000</f>
        <v>0</v>
      </c>
      <c r="I140" s="119">
        <f>D140*I138/1000*365*IF(I139="-",0,I139)*1000</f>
        <v>0.15184000000000003</v>
      </c>
      <c r="J140" s="119">
        <f>D140*J138/1000*365*IF(J139="-",0,J139)*1000</f>
        <v>2.5623000000000004E-3</v>
      </c>
      <c r="K140" s="119">
        <f>D140*K138/1000*365*IF(K139="-",0,K139)*1000</f>
        <v>0</v>
      </c>
      <c r="L140" s="119">
        <f>D140*L138*365*IF(L139="-",0,L139)*1000</f>
        <v>0</v>
      </c>
      <c r="M140" s="45">
        <f>SUM(G140:L140)</f>
        <v>0.15440230000000002</v>
      </c>
      <c r="O140" s="65" t="s">
        <v>55</v>
      </c>
      <c r="P140" s="59">
        <v>14</v>
      </c>
      <c r="Q140" s="55">
        <v>14</v>
      </c>
      <c r="R140" s="55">
        <v>15</v>
      </c>
      <c r="S140" s="55">
        <v>15</v>
      </c>
      <c r="T140" s="98">
        <f t="shared" si="0"/>
        <v>58</v>
      </c>
      <c r="U140" s="101">
        <f t="shared" si="1"/>
        <v>0.40600000000000003</v>
      </c>
    </row>
    <row r="141" spans="2:21" ht="11.1" customHeight="1" x14ac:dyDescent="0.2">
      <c r="B141" s="160"/>
      <c r="C141" s="160" t="s">
        <v>30</v>
      </c>
      <c r="D141" s="168" t="s">
        <v>22</v>
      </c>
      <c r="E141" s="163" t="s">
        <v>23</v>
      </c>
      <c r="F141" s="169" t="s">
        <v>24</v>
      </c>
      <c r="G141" s="121"/>
      <c r="H141" s="120">
        <v>8.0000000000000002E-3</v>
      </c>
      <c r="I141" s="121">
        <v>0.01</v>
      </c>
      <c r="J141" s="121" t="s">
        <v>159</v>
      </c>
      <c r="K141" s="121">
        <v>2.5000000000000001E-2</v>
      </c>
      <c r="L141" s="120"/>
      <c r="M141" s="181"/>
      <c r="O141" s="65" t="s">
        <v>71</v>
      </c>
      <c r="P141" s="59">
        <v>13</v>
      </c>
      <c r="Q141" s="55">
        <v>13</v>
      </c>
      <c r="R141" s="55">
        <v>14</v>
      </c>
      <c r="S141" s="55">
        <v>14</v>
      </c>
      <c r="T141" s="98">
        <f t="shared" si="0"/>
        <v>54</v>
      </c>
      <c r="U141" s="101">
        <f t="shared" si="1"/>
        <v>0.378</v>
      </c>
    </row>
    <row r="142" spans="2:21" ht="11.1" customHeight="1" x14ac:dyDescent="0.2">
      <c r="B142" s="180">
        <f>M140+M142+M144</f>
        <v>0.23050297500000003</v>
      </c>
      <c r="C142" s="170"/>
      <c r="D142" s="171">
        <f>2.8*10^(-5)</f>
        <v>2.8E-5</v>
      </c>
      <c r="E142" s="172" t="s">
        <v>27</v>
      </c>
      <c r="F142" s="173" t="s">
        <v>17</v>
      </c>
      <c r="G142" s="119"/>
      <c r="H142" s="119">
        <f>D142*H138/1000*365*IF(H141="-",0,H141)*1000</f>
        <v>2.9597120000000001E-2</v>
      </c>
      <c r="I142" s="119">
        <f>D142*I138/1000*365*IF(I141="-",0,I141)*1000</f>
        <v>2.0439999999999996E-2</v>
      </c>
      <c r="J142" s="119">
        <f>D142*J138/1000*365*IF(J141="-",0,J141)*1000</f>
        <v>0</v>
      </c>
      <c r="K142" s="119">
        <f>D142*K138/1000*365*IF(K141="-",0,K141)*1000</f>
        <v>1.022E-2</v>
      </c>
      <c r="L142" s="119"/>
      <c r="M142" s="45">
        <f>SUM(G142:L142)</f>
        <v>6.0257119999999997E-2</v>
      </c>
      <c r="O142" s="65" t="s">
        <v>72</v>
      </c>
      <c r="P142" s="59">
        <v>17</v>
      </c>
      <c r="Q142" s="55">
        <v>16</v>
      </c>
      <c r="R142" s="55">
        <v>18</v>
      </c>
      <c r="S142" s="55">
        <v>19</v>
      </c>
      <c r="T142" s="98">
        <f t="shared" si="0"/>
        <v>70</v>
      </c>
      <c r="U142" s="101">
        <f t="shared" si="1"/>
        <v>0.49</v>
      </c>
    </row>
    <row r="143" spans="2:21" ht="11.1" customHeight="1" x14ac:dyDescent="0.2">
      <c r="B143" s="174" t="s">
        <v>17</v>
      </c>
      <c r="C143" s="160" t="s">
        <v>32</v>
      </c>
      <c r="D143" s="168" t="s">
        <v>22</v>
      </c>
      <c r="E143" s="163" t="s">
        <v>23</v>
      </c>
      <c r="F143" s="175" t="s">
        <v>33</v>
      </c>
      <c r="G143" s="122"/>
      <c r="H143" s="122"/>
      <c r="I143" s="122"/>
      <c r="J143" s="122"/>
      <c r="K143" s="122"/>
      <c r="L143" s="121">
        <v>0.91</v>
      </c>
      <c r="M143" s="181"/>
      <c r="O143" s="65" t="s">
        <v>73</v>
      </c>
      <c r="P143" s="59">
        <v>17</v>
      </c>
      <c r="Q143" s="55">
        <v>16</v>
      </c>
      <c r="R143" s="55">
        <v>17</v>
      </c>
      <c r="S143" s="55">
        <v>18</v>
      </c>
      <c r="T143" s="98">
        <f t="shared" si="0"/>
        <v>68</v>
      </c>
      <c r="U143" s="101">
        <f t="shared" si="1"/>
        <v>0.47600000000000003</v>
      </c>
    </row>
    <row r="144" spans="2:21" ht="11.1" customHeight="1" thickBot="1" x14ac:dyDescent="0.25">
      <c r="B144" s="176"/>
      <c r="C144" s="176"/>
      <c r="D144" s="177">
        <f>1.8*10^(-8)</f>
        <v>1.8000000000000002E-8</v>
      </c>
      <c r="E144" s="178" t="s">
        <v>27</v>
      </c>
      <c r="F144" s="179" t="s">
        <v>17</v>
      </c>
      <c r="G144" s="46"/>
      <c r="H144" s="46"/>
      <c r="I144" s="46"/>
      <c r="J144" s="46"/>
      <c r="K144" s="46"/>
      <c r="L144" s="124">
        <f>D144*L138*365*IF(L143="-",0,L143)*1000</f>
        <v>1.5843555000000002E-2</v>
      </c>
      <c r="M144" s="46">
        <f>SUM(G144:L144)</f>
        <v>1.5843555000000002E-2</v>
      </c>
      <c r="O144" s="65" t="s">
        <v>74</v>
      </c>
      <c r="P144" s="59">
        <v>16</v>
      </c>
      <c r="Q144" s="55">
        <v>15</v>
      </c>
      <c r="R144" s="55">
        <v>17</v>
      </c>
      <c r="S144" s="55">
        <v>18</v>
      </c>
      <c r="T144" s="98">
        <f t="shared" si="0"/>
        <v>66</v>
      </c>
      <c r="U144" s="101">
        <f t="shared" si="1"/>
        <v>0.46200000000000002</v>
      </c>
    </row>
    <row r="145" spans="2:21" ht="11.1" customHeight="1" thickTop="1" x14ac:dyDescent="0.2">
      <c r="B145" s="160"/>
      <c r="C145" s="161"/>
      <c r="D145" s="162"/>
      <c r="E145" s="76" t="s">
        <v>18</v>
      </c>
      <c r="F145" s="163" t="s">
        <v>19</v>
      </c>
      <c r="G145" s="164">
        <v>100</v>
      </c>
      <c r="H145" s="164">
        <v>362</v>
      </c>
      <c r="I145" s="164">
        <v>200</v>
      </c>
      <c r="J145" s="164">
        <v>20</v>
      </c>
      <c r="K145" s="164">
        <v>40</v>
      </c>
      <c r="L145" s="166">
        <v>2.65</v>
      </c>
      <c r="M145" s="167"/>
      <c r="O145" s="65" t="s">
        <v>75</v>
      </c>
      <c r="P145" s="59">
        <v>16</v>
      </c>
      <c r="Q145" s="55">
        <v>15</v>
      </c>
      <c r="R145" s="55">
        <v>17</v>
      </c>
      <c r="S145" s="55">
        <v>18</v>
      </c>
      <c r="T145" s="98">
        <f t="shared" si="0"/>
        <v>66</v>
      </c>
      <c r="U145" s="101">
        <f t="shared" si="1"/>
        <v>0.46200000000000002</v>
      </c>
    </row>
    <row r="146" spans="2:21" ht="11.1" customHeight="1" x14ac:dyDescent="0.2">
      <c r="B146" s="160"/>
      <c r="C146" s="160" t="s">
        <v>157</v>
      </c>
      <c r="D146" s="168" t="s">
        <v>22</v>
      </c>
      <c r="E146" s="163" t="s">
        <v>23</v>
      </c>
      <c r="F146" s="169" t="s">
        <v>24</v>
      </c>
      <c r="G146" s="120" t="s">
        <v>159</v>
      </c>
      <c r="H146" s="120">
        <v>2.5000000000000001E-2</v>
      </c>
      <c r="I146" s="120">
        <v>0.13</v>
      </c>
      <c r="J146" s="120">
        <v>4.8000000000000001E-2</v>
      </c>
      <c r="K146" s="120" t="s">
        <v>159</v>
      </c>
      <c r="L146" s="120" t="s">
        <v>159</v>
      </c>
      <c r="M146" s="167"/>
      <c r="O146" s="65" t="s">
        <v>76</v>
      </c>
      <c r="P146" s="59">
        <v>15</v>
      </c>
      <c r="Q146" s="55">
        <v>14</v>
      </c>
      <c r="R146" s="55">
        <v>16</v>
      </c>
      <c r="S146" s="55">
        <v>17</v>
      </c>
      <c r="T146" s="98">
        <f t="shared" si="0"/>
        <v>62</v>
      </c>
      <c r="U146" s="101">
        <f t="shared" si="1"/>
        <v>0.434</v>
      </c>
    </row>
    <row r="147" spans="2:21" ht="11.1" customHeight="1" x14ac:dyDescent="0.2">
      <c r="B147" s="160" t="s">
        <v>166</v>
      </c>
      <c r="C147" s="170"/>
      <c r="D147" s="171">
        <f>1.3*10^(-5)</f>
        <v>1.3000000000000001E-5</v>
      </c>
      <c r="E147" s="172" t="s">
        <v>27</v>
      </c>
      <c r="F147" s="173" t="s">
        <v>17</v>
      </c>
      <c r="G147" s="119">
        <f>D147*G145/1000*365*IF(G146="-",0,G146)*1000</f>
        <v>0</v>
      </c>
      <c r="H147" s="119">
        <f>D147*H145/1000*365*IF(H146="-",0,H146)*1000</f>
        <v>4.2942250000000008E-2</v>
      </c>
      <c r="I147" s="119">
        <f>D147*I145/1000*365*IF(I146="-",0,I146)*1000</f>
        <v>0.12337000000000004</v>
      </c>
      <c r="J147" s="119">
        <f>D147*J145/1000*365*IF(J146="-",0,J146)*1000</f>
        <v>4.5552000000000006E-3</v>
      </c>
      <c r="K147" s="119">
        <f>D147*K145/1000*365*IF(K146="-",0,K146)*1000</f>
        <v>0</v>
      </c>
      <c r="L147" s="119">
        <f>D147*L145*365*IF(L146="-",0,L146)*1000</f>
        <v>0</v>
      </c>
      <c r="M147" s="45">
        <f>SUM(G147:L147)</f>
        <v>0.17086745000000006</v>
      </c>
      <c r="O147" s="65" t="s">
        <v>56</v>
      </c>
      <c r="P147" s="59">
        <v>18</v>
      </c>
      <c r="Q147" s="55">
        <v>18</v>
      </c>
      <c r="R147" s="55">
        <v>18</v>
      </c>
      <c r="S147" s="55">
        <v>18</v>
      </c>
      <c r="T147" s="98">
        <f t="shared" si="0"/>
        <v>72</v>
      </c>
      <c r="U147" s="101">
        <f t="shared" si="1"/>
        <v>0.504</v>
      </c>
    </row>
    <row r="148" spans="2:21" ht="11.1" customHeight="1" x14ac:dyDescent="0.2">
      <c r="B148" s="160"/>
      <c r="C148" s="160" t="s">
        <v>30</v>
      </c>
      <c r="D148" s="168" t="s">
        <v>22</v>
      </c>
      <c r="E148" s="163" t="s">
        <v>23</v>
      </c>
      <c r="F148" s="169" t="s">
        <v>24</v>
      </c>
      <c r="G148" s="121"/>
      <c r="H148" s="120" t="s">
        <v>139</v>
      </c>
      <c r="I148" s="121" t="s">
        <v>139</v>
      </c>
      <c r="J148" s="121" t="s">
        <v>159</v>
      </c>
      <c r="K148" s="121">
        <v>2.4E-2</v>
      </c>
      <c r="L148" s="120"/>
      <c r="M148" s="181"/>
      <c r="O148" s="65" t="s">
        <v>57</v>
      </c>
      <c r="P148" s="59">
        <v>18</v>
      </c>
      <c r="Q148" s="55">
        <v>17</v>
      </c>
      <c r="R148" s="55">
        <v>18</v>
      </c>
      <c r="S148" s="55">
        <v>18</v>
      </c>
      <c r="T148" s="98">
        <f t="shared" si="0"/>
        <v>71</v>
      </c>
      <c r="U148" s="101">
        <f t="shared" si="1"/>
        <v>0.497</v>
      </c>
    </row>
    <row r="149" spans="2:21" ht="11.1" customHeight="1" x14ac:dyDescent="0.2">
      <c r="B149" s="180">
        <f>M147+M149+M151</f>
        <v>0.19808915000000005</v>
      </c>
      <c r="C149" s="170"/>
      <c r="D149" s="171">
        <f>2.8*10^(-5)</f>
        <v>2.8E-5</v>
      </c>
      <c r="E149" s="172" t="s">
        <v>27</v>
      </c>
      <c r="F149" s="173" t="s">
        <v>17</v>
      </c>
      <c r="G149" s="119"/>
      <c r="H149" s="119">
        <f>D149*H145/1000*365*IF(H148="-",0,H148)*1000</f>
        <v>0</v>
      </c>
      <c r="I149" s="119">
        <f>D149*I145/1000*365*IF(I148="-",0,I148)*1000</f>
        <v>0</v>
      </c>
      <c r="J149" s="119">
        <f>D149*J145/1000*365*IF(J148="-",0,J148)*1000</f>
        <v>0</v>
      </c>
      <c r="K149" s="119">
        <f>D149*K145/1000*365*IF(K148="-",0,K148)*1000</f>
        <v>9.8111999999999991E-3</v>
      </c>
      <c r="L149" s="119"/>
      <c r="M149" s="45">
        <f>SUM(G149:L149)</f>
        <v>9.8111999999999991E-3</v>
      </c>
      <c r="O149" s="65" t="s">
        <v>77</v>
      </c>
      <c r="P149" s="59">
        <v>15</v>
      </c>
      <c r="Q149" s="55">
        <v>15</v>
      </c>
      <c r="R149" s="55">
        <v>15</v>
      </c>
      <c r="S149" s="55">
        <v>16</v>
      </c>
      <c r="T149" s="98">
        <f t="shared" si="0"/>
        <v>61</v>
      </c>
      <c r="U149" s="101">
        <f t="shared" si="1"/>
        <v>0.42699999999999999</v>
      </c>
    </row>
    <row r="150" spans="2:21" ht="11.1" customHeight="1" x14ac:dyDescent="0.2">
      <c r="B150" s="174" t="s">
        <v>17</v>
      </c>
      <c r="C150" s="160" t="s">
        <v>32</v>
      </c>
      <c r="D150" s="168" t="s">
        <v>22</v>
      </c>
      <c r="E150" s="163" t="s">
        <v>23</v>
      </c>
      <c r="F150" s="175" t="s">
        <v>33</v>
      </c>
      <c r="G150" s="122"/>
      <c r="H150" s="122"/>
      <c r="I150" s="122"/>
      <c r="J150" s="122"/>
      <c r="K150" s="122"/>
      <c r="L150" s="121">
        <v>1</v>
      </c>
      <c r="M150" s="181"/>
      <c r="O150" s="65" t="s">
        <v>58</v>
      </c>
      <c r="P150" s="59">
        <v>15</v>
      </c>
      <c r="Q150" s="55">
        <v>14</v>
      </c>
      <c r="R150" s="55">
        <v>15</v>
      </c>
      <c r="S150" s="55">
        <v>15</v>
      </c>
      <c r="T150" s="98">
        <f t="shared" si="0"/>
        <v>59</v>
      </c>
      <c r="U150" s="101">
        <f t="shared" si="1"/>
        <v>0.41300000000000003</v>
      </c>
    </row>
    <row r="151" spans="2:21" ht="11.1" customHeight="1" thickBot="1" x14ac:dyDescent="0.25">
      <c r="B151" s="176"/>
      <c r="C151" s="176"/>
      <c r="D151" s="177">
        <f>1.8*10^(-8)</f>
        <v>1.8000000000000002E-8</v>
      </c>
      <c r="E151" s="178" t="s">
        <v>27</v>
      </c>
      <c r="F151" s="179" t="s">
        <v>17</v>
      </c>
      <c r="G151" s="46"/>
      <c r="H151" s="46"/>
      <c r="I151" s="46"/>
      <c r="J151" s="46"/>
      <c r="K151" s="46"/>
      <c r="L151" s="124">
        <f>D151*L145*365*IF(L150="-",0,L150)*1000</f>
        <v>1.7410500000000002E-2</v>
      </c>
      <c r="M151" s="46">
        <f>SUM(G151:L151)</f>
        <v>1.7410500000000002E-2</v>
      </c>
      <c r="O151" s="65" t="s">
        <v>59</v>
      </c>
      <c r="P151" s="59">
        <v>14</v>
      </c>
      <c r="Q151" s="55">
        <v>15</v>
      </c>
      <c r="R151" s="55">
        <v>15</v>
      </c>
      <c r="S151" s="55">
        <v>15</v>
      </c>
      <c r="T151" s="98">
        <f t="shared" si="0"/>
        <v>59</v>
      </c>
      <c r="U151" s="101">
        <f t="shared" si="1"/>
        <v>0.41300000000000003</v>
      </c>
    </row>
    <row r="152" spans="2:21" ht="11.1" customHeight="1" thickTop="1" x14ac:dyDescent="0.2">
      <c r="B152" s="160"/>
      <c r="C152" s="161"/>
      <c r="D152" s="162"/>
      <c r="E152" s="76" t="s">
        <v>18</v>
      </c>
      <c r="F152" s="163" t="s">
        <v>19</v>
      </c>
      <c r="G152" s="164">
        <v>100</v>
      </c>
      <c r="H152" s="164">
        <v>172</v>
      </c>
      <c r="I152" s="164">
        <v>200</v>
      </c>
      <c r="J152" s="164">
        <v>20</v>
      </c>
      <c r="K152" s="164">
        <v>40</v>
      </c>
      <c r="L152" s="166">
        <v>2.65</v>
      </c>
      <c r="M152" s="167"/>
      <c r="O152" s="65" t="s">
        <v>60</v>
      </c>
      <c r="P152" s="59">
        <v>17</v>
      </c>
      <c r="Q152" s="55">
        <v>17</v>
      </c>
      <c r="R152" s="55">
        <v>18</v>
      </c>
      <c r="S152" s="55">
        <v>18</v>
      </c>
      <c r="T152" s="98">
        <f t="shared" si="0"/>
        <v>70</v>
      </c>
      <c r="U152" s="101">
        <f t="shared" si="1"/>
        <v>0.49</v>
      </c>
    </row>
    <row r="153" spans="2:21" ht="11.1" customHeight="1" x14ac:dyDescent="0.2">
      <c r="B153" s="160"/>
      <c r="C153" s="160" t="s">
        <v>157</v>
      </c>
      <c r="D153" s="168" t="s">
        <v>22</v>
      </c>
      <c r="E153" s="163" t="s">
        <v>23</v>
      </c>
      <c r="F153" s="169" t="s">
        <v>24</v>
      </c>
      <c r="G153" s="120"/>
      <c r="H153" s="120">
        <v>3.5000000000000003E-2</v>
      </c>
      <c r="I153" s="120">
        <v>0.14000000000000001</v>
      </c>
      <c r="J153" s="120">
        <v>3.4000000000000002E-2</v>
      </c>
      <c r="K153" s="120"/>
      <c r="L153" s="120"/>
      <c r="M153" s="167"/>
      <c r="O153" s="65" t="s">
        <v>61</v>
      </c>
      <c r="P153" s="59">
        <v>18</v>
      </c>
      <c r="Q153" s="55">
        <v>17</v>
      </c>
      <c r="R153" s="55">
        <v>18</v>
      </c>
      <c r="S153" s="55">
        <v>18</v>
      </c>
      <c r="T153" s="98">
        <f t="shared" si="0"/>
        <v>71</v>
      </c>
      <c r="U153" s="101">
        <f t="shared" si="1"/>
        <v>0.497</v>
      </c>
    </row>
    <row r="154" spans="2:21" ht="11.1" customHeight="1" x14ac:dyDescent="0.2">
      <c r="B154" s="160" t="s">
        <v>167</v>
      </c>
      <c r="C154" s="170"/>
      <c r="D154" s="171">
        <f>1.3*10^(-5)</f>
        <v>1.3000000000000001E-5</v>
      </c>
      <c r="E154" s="172" t="s">
        <v>27</v>
      </c>
      <c r="F154" s="173" t="s">
        <v>17</v>
      </c>
      <c r="G154" s="119">
        <f>D154*G152/1000*365*IF(G153="-",0,G153)*1000</f>
        <v>0</v>
      </c>
      <c r="H154" s="119">
        <f>D154*H152/1000*365*IF(H153="-",0,H153)*1000</f>
        <v>2.8564900000000008E-2</v>
      </c>
      <c r="I154" s="119">
        <f>D154*I152/1000*365*IF(I153="-",0,I153)*1000</f>
        <v>0.13286000000000006</v>
      </c>
      <c r="J154" s="119">
        <f>D154*J152/1000*365*IF(J153="-",0,J153)*1000</f>
        <v>3.2266000000000005E-3</v>
      </c>
      <c r="K154" s="119">
        <f>D154*K152/1000*365*IF(K153="-",0,K153)*1000</f>
        <v>0</v>
      </c>
      <c r="L154" s="119">
        <f>D154*L152*365*IF(L153="-",0,L153)*1000</f>
        <v>0</v>
      </c>
      <c r="M154" s="45">
        <f>SUM(G154:L154)</f>
        <v>0.16465150000000006</v>
      </c>
      <c r="O154" s="65" t="s">
        <v>78</v>
      </c>
      <c r="P154" s="59">
        <v>17</v>
      </c>
      <c r="Q154" s="55">
        <v>17</v>
      </c>
      <c r="R154" s="55">
        <v>17</v>
      </c>
      <c r="S154" s="55">
        <v>18</v>
      </c>
      <c r="T154" s="98">
        <f t="shared" si="0"/>
        <v>69</v>
      </c>
      <c r="U154" s="101">
        <f t="shared" si="1"/>
        <v>0.48299999999999998</v>
      </c>
    </row>
    <row r="155" spans="2:21" ht="11.1" customHeight="1" x14ac:dyDescent="0.2">
      <c r="B155" s="160"/>
      <c r="C155" s="160" t="s">
        <v>30</v>
      </c>
      <c r="D155" s="168" t="s">
        <v>22</v>
      </c>
      <c r="E155" s="163" t="s">
        <v>23</v>
      </c>
      <c r="F155" s="169" t="s">
        <v>24</v>
      </c>
      <c r="G155" s="121"/>
      <c r="H155" s="120" t="s">
        <v>139</v>
      </c>
      <c r="I155" s="121" t="s">
        <v>168</v>
      </c>
      <c r="J155" s="121" t="s">
        <v>168</v>
      </c>
      <c r="K155" s="121" t="s">
        <v>168</v>
      </c>
      <c r="L155" s="120"/>
      <c r="M155" s="181"/>
      <c r="O155" s="65" t="s">
        <v>62</v>
      </c>
      <c r="P155" s="59">
        <v>17</v>
      </c>
      <c r="Q155" s="55">
        <v>16</v>
      </c>
      <c r="R155" s="55">
        <v>18</v>
      </c>
      <c r="S155" s="55">
        <v>19</v>
      </c>
      <c r="T155" s="98">
        <f t="shared" si="0"/>
        <v>70</v>
      </c>
      <c r="U155" s="101">
        <f t="shared" si="1"/>
        <v>0.49</v>
      </c>
    </row>
    <row r="156" spans="2:21" ht="11.1" customHeight="1" x14ac:dyDescent="0.2">
      <c r="B156" s="180">
        <f>M154+M156+M158</f>
        <v>0.20469565000000006</v>
      </c>
      <c r="C156" s="170"/>
      <c r="D156" s="171">
        <f>2.8*10^(-5)</f>
        <v>2.8E-5</v>
      </c>
      <c r="E156" s="172" t="s">
        <v>27</v>
      </c>
      <c r="F156" s="173" t="s">
        <v>17</v>
      </c>
      <c r="G156" s="119"/>
      <c r="H156" s="119">
        <f>D156*H152/1000*365*IF(H155="-",0,H155)*1000</f>
        <v>0</v>
      </c>
      <c r="I156" s="119">
        <f>D156*I152/1000*365*IF(I155="-",0,I155)*1000</f>
        <v>0</v>
      </c>
      <c r="J156" s="119">
        <f>D156*J152/1000*365*IF(J155="-",0,J155)*1000</f>
        <v>0</v>
      </c>
      <c r="K156" s="119">
        <f>D156*K152/1000*365*IF(K155="-",0,K155)*1000</f>
        <v>0</v>
      </c>
      <c r="L156" s="119"/>
      <c r="M156" s="45">
        <f>SUM(G156:L156)</f>
        <v>0</v>
      </c>
      <c r="O156" s="65" t="s">
        <v>82</v>
      </c>
      <c r="P156" s="59">
        <v>19</v>
      </c>
      <c r="Q156" s="55">
        <v>19</v>
      </c>
      <c r="R156" s="55">
        <v>19</v>
      </c>
      <c r="S156" s="55">
        <v>20</v>
      </c>
      <c r="T156" s="98">
        <f t="shared" si="0"/>
        <v>77</v>
      </c>
      <c r="U156" s="101">
        <f t="shared" si="1"/>
        <v>0.53900000000000003</v>
      </c>
    </row>
    <row r="157" spans="2:21" ht="11.1" customHeight="1" x14ac:dyDescent="0.2">
      <c r="B157" s="174" t="s">
        <v>17</v>
      </c>
      <c r="C157" s="160" t="s">
        <v>32</v>
      </c>
      <c r="D157" s="168" t="s">
        <v>22</v>
      </c>
      <c r="E157" s="163" t="s">
        <v>23</v>
      </c>
      <c r="F157" s="175" t="s">
        <v>33</v>
      </c>
      <c r="G157" s="122"/>
      <c r="H157" s="122"/>
      <c r="I157" s="122"/>
      <c r="J157" s="122"/>
      <c r="K157" s="122"/>
      <c r="L157" s="121">
        <v>2.2999999999999998</v>
      </c>
      <c r="M157" s="181"/>
      <c r="O157" s="66" t="s">
        <v>81</v>
      </c>
      <c r="P157" s="59">
        <v>18</v>
      </c>
      <c r="Q157" s="55">
        <v>18</v>
      </c>
      <c r="R157" s="55">
        <v>19</v>
      </c>
      <c r="S157" s="55">
        <v>19</v>
      </c>
      <c r="T157" s="98">
        <f t="shared" si="0"/>
        <v>74</v>
      </c>
      <c r="U157" s="101">
        <f t="shared" si="1"/>
        <v>0.51800000000000002</v>
      </c>
    </row>
    <row r="158" spans="2:21" ht="11.1" customHeight="1" thickBot="1" x14ac:dyDescent="0.25">
      <c r="B158" s="176"/>
      <c r="C158" s="176"/>
      <c r="D158" s="177">
        <f>1.8*10^(-8)</f>
        <v>1.8000000000000002E-8</v>
      </c>
      <c r="E158" s="178" t="s">
        <v>27</v>
      </c>
      <c r="F158" s="179" t="s">
        <v>17</v>
      </c>
      <c r="G158" s="46"/>
      <c r="H158" s="46"/>
      <c r="I158" s="46"/>
      <c r="J158" s="46"/>
      <c r="K158" s="46"/>
      <c r="L158" s="124">
        <f>D158*L152*365*IF(L157="-",0,L157)*1000</f>
        <v>4.0044150000000001E-2</v>
      </c>
      <c r="M158" s="46">
        <f>SUM(G158:L158)</f>
        <v>4.0044150000000001E-2</v>
      </c>
      <c r="O158" s="65" t="s">
        <v>79</v>
      </c>
      <c r="P158" s="59">
        <v>15</v>
      </c>
      <c r="Q158" s="55">
        <v>15</v>
      </c>
      <c r="R158" s="55">
        <v>16</v>
      </c>
      <c r="S158" s="55">
        <v>16</v>
      </c>
      <c r="T158" s="98">
        <f t="shared" si="0"/>
        <v>62</v>
      </c>
      <c r="U158" s="101">
        <f t="shared" si="1"/>
        <v>0.434</v>
      </c>
    </row>
    <row r="159" spans="2:21" ht="11.1" customHeight="1" thickTop="1" x14ac:dyDescent="0.2">
      <c r="B159" s="160"/>
      <c r="C159" s="161"/>
      <c r="D159" s="162"/>
      <c r="E159" s="76" t="s">
        <v>18</v>
      </c>
      <c r="F159" s="163" t="s">
        <v>19</v>
      </c>
      <c r="G159" s="164">
        <v>100</v>
      </c>
      <c r="H159" s="164">
        <v>172</v>
      </c>
      <c r="I159" s="164">
        <v>200</v>
      </c>
      <c r="J159" s="164">
        <v>20</v>
      </c>
      <c r="K159" s="164">
        <v>40</v>
      </c>
      <c r="L159" s="166">
        <v>2.65</v>
      </c>
      <c r="M159" s="167"/>
      <c r="O159" s="67" t="s">
        <v>80</v>
      </c>
      <c r="P159" s="60">
        <v>22</v>
      </c>
      <c r="Q159" s="57">
        <v>22</v>
      </c>
      <c r="R159" s="57">
        <v>23</v>
      </c>
      <c r="S159" s="57">
        <v>23</v>
      </c>
      <c r="T159" s="99">
        <f t="shared" si="0"/>
        <v>90</v>
      </c>
      <c r="U159" s="102">
        <f t="shared" si="1"/>
        <v>0.63</v>
      </c>
    </row>
    <row r="160" spans="2:21" ht="11.1" customHeight="1" x14ac:dyDescent="0.2">
      <c r="B160" s="160"/>
      <c r="C160" s="160" t="s">
        <v>157</v>
      </c>
      <c r="D160" s="168" t="s">
        <v>22</v>
      </c>
      <c r="E160" s="163" t="s">
        <v>23</v>
      </c>
      <c r="F160" s="169" t="s">
        <v>24</v>
      </c>
      <c r="G160" s="120" t="s">
        <v>168</v>
      </c>
      <c r="H160" s="120">
        <v>0.01</v>
      </c>
      <c r="I160" s="120">
        <v>0.14000000000000001</v>
      </c>
      <c r="J160" s="120">
        <v>0.04</v>
      </c>
      <c r="K160" s="120" t="s">
        <v>168</v>
      </c>
      <c r="L160" s="120" t="s">
        <v>168</v>
      </c>
      <c r="M160" s="167"/>
      <c r="O160" s="37" t="s">
        <v>87</v>
      </c>
    </row>
    <row r="161" spans="2:27" ht="11.1" customHeight="1" x14ac:dyDescent="0.2">
      <c r="B161" s="160" t="s">
        <v>169</v>
      </c>
      <c r="C161" s="170"/>
      <c r="D161" s="171">
        <f>1.3*10^(-5)</f>
        <v>1.3000000000000001E-5</v>
      </c>
      <c r="E161" s="172" t="s">
        <v>27</v>
      </c>
      <c r="F161" s="173" t="s">
        <v>17</v>
      </c>
      <c r="G161" s="119">
        <f>D161*G159/1000*365*IF(G160="-",0,G160)*1000</f>
        <v>0</v>
      </c>
      <c r="H161" s="119">
        <f>D161*H159/1000*365*IF(H160="-",0,H160)*1000</f>
        <v>8.1614000000000009E-3</v>
      </c>
      <c r="I161" s="119">
        <f>D161*I159/1000*365*IF(I160="-",0,I160)*1000</f>
        <v>0.13286000000000006</v>
      </c>
      <c r="J161" s="119">
        <f>D161*J159/1000*365*IF(J160="-",0,J160)*1000</f>
        <v>3.7960000000000008E-3</v>
      </c>
      <c r="K161" s="119">
        <f>D161*K159/1000*365*IF(K160="-",0,K160)*1000</f>
        <v>0</v>
      </c>
      <c r="L161" s="119">
        <f>D161*L159*365*IF(L160="-",0,L160)*1000</f>
        <v>0</v>
      </c>
      <c r="M161" s="45">
        <f>SUM(G161:L161)</f>
        <v>0.14481740000000007</v>
      </c>
      <c r="O161" s="37" t="s">
        <v>88</v>
      </c>
    </row>
    <row r="162" spans="2:27" ht="11.1" customHeight="1" x14ac:dyDescent="0.2">
      <c r="B162" s="160"/>
      <c r="C162" s="160" t="s">
        <v>30</v>
      </c>
      <c r="D162" s="168" t="s">
        <v>22</v>
      </c>
      <c r="E162" s="163" t="s">
        <v>23</v>
      </c>
      <c r="F162" s="169" t="s">
        <v>24</v>
      </c>
      <c r="G162" s="121"/>
      <c r="H162" s="120" t="s">
        <v>45</v>
      </c>
      <c r="I162" s="121" t="s">
        <v>168</v>
      </c>
      <c r="J162" s="121" t="s">
        <v>168</v>
      </c>
      <c r="K162" s="121">
        <v>6.9000000000000006E-2</v>
      </c>
      <c r="L162" s="120"/>
      <c r="M162" s="181"/>
    </row>
    <row r="163" spans="2:27" ht="11.1" customHeight="1" x14ac:dyDescent="0.2">
      <c r="B163" s="180">
        <f>M161+M163+M165</f>
        <v>0.20610455000000005</v>
      </c>
      <c r="C163" s="170"/>
      <c r="D163" s="171">
        <f>2.8*10^(-5)</f>
        <v>2.8E-5</v>
      </c>
      <c r="E163" s="172" t="s">
        <v>27</v>
      </c>
      <c r="F163" s="173" t="s">
        <v>17</v>
      </c>
      <c r="G163" s="119"/>
      <c r="H163" s="119">
        <f>D163*H159/1000*365*IF(H162="-",0,H162)*1000</f>
        <v>0</v>
      </c>
      <c r="I163" s="119">
        <f>D163*I159/1000*365*IF(I162="-",0,I162)*1000</f>
        <v>0</v>
      </c>
      <c r="J163" s="119">
        <f>D163*J159/1000*365*IF(J162="-",0,J162)*1000</f>
        <v>0</v>
      </c>
      <c r="K163" s="119">
        <f>D163*K159/1000*365*IF(K162="-",0,K162)*1000</f>
        <v>2.8207199999999998E-2</v>
      </c>
      <c r="L163" s="119"/>
      <c r="M163" s="45">
        <f>SUM(G163:L163)</f>
        <v>2.8207199999999998E-2</v>
      </c>
      <c r="O163" s="11" t="s">
        <v>198</v>
      </c>
    </row>
    <row r="164" spans="2:27" ht="11.1" customHeight="1" x14ac:dyDescent="0.2">
      <c r="B164" s="174" t="s">
        <v>17</v>
      </c>
      <c r="C164" s="160" t="s">
        <v>32</v>
      </c>
      <c r="D164" s="168" t="s">
        <v>22</v>
      </c>
      <c r="E164" s="163" t="s">
        <v>23</v>
      </c>
      <c r="F164" s="175" t="s">
        <v>33</v>
      </c>
      <c r="G164" s="122"/>
      <c r="H164" s="122"/>
      <c r="I164" s="122"/>
      <c r="J164" s="122"/>
      <c r="K164" s="122"/>
      <c r="L164" s="121">
        <v>1.9</v>
      </c>
      <c r="M164" s="181"/>
      <c r="O164" s="189">
        <v>260</v>
      </c>
      <c r="P164" s="190" t="s">
        <v>20</v>
      </c>
    </row>
    <row r="165" spans="2:27" ht="11.1" customHeight="1" thickBot="1" x14ac:dyDescent="0.25">
      <c r="B165" s="176"/>
      <c r="C165" s="176"/>
      <c r="D165" s="177">
        <f>1.8*10^(-8)</f>
        <v>1.8000000000000002E-8</v>
      </c>
      <c r="E165" s="178" t="s">
        <v>27</v>
      </c>
      <c r="F165" s="179" t="s">
        <v>17</v>
      </c>
      <c r="G165" s="46"/>
      <c r="H165" s="46"/>
      <c r="I165" s="46"/>
      <c r="J165" s="46"/>
      <c r="K165" s="46"/>
      <c r="L165" s="124">
        <f>D165*L159*365*IF(L164="-",0,L164)*1000</f>
        <v>3.3079950000000004E-2</v>
      </c>
      <c r="M165" s="46">
        <f>SUM(G165:L165)</f>
        <v>3.3079950000000004E-2</v>
      </c>
      <c r="O165" s="189">
        <v>230</v>
      </c>
      <c r="P165" s="190" t="s">
        <v>26</v>
      </c>
    </row>
    <row r="166" spans="2:27" ht="11.1" customHeight="1" thickTop="1" x14ac:dyDescent="0.2">
      <c r="B166" s="160"/>
      <c r="C166" s="161"/>
      <c r="D166" s="162"/>
      <c r="E166" s="76" t="s">
        <v>18</v>
      </c>
      <c r="F166" s="163" t="s">
        <v>19</v>
      </c>
      <c r="G166" s="164">
        <v>100</v>
      </c>
      <c r="H166" s="164">
        <v>172</v>
      </c>
      <c r="I166" s="164">
        <v>200</v>
      </c>
      <c r="J166" s="164">
        <v>20</v>
      </c>
      <c r="K166" s="164">
        <v>40</v>
      </c>
      <c r="L166" s="166">
        <v>2.2000000000000002</v>
      </c>
      <c r="M166" s="167"/>
      <c r="O166" s="189">
        <v>205</v>
      </c>
      <c r="P166" s="190" t="s">
        <v>28</v>
      </c>
    </row>
    <row r="167" spans="2:27" ht="11.1" customHeight="1" x14ac:dyDescent="0.2">
      <c r="B167" s="160"/>
      <c r="C167" s="160" t="s">
        <v>157</v>
      </c>
      <c r="D167" s="168" t="s">
        <v>22</v>
      </c>
      <c r="E167" s="163" t="s">
        <v>23</v>
      </c>
      <c r="F167" s="169" t="s">
        <v>24</v>
      </c>
      <c r="G167" s="120">
        <v>5.3999999999999999E-2</v>
      </c>
      <c r="H167" s="120" t="s">
        <v>168</v>
      </c>
      <c r="I167" s="120">
        <v>0.13200000000000001</v>
      </c>
      <c r="J167" s="120">
        <v>6.3E-2</v>
      </c>
      <c r="K167" s="120">
        <v>4.3999999999999997E-2</v>
      </c>
      <c r="L167" s="120" t="s">
        <v>168</v>
      </c>
      <c r="M167" s="167"/>
      <c r="O167" s="189">
        <v>172</v>
      </c>
      <c r="P167" s="190" t="s">
        <v>196</v>
      </c>
    </row>
    <row r="168" spans="2:27" ht="11.1" customHeight="1" x14ac:dyDescent="0.2">
      <c r="B168" s="160" t="s">
        <v>170</v>
      </c>
      <c r="C168" s="170"/>
      <c r="D168" s="171">
        <f>1.4*10^(-5)</f>
        <v>1.4E-5</v>
      </c>
      <c r="E168" s="172" t="s">
        <v>27</v>
      </c>
      <c r="F168" s="173" t="s">
        <v>17</v>
      </c>
      <c r="G168" s="119">
        <f>D168*G166/1000*365*IF(G167="-",0,G167)*1000</f>
        <v>2.7593999999999997E-2</v>
      </c>
      <c r="H168" s="119">
        <f>D168*H166/1000*365*IF(H167="-",0,H167)*1000</f>
        <v>0</v>
      </c>
      <c r="I168" s="119">
        <f>D168*I166/1000*365*IF(I167="-",0,I167)*1000</f>
        <v>0.13490399999999997</v>
      </c>
      <c r="J168" s="119">
        <f>D168*J166/1000*365*IF(J167="-",0,J167)*1000</f>
        <v>6.4386000000000001E-3</v>
      </c>
      <c r="K168" s="119">
        <f>D168*K166/1000*365*IF(K167="-",0,K167)*1000</f>
        <v>8.9935999999999974E-3</v>
      </c>
      <c r="L168" s="119">
        <f>D168*L166*365*IF(L167="-",0,L167)*1000</f>
        <v>0</v>
      </c>
      <c r="M168" s="45">
        <f>SUM(G168:L168)</f>
        <v>0.17793019999999996</v>
      </c>
      <c r="O168" s="55">
        <v>362</v>
      </c>
      <c r="P168" s="189" t="s">
        <v>199</v>
      </c>
    </row>
    <row r="169" spans="2:27" ht="11.1" customHeight="1" x14ac:dyDescent="0.2">
      <c r="B169" s="160"/>
      <c r="C169" s="160" t="s">
        <v>30</v>
      </c>
      <c r="D169" s="168" t="s">
        <v>22</v>
      </c>
      <c r="E169" s="163" t="s">
        <v>23</v>
      </c>
      <c r="F169" s="169" t="s">
        <v>24</v>
      </c>
      <c r="G169" s="121"/>
      <c r="H169" s="120" t="s">
        <v>168</v>
      </c>
      <c r="I169" s="121" t="s">
        <v>168</v>
      </c>
      <c r="J169" s="121" t="s">
        <v>168</v>
      </c>
      <c r="K169" s="121" t="s">
        <v>139</v>
      </c>
      <c r="L169" s="120"/>
      <c r="M169" s="181"/>
      <c r="O169" s="191" t="s">
        <v>201</v>
      </c>
      <c r="P169" s="189" t="s">
        <v>200</v>
      </c>
    </row>
    <row r="170" spans="2:27" ht="11.1" customHeight="1" x14ac:dyDescent="0.2">
      <c r="B170" s="180">
        <f>M168+M170+M172</f>
        <v>0.19431139999999997</v>
      </c>
      <c r="C170" s="170"/>
      <c r="D170" s="171">
        <f>3.6*10^(-5)</f>
        <v>3.6000000000000001E-5</v>
      </c>
      <c r="E170" s="172" t="s">
        <v>27</v>
      </c>
      <c r="F170" s="173" t="s">
        <v>17</v>
      </c>
      <c r="G170" s="119"/>
      <c r="H170" s="119">
        <f>D170*H166/1000*365*IF(H169="-",0,H169)*1000</f>
        <v>0</v>
      </c>
      <c r="I170" s="119">
        <f>D170*I166/1000*365*IF(I169="-",0,I169)*1000</f>
        <v>0</v>
      </c>
      <c r="J170" s="119">
        <f>D170*J166/1000*365*IF(J169="-",0,J169)*1000</f>
        <v>0</v>
      </c>
      <c r="K170" s="119">
        <f>D170*K166/1000*365*IF(K169="-",0,K169)*1000</f>
        <v>0</v>
      </c>
      <c r="L170" s="119"/>
      <c r="M170" s="45">
        <f>SUM(G170:L170)</f>
        <v>0</v>
      </c>
      <c r="O170" s="55"/>
      <c r="P170" s="55"/>
    </row>
    <row r="171" spans="2:27" ht="11.1" customHeight="1" x14ac:dyDescent="0.2">
      <c r="B171" s="174" t="s">
        <v>17</v>
      </c>
      <c r="C171" s="160" t="s">
        <v>32</v>
      </c>
      <c r="D171" s="168" t="s">
        <v>22</v>
      </c>
      <c r="E171" s="163" t="s">
        <v>23</v>
      </c>
      <c r="F171" s="175" t="s">
        <v>33</v>
      </c>
      <c r="G171" s="122"/>
      <c r="H171" s="122"/>
      <c r="I171" s="122"/>
      <c r="J171" s="122"/>
      <c r="K171" s="122"/>
      <c r="L171" s="121">
        <v>1.2</v>
      </c>
      <c r="M171" s="181"/>
    </row>
    <row r="172" spans="2:27" ht="11.1" customHeight="1" thickBot="1" x14ac:dyDescent="0.25">
      <c r="B172" s="176"/>
      <c r="C172" s="176"/>
      <c r="D172" s="177">
        <f>1.7*10^(-8)</f>
        <v>1.7E-8</v>
      </c>
      <c r="E172" s="178" t="s">
        <v>27</v>
      </c>
      <c r="F172" s="179" t="s">
        <v>17</v>
      </c>
      <c r="G172" s="46"/>
      <c r="H172" s="46"/>
      <c r="I172" s="46"/>
      <c r="J172" s="46"/>
      <c r="K172" s="46"/>
      <c r="L172" s="124">
        <f>D172*L166*365*IF(L171="-",0,L171)*1000</f>
        <v>1.6381200000000002E-2</v>
      </c>
      <c r="M172" s="46">
        <f>SUM(G172:L172)</f>
        <v>1.6381200000000002E-2</v>
      </c>
    </row>
    <row r="173" spans="2:27" ht="11.1" customHeight="1" thickTop="1" x14ac:dyDescent="0.2">
      <c r="B173" s="160"/>
      <c r="C173" s="161"/>
      <c r="D173" s="162"/>
      <c r="E173" s="76" t="s">
        <v>18</v>
      </c>
      <c r="F173" s="163" t="s">
        <v>19</v>
      </c>
      <c r="G173" s="164">
        <v>100</v>
      </c>
      <c r="H173" s="164">
        <v>172</v>
      </c>
      <c r="I173" s="164">
        <v>200</v>
      </c>
      <c r="J173" s="164">
        <v>20</v>
      </c>
      <c r="K173" s="164">
        <v>40</v>
      </c>
      <c r="L173" s="166">
        <v>2.2000000000000002</v>
      </c>
      <c r="M173" s="167"/>
    </row>
    <row r="174" spans="2:27" ht="11.1" customHeight="1" x14ac:dyDescent="0.2">
      <c r="B174" s="160"/>
      <c r="C174" s="160" t="s">
        <v>157</v>
      </c>
      <c r="D174" s="168" t="s">
        <v>22</v>
      </c>
      <c r="E174" s="163" t="s">
        <v>23</v>
      </c>
      <c r="F174" s="169" t="s">
        <v>24</v>
      </c>
      <c r="G174" s="120">
        <v>2.9000000000000001E-2</v>
      </c>
      <c r="H174" s="120">
        <v>1.0999999999999999E-2</v>
      </c>
      <c r="I174" s="120">
        <v>0.13700000000000001</v>
      </c>
      <c r="J174" s="120">
        <v>3.2000000000000001E-2</v>
      </c>
      <c r="K174" s="120" t="s">
        <v>168</v>
      </c>
      <c r="L174" s="120"/>
      <c r="M174" s="167"/>
    </row>
    <row r="175" spans="2:27" ht="11.1" customHeight="1" x14ac:dyDescent="0.2">
      <c r="B175" s="160" t="s">
        <v>171</v>
      </c>
      <c r="C175" s="170"/>
      <c r="D175" s="171">
        <f>1.4*10^(-5)</f>
        <v>1.4E-5</v>
      </c>
      <c r="E175" s="172" t="s">
        <v>27</v>
      </c>
      <c r="F175" s="173" t="s">
        <v>17</v>
      </c>
      <c r="G175" s="119">
        <f>D175*G173/1000*365*IF(G174="-",0,G174)*1000</f>
        <v>1.4819000000000001E-2</v>
      </c>
      <c r="H175" s="119">
        <f>D175*H173/1000*365*IF(H174="-",0,H174)*1000</f>
        <v>9.6681199999999988E-3</v>
      </c>
      <c r="I175" s="119">
        <f>D175*I173/1000*365*IF(I174="-",0,I174)*1000</f>
        <v>0.140014</v>
      </c>
      <c r="J175" s="119">
        <f>D175*J173/1000*365*IF(J174="-",0,J174)*1000</f>
        <v>3.2703999999999997E-3</v>
      </c>
      <c r="K175" s="119">
        <f>D175*K173/1000*365*IF(K174="-",0,K174)*1000</f>
        <v>0</v>
      </c>
      <c r="L175" s="119">
        <f>D175*L173*365*IF(L174="-",0,L174)*1000</f>
        <v>0</v>
      </c>
      <c r="M175" s="45">
        <f>SUM(G175:L175)</f>
        <v>0.16777152000000001</v>
      </c>
    </row>
    <row r="176" spans="2:27" ht="11.1" customHeight="1" x14ac:dyDescent="0.2">
      <c r="B176" s="160"/>
      <c r="C176" s="160" t="s">
        <v>30</v>
      </c>
      <c r="D176" s="168" t="s">
        <v>22</v>
      </c>
      <c r="E176" s="163" t="s">
        <v>23</v>
      </c>
      <c r="F176" s="169" t="s">
        <v>24</v>
      </c>
      <c r="G176" s="121"/>
      <c r="H176" s="120" t="s">
        <v>139</v>
      </c>
      <c r="I176" s="121" t="s">
        <v>139</v>
      </c>
      <c r="J176" s="121" t="s">
        <v>168</v>
      </c>
      <c r="K176" s="121" t="s">
        <v>45</v>
      </c>
      <c r="L176" s="120"/>
      <c r="M176" s="181"/>
      <c r="O176" s="11" t="s">
        <v>85</v>
      </c>
      <c r="V176" s="11">
        <v>100</v>
      </c>
      <c r="W176" s="11">
        <v>205</v>
      </c>
      <c r="X176" s="11">
        <v>200</v>
      </c>
      <c r="Y176" s="11">
        <v>20</v>
      </c>
      <c r="Z176" s="11">
        <v>40</v>
      </c>
      <c r="AA176" s="11">
        <v>2.2000000000000002</v>
      </c>
    </row>
    <row r="177" spans="2:28" ht="11.1" customHeight="1" x14ac:dyDescent="0.2">
      <c r="B177" s="180">
        <f>M175+M177+M179</f>
        <v>0.18101299000000001</v>
      </c>
      <c r="C177" s="170"/>
      <c r="D177" s="171">
        <f>3.6*10^(-5)</f>
        <v>3.6000000000000001E-5</v>
      </c>
      <c r="E177" s="172" t="s">
        <v>27</v>
      </c>
      <c r="F177" s="173" t="s">
        <v>17</v>
      </c>
      <c r="G177" s="119"/>
      <c r="H177" s="119">
        <f>D177*H173/1000*365*IF(H176="-",0,H176)*1000</f>
        <v>0</v>
      </c>
      <c r="I177" s="119">
        <f>D177*I173/1000*365*IF(I176="-",0,I176)*1000</f>
        <v>0</v>
      </c>
      <c r="J177" s="119">
        <f>D177*J173/1000*365*IF(J176="-",0,J176)*1000</f>
        <v>0</v>
      </c>
      <c r="K177" s="119">
        <f>D177*K173/1000*365*IF(K176="-",0,K176)*1000</f>
        <v>0</v>
      </c>
      <c r="L177" s="119"/>
      <c r="M177" s="45">
        <f>SUM(G177:L177)</f>
        <v>0</v>
      </c>
      <c r="O177" s="50" t="s">
        <v>86</v>
      </c>
      <c r="P177" s="51"/>
      <c r="Q177" s="6"/>
      <c r="R177" s="6"/>
      <c r="S177" s="6"/>
      <c r="T177" s="6"/>
      <c r="V177" s="7"/>
      <c r="W177" s="8"/>
      <c r="X177" s="9"/>
      <c r="Y177" s="8"/>
      <c r="Z177" s="8"/>
      <c r="AA177" s="8"/>
      <c r="AB177" s="10"/>
    </row>
    <row r="178" spans="2:28" ht="11.1" customHeight="1" x14ac:dyDescent="0.2">
      <c r="B178" s="174" t="s">
        <v>17</v>
      </c>
      <c r="C178" s="160" t="s">
        <v>32</v>
      </c>
      <c r="D178" s="168" t="s">
        <v>22</v>
      </c>
      <c r="E178" s="163" t="s">
        <v>23</v>
      </c>
      <c r="F178" s="175" t="s">
        <v>33</v>
      </c>
      <c r="G178" s="122"/>
      <c r="H178" s="122"/>
      <c r="I178" s="122"/>
      <c r="J178" s="122"/>
      <c r="K178" s="122"/>
      <c r="L178" s="121">
        <v>0.97</v>
      </c>
      <c r="M178" s="181"/>
      <c r="O178" s="14" t="s">
        <v>0</v>
      </c>
      <c r="P178" s="15"/>
      <c r="Q178" s="16"/>
      <c r="R178" s="17" t="s">
        <v>1</v>
      </c>
      <c r="S178" s="17"/>
      <c r="T178" s="17"/>
      <c r="U178" s="18"/>
      <c r="V178" s="19" t="s">
        <v>2</v>
      </c>
      <c r="W178" s="20" t="s">
        <v>3</v>
      </c>
      <c r="X178" s="20" t="s">
        <v>4</v>
      </c>
      <c r="Y178" s="19" t="s">
        <v>5</v>
      </c>
      <c r="Z178" s="20" t="s">
        <v>6</v>
      </c>
      <c r="AA178" s="20" t="s">
        <v>7</v>
      </c>
      <c r="AB178" s="21" t="s">
        <v>8</v>
      </c>
    </row>
    <row r="179" spans="2:28" ht="11.1" customHeight="1" thickBot="1" x14ac:dyDescent="0.25">
      <c r="B179" s="176"/>
      <c r="C179" s="176"/>
      <c r="D179" s="177">
        <f>1.7*10^(-8)</f>
        <v>1.7E-8</v>
      </c>
      <c r="E179" s="178" t="s">
        <v>27</v>
      </c>
      <c r="F179" s="179" t="s">
        <v>17</v>
      </c>
      <c r="G179" s="46"/>
      <c r="H179" s="46"/>
      <c r="I179" s="46"/>
      <c r="J179" s="46"/>
      <c r="K179" s="46"/>
      <c r="L179" s="124">
        <f>D179*L173*365*IF(L178="-",0,L178)*1000</f>
        <v>1.3241470000000002E-2</v>
      </c>
      <c r="M179" s="46">
        <f>SUM(G179:L179)</f>
        <v>1.3241470000000002E-2</v>
      </c>
      <c r="O179" s="22" t="s">
        <v>9</v>
      </c>
      <c r="P179" s="23"/>
      <c r="Q179" s="24"/>
      <c r="R179" s="25" t="s">
        <v>10</v>
      </c>
      <c r="S179" s="25"/>
      <c r="T179" s="74"/>
      <c r="U179" s="18"/>
      <c r="V179" s="26" t="s">
        <v>11</v>
      </c>
      <c r="W179" s="27" t="s">
        <v>12</v>
      </c>
      <c r="X179" s="27" t="s">
        <v>13</v>
      </c>
      <c r="Y179" s="28" t="s">
        <v>14</v>
      </c>
      <c r="Z179" s="27" t="s">
        <v>15</v>
      </c>
      <c r="AA179" s="27" t="s">
        <v>16</v>
      </c>
      <c r="AB179" s="29"/>
    </row>
    <row r="180" spans="2:28" ht="11.1" customHeight="1" thickTop="1" x14ac:dyDescent="0.2">
      <c r="B180" s="160"/>
      <c r="C180" s="161"/>
      <c r="D180" s="162"/>
      <c r="E180" s="76" t="s">
        <v>18</v>
      </c>
      <c r="F180" s="163" t="s">
        <v>19</v>
      </c>
      <c r="G180" s="164">
        <v>100</v>
      </c>
      <c r="H180" s="164">
        <v>205</v>
      </c>
      <c r="I180" s="164">
        <v>200</v>
      </c>
      <c r="J180" s="164">
        <v>20</v>
      </c>
      <c r="K180" s="164">
        <v>40</v>
      </c>
      <c r="L180" s="166">
        <v>2.2000000000000002</v>
      </c>
      <c r="M180" s="167"/>
      <c r="O180" s="31" t="s">
        <v>17</v>
      </c>
      <c r="P180" s="23"/>
      <c r="Q180" s="24"/>
      <c r="R180" s="17" t="s">
        <v>18</v>
      </c>
      <c r="S180" s="17"/>
      <c r="T180" s="74"/>
      <c r="U180" s="76" t="s">
        <v>19</v>
      </c>
      <c r="V180" s="68">
        <v>100</v>
      </c>
      <c r="W180" s="68">
        <v>205</v>
      </c>
      <c r="X180" s="68">
        <v>200</v>
      </c>
      <c r="Y180" s="68">
        <v>20</v>
      </c>
      <c r="Z180" s="68">
        <v>40</v>
      </c>
      <c r="AA180" s="69">
        <v>2200</v>
      </c>
      <c r="AB180" s="70"/>
    </row>
    <row r="181" spans="2:28" ht="11.1" customHeight="1" x14ac:dyDescent="0.2">
      <c r="B181" s="160"/>
      <c r="C181" s="160" t="s">
        <v>157</v>
      </c>
      <c r="D181" s="168" t="s">
        <v>22</v>
      </c>
      <c r="E181" s="163" t="s">
        <v>23</v>
      </c>
      <c r="F181" s="169" t="s">
        <v>24</v>
      </c>
      <c r="G181" s="120">
        <v>3.3000000000000002E-2</v>
      </c>
      <c r="H181" s="120">
        <v>2.1999999999999999E-2</v>
      </c>
      <c r="I181" s="120">
        <v>0.12</v>
      </c>
      <c r="J181" s="120">
        <v>3.2000000000000001E-2</v>
      </c>
      <c r="K181" s="120" t="s">
        <v>168</v>
      </c>
      <c r="L181" s="120" t="s">
        <v>168</v>
      </c>
      <c r="M181" s="167"/>
      <c r="O181" s="32"/>
      <c r="P181" s="32" t="s">
        <v>21</v>
      </c>
      <c r="Q181" s="33" t="s">
        <v>22</v>
      </c>
      <c r="R181" s="74" t="s">
        <v>23</v>
      </c>
      <c r="S181" s="74"/>
      <c r="T181" s="74"/>
      <c r="U181" s="76" t="s">
        <v>24</v>
      </c>
      <c r="V181" s="71">
        <v>3.3000000000000002E-2</v>
      </c>
      <c r="W181" s="71">
        <v>2.1999999999999999E-2</v>
      </c>
      <c r="X181" s="71">
        <v>0.12</v>
      </c>
      <c r="Y181" s="71">
        <v>3.2000000000000001E-2</v>
      </c>
      <c r="Z181" s="72" t="s">
        <v>25</v>
      </c>
      <c r="AA181" s="72" t="s">
        <v>25</v>
      </c>
      <c r="AB181" s="73"/>
    </row>
    <row r="182" spans="2:28" ht="11.1" customHeight="1" x14ac:dyDescent="0.2">
      <c r="B182" s="160" t="s">
        <v>172</v>
      </c>
      <c r="C182" s="170"/>
      <c r="D182" s="171">
        <f>1.4*10^(-5)</f>
        <v>1.4E-5</v>
      </c>
      <c r="E182" s="172" t="s">
        <v>27</v>
      </c>
      <c r="F182" s="173" t="s">
        <v>17</v>
      </c>
      <c r="G182" s="119">
        <f>D182*葉根菜/1000*365*IF(G181="-",0,G181)*1000</f>
        <v>1.6862999999999996E-2</v>
      </c>
      <c r="H182" s="119">
        <f>D182*精米3/1000*365*IF(H181="-",0,H181)*1000</f>
        <v>2.3046099999999996E-2</v>
      </c>
      <c r="I182" s="119">
        <f>D182*魚/1000*365*IF(I181="-",0,I181)*1000</f>
        <v>0.12263999999999997</v>
      </c>
      <c r="J182" s="119">
        <f>D182*無脊椎動物/1000*365*IF(J181="-",0,J181)*1000</f>
        <v>3.2703999999999997E-3</v>
      </c>
      <c r="K182" s="119">
        <f>D182*海藻/1000*365*IF(K181="-",0,K181)*1000</f>
        <v>0</v>
      </c>
      <c r="L182" s="119">
        <f>D182*L180*365*IF(L181="-",0,L181)*1000</f>
        <v>0</v>
      </c>
      <c r="M182" s="45">
        <f>SUM(G182:L182)</f>
        <v>0.16581949999999995</v>
      </c>
      <c r="O182" s="32" t="s">
        <v>29</v>
      </c>
      <c r="P182" s="34"/>
      <c r="Q182" s="141">
        <f>1.4*10^(-5)</f>
        <v>1.4E-5</v>
      </c>
      <c r="R182" s="75" t="s">
        <v>27</v>
      </c>
      <c r="S182" s="75"/>
      <c r="T182" s="75"/>
      <c r="U182" s="77" t="s">
        <v>17</v>
      </c>
      <c r="V182" s="206">
        <f>Q182*V180/1000*365*IF(V181="-",0,V181)*1000</f>
        <v>1.6862999999999996E-2</v>
      </c>
      <c r="W182" s="206">
        <f>Q182*W180/1000*365*IF(W181="-",0,W181)*1000</f>
        <v>2.3046099999999996E-2</v>
      </c>
      <c r="X182" s="206">
        <f>Q182*X180/1000*365*IF(X181="-",0,X181)*1000</f>
        <v>0.12263999999999997</v>
      </c>
      <c r="Y182" s="206">
        <f>Q182*Y180/1000*365*IF(Y181="-",0,Y181)*1000</f>
        <v>3.2703999999999997E-3</v>
      </c>
      <c r="Z182" s="206">
        <f>Q182*Z180/1000*365*IF(Z181="-",0,Z181)*1000</f>
        <v>0</v>
      </c>
      <c r="AA182" s="206">
        <f>Q182*AA180/1000*365*IF(AA181="-",0,AA181)*1000</f>
        <v>0</v>
      </c>
      <c r="AB182" s="142">
        <f>SUM(V182:AA182)</f>
        <v>0.16581949999999995</v>
      </c>
    </row>
    <row r="183" spans="2:28" ht="11.1" customHeight="1" x14ac:dyDescent="0.2">
      <c r="B183" s="160"/>
      <c r="C183" s="160" t="s">
        <v>30</v>
      </c>
      <c r="D183" s="168" t="s">
        <v>22</v>
      </c>
      <c r="E183" s="163" t="s">
        <v>23</v>
      </c>
      <c r="F183" s="169" t="s">
        <v>24</v>
      </c>
      <c r="G183" s="121"/>
      <c r="H183" s="120" t="s">
        <v>168</v>
      </c>
      <c r="I183" s="121" t="s">
        <v>168</v>
      </c>
      <c r="J183" s="121" t="s">
        <v>168</v>
      </c>
      <c r="K183" s="121">
        <v>4.1000000000000002E-2</v>
      </c>
      <c r="L183" s="120"/>
      <c r="M183" s="181"/>
      <c r="O183" s="32"/>
      <c r="P183" s="32" t="s">
        <v>30</v>
      </c>
      <c r="Q183" s="33" t="s">
        <v>22</v>
      </c>
      <c r="R183" s="74" t="s">
        <v>23</v>
      </c>
      <c r="S183" s="74"/>
      <c r="T183" s="74"/>
      <c r="U183" s="76" t="s">
        <v>24</v>
      </c>
      <c r="V183" s="71"/>
      <c r="W183" s="72" t="s">
        <v>25</v>
      </c>
      <c r="X183" s="72" t="s">
        <v>25</v>
      </c>
      <c r="Y183" s="72" t="s">
        <v>25</v>
      </c>
      <c r="Z183" s="72">
        <v>4.1000000000000002E-2</v>
      </c>
      <c r="AA183" s="71"/>
      <c r="AB183" s="73"/>
    </row>
    <row r="184" spans="2:28" ht="11.1" customHeight="1" x14ac:dyDescent="0.2">
      <c r="B184" s="180">
        <f>M182+M184+M186</f>
        <v>0.20238519999999996</v>
      </c>
      <c r="C184" s="170"/>
      <c r="D184" s="171">
        <f>3.6*10^(-5)</f>
        <v>3.6000000000000001E-5</v>
      </c>
      <c r="E184" s="172" t="s">
        <v>27</v>
      </c>
      <c r="F184" s="173" t="s">
        <v>17</v>
      </c>
      <c r="G184" s="119"/>
      <c r="H184" s="119">
        <f>D184*精米3/1000*365*IF(H183="-",0,H183)*1000</f>
        <v>0</v>
      </c>
      <c r="I184" s="119">
        <f>D184*魚/1000*365*IF(I183="-",0,I183)*1000</f>
        <v>0</v>
      </c>
      <c r="J184" s="119">
        <f>D184*無脊椎動物/1000*365*IF(J183="-",0,J183)*1000</f>
        <v>0</v>
      </c>
      <c r="K184" s="119">
        <f>D184*海藻/1000*365*IF(K183="-",0,K183)*1000</f>
        <v>2.1549600000000006E-2</v>
      </c>
      <c r="L184" s="119"/>
      <c r="M184" s="45">
        <f>SUM(G184:L184)</f>
        <v>2.1549600000000006E-2</v>
      </c>
      <c r="O184" s="140">
        <f>AB182+AB184+AB186</f>
        <v>0.20238519999999996</v>
      </c>
      <c r="P184" s="34"/>
      <c r="Q184" s="141">
        <f>3.6*10^(-5)</f>
        <v>3.6000000000000001E-5</v>
      </c>
      <c r="R184" s="75" t="s">
        <v>27</v>
      </c>
      <c r="S184" s="75"/>
      <c r="T184" s="75"/>
      <c r="U184" s="77" t="s">
        <v>17</v>
      </c>
      <c r="V184" s="206"/>
      <c r="W184" s="206">
        <f>Q184*W180/1000*365*IF(W183="-",0,W183)*1000</f>
        <v>0</v>
      </c>
      <c r="X184" s="206">
        <f>Q184*X180/1000*365*IF(X183="-",0,X183)*1000</f>
        <v>0</v>
      </c>
      <c r="Y184" s="206">
        <f>Q184*Y180/1000*365*IF(Y183="-",0,Y183)*1000</f>
        <v>0</v>
      </c>
      <c r="Z184" s="206">
        <f>Q184*Z180/1000*365*IF(Z183="-",0,Z183)*1000</f>
        <v>2.1549600000000006E-2</v>
      </c>
      <c r="AA184" s="206"/>
      <c r="AB184" s="142">
        <f>SUM(V184:AA184)</f>
        <v>2.1549600000000006E-2</v>
      </c>
    </row>
    <row r="185" spans="2:28" ht="11.1" customHeight="1" x14ac:dyDescent="0.2">
      <c r="B185" s="174" t="s">
        <v>17</v>
      </c>
      <c r="C185" s="160" t="s">
        <v>32</v>
      </c>
      <c r="D185" s="168" t="s">
        <v>22</v>
      </c>
      <c r="E185" s="163" t="s">
        <v>23</v>
      </c>
      <c r="F185" s="175" t="s">
        <v>33</v>
      </c>
      <c r="G185" s="122"/>
      <c r="H185" s="122"/>
      <c r="I185" s="122"/>
      <c r="J185" s="122"/>
      <c r="K185" s="122"/>
      <c r="L185" s="121">
        <v>1.1000000000000001</v>
      </c>
      <c r="M185" s="181"/>
      <c r="O185" s="36" t="s">
        <v>17</v>
      </c>
      <c r="P185" s="32" t="s">
        <v>32</v>
      </c>
      <c r="Q185" s="33" t="s">
        <v>22</v>
      </c>
      <c r="R185" s="74" t="s">
        <v>23</v>
      </c>
      <c r="S185" s="74"/>
      <c r="T185" s="74"/>
      <c r="U185" s="78" t="s">
        <v>33</v>
      </c>
      <c r="V185" s="73"/>
      <c r="W185" s="73"/>
      <c r="X185" s="73"/>
      <c r="Y185" s="73"/>
      <c r="Z185" s="73"/>
      <c r="AA185" s="73">
        <v>1.1000000000000001</v>
      </c>
      <c r="AB185" s="73"/>
    </row>
    <row r="186" spans="2:28" ht="11.1" customHeight="1" thickBot="1" x14ac:dyDescent="0.25">
      <c r="B186" s="176"/>
      <c r="C186" s="176"/>
      <c r="D186" s="177">
        <f>1.7*10^(-8)</f>
        <v>1.7E-8</v>
      </c>
      <c r="E186" s="178" t="s">
        <v>27</v>
      </c>
      <c r="F186" s="179" t="s">
        <v>17</v>
      </c>
      <c r="G186" s="46"/>
      <c r="H186" s="46"/>
      <c r="I186" s="46"/>
      <c r="J186" s="46"/>
      <c r="K186" s="46"/>
      <c r="L186" s="124">
        <f>D186*L180*365*IF(L185="-",0,L185)*1000</f>
        <v>1.5016100000000003E-2</v>
      </c>
      <c r="M186" s="46">
        <f>SUM(G186:L186)</f>
        <v>1.5016100000000003E-2</v>
      </c>
      <c r="O186" s="34"/>
      <c r="P186" s="34"/>
      <c r="Q186" s="141">
        <f>1.7*10^(-8)</f>
        <v>1.7E-8</v>
      </c>
      <c r="R186" s="75" t="s">
        <v>27</v>
      </c>
      <c r="S186" s="75"/>
      <c r="T186" s="75"/>
      <c r="U186" s="77" t="s">
        <v>17</v>
      </c>
      <c r="V186" s="206"/>
      <c r="W186" s="206"/>
      <c r="X186" s="206"/>
      <c r="Y186" s="206"/>
      <c r="Z186" s="206"/>
      <c r="AA186" s="206">
        <f>Q186*AA180/1000*365*IF(AA185="-",0,AA185)*1000</f>
        <v>1.5016100000000003E-2</v>
      </c>
      <c r="AB186" s="142">
        <f>SUM(V186:AA186)</f>
        <v>1.5016100000000003E-2</v>
      </c>
    </row>
    <row r="187" spans="2:28" ht="11.1" customHeight="1" thickTop="1" x14ac:dyDescent="0.2">
      <c r="B187" s="160"/>
      <c r="C187" s="161"/>
      <c r="D187" s="162"/>
      <c r="E187" s="76" t="s">
        <v>18</v>
      </c>
      <c r="F187" s="163" t="s">
        <v>19</v>
      </c>
      <c r="G187" s="164">
        <v>100</v>
      </c>
      <c r="H187" s="164">
        <v>205</v>
      </c>
      <c r="I187" s="164">
        <v>200</v>
      </c>
      <c r="J187" s="164">
        <v>20</v>
      </c>
      <c r="K187" s="164">
        <v>40</v>
      </c>
      <c r="L187" s="166">
        <v>2.2000000000000002</v>
      </c>
      <c r="M187" s="167"/>
      <c r="N187" s="96"/>
    </row>
    <row r="188" spans="2:28" ht="11.1" customHeight="1" x14ac:dyDescent="0.2">
      <c r="B188" s="160"/>
      <c r="C188" s="160" t="s">
        <v>157</v>
      </c>
      <c r="D188" s="168" t="s">
        <v>22</v>
      </c>
      <c r="E188" s="163" t="s">
        <v>23</v>
      </c>
      <c r="F188" s="169" t="s">
        <v>24</v>
      </c>
      <c r="G188" s="120">
        <v>4.7E-2</v>
      </c>
      <c r="H188" s="120">
        <v>0.02</v>
      </c>
      <c r="I188" s="120">
        <v>0.13</v>
      </c>
      <c r="J188" s="120">
        <v>4.1000000000000002E-2</v>
      </c>
      <c r="K188" s="120" t="s">
        <v>139</v>
      </c>
      <c r="L188" s="120" t="s">
        <v>139</v>
      </c>
      <c r="M188" s="167"/>
      <c r="N188" s="96"/>
    </row>
    <row r="189" spans="2:28" ht="11.1" customHeight="1" x14ac:dyDescent="0.2">
      <c r="B189" s="160" t="s">
        <v>173</v>
      </c>
      <c r="C189" s="170"/>
      <c r="D189" s="171">
        <f>1.4*10^(-5)</f>
        <v>1.4E-5</v>
      </c>
      <c r="E189" s="172" t="s">
        <v>27</v>
      </c>
      <c r="F189" s="173" t="s">
        <v>17</v>
      </c>
      <c r="G189" s="119">
        <f>D189*葉根菜/1000*365*IF(G188="-",0,G188)*1000</f>
        <v>2.4016999999999997E-2</v>
      </c>
      <c r="H189" s="119">
        <f>D189*精米3/1000*365*IF(H188="-",0,H188)*1000</f>
        <v>2.0951000000000001E-2</v>
      </c>
      <c r="I189" s="119">
        <f>D189*魚/1000*365*IF(I188="-",0,I188)*1000</f>
        <v>0.13286000000000001</v>
      </c>
      <c r="J189" s="119">
        <f>D189*無脊椎動物/1000*365*IF(J188="-",0,J188)*1000</f>
        <v>4.1901999999999998E-3</v>
      </c>
      <c r="K189" s="119">
        <f>D189*海藻/1000*365*IF(K188="-",0,K188)*1000</f>
        <v>0</v>
      </c>
      <c r="L189" s="119">
        <f>D189*L187*365*IF(L188="-",0,L188)*1000</f>
        <v>0</v>
      </c>
      <c r="M189" s="45">
        <f t="shared" ref="M189:M193" si="2">SUM(G189:L189)</f>
        <v>0.18201819999999999</v>
      </c>
      <c r="N189" s="96" t="s">
        <v>134</v>
      </c>
    </row>
    <row r="190" spans="2:28" ht="11.1" customHeight="1" x14ac:dyDescent="0.2">
      <c r="B190" s="160"/>
      <c r="C190" s="160" t="s">
        <v>30</v>
      </c>
      <c r="D190" s="168" t="s">
        <v>22</v>
      </c>
      <c r="E190" s="163" t="s">
        <v>23</v>
      </c>
      <c r="F190" s="169" t="s">
        <v>24</v>
      </c>
      <c r="G190" s="121"/>
      <c r="H190" s="120" t="s">
        <v>159</v>
      </c>
      <c r="I190" s="121" t="s">
        <v>159</v>
      </c>
      <c r="J190" s="121" t="s">
        <v>159</v>
      </c>
      <c r="K190" s="121" t="s">
        <v>159</v>
      </c>
      <c r="L190" s="120"/>
      <c r="M190" s="181"/>
      <c r="N190" s="96"/>
    </row>
    <row r="191" spans="2:28" ht="11.1" customHeight="1" x14ac:dyDescent="0.2">
      <c r="B191" s="180">
        <f>M189+M191+M193</f>
        <v>0.1983994</v>
      </c>
      <c r="C191" s="170"/>
      <c r="D191" s="171">
        <f>3.6*10^(-5)</f>
        <v>3.6000000000000001E-5</v>
      </c>
      <c r="E191" s="172" t="s">
        <v>27</v>
      </c>
      <c r="F191" s="173" t="s">
        <v>17</v>
      </c>
      <c r="G191" s="119"/>
      <c r="H191" s="119">
        <f>D191*精米3/1000*365*IF(H190="-",0,H190)*1000</f>
        <v>0</v>
      </c>
      <c r="I191" s="119">
        <f>D191*魚/1000*365*IF(I190="-",0,I190)*1000</f>
        <v>0</v>
      </c>
      <c r="J191" s="119">
        <f>D191*無脊椎動物/1000*365*IF(J190="-",0,J190)*1000</f>
        <v>0</v>
      </c>
      <c r="K191" s="119">
        <f>D191*海藻/1000*365*IF(K190="-",0,K190)*1000</f>
        <v>0</v>
      </c>
      <c r="L191" s="119"/>
      <c r="M191" s="45">
        <f t="shared" si="2"/>
        <v>0</v>
      </c>
      <c r="N191" s="96" t="s">
        <v>134</v>
      </c>
    </row>
    <row r="192" spans="2:28" ht="11.1" customHeight="1" x14ac:dyDescent="0.2">
      <c r="B192" s="174" t="s">
        <v>17</v>
      </c>
      <c r="C192" s="160" t="s">
        <v>32</v>
      </c>
      <c r="D192" s="168" t="s">
        <v>22</v>
      </c>
      <c r="E192" s="163" t="s">
        <v>23</v>
      </c>
      <c r="F192" s="175" t="s">
        <v>33</v>
      </c>
      <c r="G192" s="122"/>
      <c r="H192" s="122"/>
      <c r="I192" s="122"/>
      <c r="J192" s="122"/>
      <c r="K192" s="122"/>
      <c r="L192" s="121">
        <v>1.2</v>
      </c>
      <c r="M192" s="181"/>
      <c r="N192" s="96"/>
    </row>
    <row r="193" spans="2:28" ht="11.1" customHeight="1" thickBot="1" x14ac:dyDescent="0.25">
      <c r="B193" s="176"/>
      <c r="C193" s="176"/>
      <c r="D193" s="177">
        <f>1.7*10^(-8)</f>
        <v>1.7E-8</v>
      </c>
      <c r="E193" s="178" t="s">
        <v>27</v>
      </c>
      <c r="F193" s="179" t="s">
        <v>17</v>
      </c>
      <c r="G193" s="46"/>
      <c r="H193" s="46"/>
      <c r="I193" s="46"/>
      <c r="J193" s="46"/>
      <c r="K193" s="46"/>
      <c r="L193" s="124">
        <f>D193*L187*365*IF(L192="-",0,L192)*1000</f>
        <v>1.6381200000000002E-2</v>
      </c>
      <c r="M193" s="46">
        <f t="shared" si="2"/>
        <v>1.6381200000000002E-2</v>
      </c>
      <c r="N193" s="96" t="s">
        <v>134</v>
      </c>
    </row>
    <row r="194" spans="2:28" ht="11.1" customHeight="1" thickTop="1" x14ac:dyDescent="0.2">
      <c r="B194" s="160"/>
      <c r="C194" s="161"/>
      <c r="D194" s="162"/>
      <c r="E194" s="76" t="s">
        <v>18</v>
      </c>
      <c r="F194" s="163" t="s">
        <v>19</v>
      </c>
      <c r="G194" s="164">
        <v>100</v>
      </c>
      <c r="H194" s="164">
        <v>205</v>
      </c>
      <c r="I194" s="164">
        <v>200</v>
      </c>
      <c r="J194" s="164">
        <v>20</v>
      </c>
      <c r="K194" s="164">
        <v>40</v>
      </c>
      <c r="L194" s="166">
        <v>2.2000000000000002</v>
      </c>
      <c r="M194" s="167"/>
    </row>
    <row r="195" spans="2:28" ht="11.1" customHeight="1" x14ac:dyDescent="0.2">
      <c r="B195" s="160"/>
      <c r="C195" s="160" t="s">
        <v>157</v>
      </c>
      <c r="D195" s="168" t="s">
        <v>22</v>
      </c>
      <c r="E195" s="163" t="s">
        <v>23</v>
      </c>
      <c r="F195" s="169" t="s">
        <v>24</v>
      </c>
      <c r="G195" s="120">
        <v>5.8000000000000003E-2</v>
      </c>
      <c r="H195" s="120">
        <v>2.1999999999999999E-2</v>
      </c>
      <c r="I195" s="120">
        <v>0.15</v>
      </c>
      <c r="J195" s="120">
        <v>4.1000000000000002E-2</v>
      </c>
      <c r="K195" s="120" t="s">
        <v>159</v>
      </c>
      <c r="L195" s="120" t="s">
        <v>159</v>
      </c>
      <c r="M195" s="167"/>
    </row>
    <row r="196" spans="2:28" ht="11.1" customHeight="1" x14ac:dyDescent="0.2">
      <c r="B196" s="160" t="s">
        <v>174</v>
      </c>
      <c r="C196" s="170"/>
      <c r="D196" s="171">
        <f>1.4*10^(-5)</f>
        <v>1.4E-5</v>
      </c>
      <c r="E196" s="172" t="s">
        <v>27</v>
      </c>
      <c r="F196" s="173" t="s">
        <v>17</v>
      </c>
      <c r="G196" s="119">
        <f>D196*葉根菜/1000*365*IF(G195="-",0,G195)*1000</f>
        <v>2.9638000000000001E-2</v>
      </c>
      <c r="H196" s="119">
        <f>D196*精米3/1000*365*IF(H195="-",0,H195)*1000</f>
        <v>2.3046099999999996E-2</v>
      </c>
      <c r="I196" s="119">
        <f>D196*魚/1000*365*IF(I195="-",0,I195)*1000</f>
        <v>0.15329999999999999</v>
      </c>
      <c r="J196" s="119">
        <f>D196*無脊椎動物/1000*365*IF(J195="-",0,J195)*1000</f>
        <v>4.1901999999999998E-3</v>
      </c>
      <c r="K196" s="119">
        <f>D196*海藻/1000*365*IF(K195="-",0,K195)*1000</f>
        <v>0</v>
      </c>
      <c r="L196" s="119">
        <f>D196*L194*365*IF(L195="-",0,L195)*1000</f>
        <v>0</v>
      </c>
      <c r="M196" s="45">
        <f>SUM(G196:L196)</f>
        <v>0.21017430000000001</v>
      </c>
    </row>
    <row r="197" spans="2:28" ht="11.1" customHeight="1" x14ac:dyDescent="0.2">
      <c r="B197" s="160"/>
      <c r="C197" s="160" t="s">
        <v>30</v>
      </c>
      <c r="D197" s="168" t="s">
        <v>22</v>
      </c>
      <c r="E197" s="163" t="s">
        <v>23</v>
      </c>
      <c r="F197" s="169" t="s">
        <v>24</v>
      </c>
      <c r="G197" s="121"/>
      <c r="H197" s="120" t="s">
        <v>159</v>
      </c>
      <c r="I197" s="121" t="s">
        <v>159</v>
      </c>
      <c r="J197" s="121" t="s">
        <v>159</v>
      </c>
      <c r="K197" s="121">
        <v>3.1E-2</v>
      </c>
      <c r="L197" s="120"/>
      <c r="M197" s="181"/>
    </row>
    <row r="198" spans="2:28" ht="11.1" customHeight="1" x14ac:dyDescent="0.2">
      <c r="B198" s="180">
        <f>M196+M198+M200</f>
        <v>0.24284910000000001</v>
      </c>
      <c r="C198" s="170"/>
      <c r="D198" s="171">
        <f>3.6*10^(-5)</f>
        <v>3.6000000000000001E-5</v>
      </c>
      <c r="E198" s="172" t="s">
        <v>27</v>
      </c>
      <c r="F198" s="173" t="s">
        <v>17</v>
      </c>
      <c r="G198" s="119"/>
      <c r="H198" s="119">
        <f>D198*精米3/1000*365*IF(H197="-",0,H197)*1000</f>
        <v>0</v>
      </c>
      <c r="I198" s="119">
        <f>D198*魚/1000*365*IF(I197="-",0,I197)*1000</f>
        <v>0</v>
      </c>
      <c r="J198" s="119">
        <f>D198*無脊椎動物/1000*365*IF(J197="-",0,J197)*1000</f>
        <v>0</v>
      </c>
      <c r="K198" s="119">
        <f>D198*海藻/1000*365*IF(K197="-",0,K197)*1000</f>
        <v>1.6293600000000002E-2</v>
      </c>
      <c r="L198" s="119"/>
      <c r="M198" s="45">
        <f>SUM(G198:L198)</f>
        <v>1.6293600000000002E-2</v>
      </c>
    </row>
    <row r="199" spans="2:28" ht="11.1" customHeight="1" x14ac:dyDescent="0.2">
      <c r="B199" s="174" t="s">
        <v>17</v>
      </c>
      <c r="C199" s="160" t="s">
        <v>32</v>
      </c>
      <c r="D199" s="168" t="s">
        <v>22</v>
      </c>
      <c r="E199" s="163" t="s">
        <v>23</v>
      </c>
      <c r="F199" s="175" t="s">
        <v>33</v>
      </c>
      <c r="G199" s="122"/>
      <c r="H199" s="122"/>
      <c r="I199" s="122"/>
      <c r="J199" s="122"/>
      <c r="K199" s="122"/>
      <c r="L199" s="121">
        <v>1.2</v>
      </c>
      <c r="M199" s="181"/>
    </row>
    <row r="200" spans="2:28" ht="11.1" customHeight="1" thickBot="1" x14ac:dyDescent="0.25">
      <c r="B200" s="176"/>
      <c r="C200" s="176"/>
      <c r="D200" s="177">
        <f>1.7*10^(-8)</f>
        <v>1.7E-8</v>
      </c>
      <c r="E200" s="178" t="s">
        <v>27</v>
      </c>
      <c r="F200" s="179" t="s">
        <v>17</v>
      </c>
      <c r="G200" s="46"/>
      <c r="H200" s="46"/>
      <c r="I200" s="46"/>
      <c r="J200" s="46"/>
      <c r="K200" s="46"/>
      <c r="L200" s="124">
        <f>D200*L194*365*IF(L199="-",0,L199)*1000</f>
        <v>1.6381200000000002E-2</v>
      </c>
      <c r="M200" s="46">
        <f>SUM(G200:L200)</f>
        <v>1.6381200000000002E-2</v>
      </c>
      <c r="N200" s="11" t="s">
        <v>40</v>
      </c>
    </row>
    <row r="201" spans="2:28" ht="11.1" customHeight="1" thickTop="1" x14ac:dyDescent="0.2">
      <c r="B201" s="160"/>
      <c r="C201" s="161"/>
      <c r="D201" s="162"/>
      <c r="E201" s="76" t="s">
        <v>18</v>
      </c>
      <c r="F201" s="163" t="s">
        <v>19</v>
      </c>
      <c r="G201" s="164">
        <v>100</v>
      </c>
      <c r="H201" s="164">
        <v>205</v>
      </c>
      <c r="I201" s="164">
        <v>200</v>
      </c>
      <c r="J201" s="164">
        <v>20</v>
      </c>
      <c r="K201" s="164">
        <v>40</v>
      </c>
      <c r="L201" s="166">
        <v>2.2000000000000002</v>
      </c>
      <c r="M201" s="167"/>
      <c r="AB201" s="41"/>
    </row>
    <row r="202" spans="2:28" ht="11.1" customHeight="1" x14ac:dyDescent="0.2">
      <c r="B202" s="160"/>
      <c r="C202" s="160" t="s">
        <v>157</v>
      </c>
      <c r="D202" s="168" t="s">
        <v>22</v>
      </c>
      <c r="E202" s="163" t="s">
        <v>23</v>
      </c>
      <c r="F202" s="169" t="s">
        <v>24</v>
      </c>
      <c r="G202" s="120">
        <v>3.9E-2</v>
      </c>
      <c r="H202" s="120">
        <v>1.2999999999999999E-2</v>
      </c>
      <c r="I202" s="120">
        <v>0.15</v>
      </c>
      <c r="J202" s="120">
        <v>4.1000000000000002E-2</v>
      </c>
      <c r="K202" s="120">
        <v>4.4999999999999998E-2</v>
      </c>
      <c r="L202" s="120" t="s">
        <v>159</v>
      </c>
      <c r="M202" s="167"/>
    </row>
    <row r="203" spans="2:28" ht="11.1" customHeight="1" x14ac:dyDescent="0.2">
      <c r="B203" s="160" t="s">
        <v>175</v>
      </c>
      <c r="C203" s="170"/>
      <c r="D203" s="171">
        <f>1.4*10^(-5)</f>
        <v>1.4E-5</v>
      </c>
      <c r="E203" s="172" t="s">
        <v>27</v>
      </c>
      <c r="F203" s="173" t="s">
        <v>17</v>
      </c>
      <c r="G203" s="119">
        <f>D203*葉根菜/1000*365*IF(G202="-",0,G202)*1000</f>
        <v>1.9928999999999999E-2</v>
      </c>
      <c r="H203" s="119">
        <f>D203*精米3/1000*365*IF(H202="-",0,H202)*1000</f>
        <v>1.3618149999999999E-2</v>
      </c>
      <c r="I203" s="119">
        <f>D203*魚/1000*365*IF(I202="-",0,I202)*1000</f>
        <v>0.15329999999999999</v>
      </c>
      <c r="J203" s="119">
        <f>D203*無脊椎動物/1000*365*IF(J202="-",0,J202)*1000</f>
        <v>4.1901999999999998E-3</v>
      </c>
      <c r="K203" s="119">
        <f>D203*海藻/1000*365*IF(K202="-",0,K202)*1000</f>
        <v>9.1979999999999996E-3</v>
      </c>
      <c r="L203" s="119">
        <f>D203*L201*365*IF(L202="-",0,L202)*1000</f>
        <v>0</v>
      </c>
      <c r="M203" s="45">
        <f>SUM(G203:L203)</f>
        <v>0.20023535000000001</v>
      </c>
    </row>
    <row r="204" spans="2:28" ht="11.1" customHeight="1" x14ac:dyDescent="0.2">
      <c r="B204" s="160"/>
      <c r="C204" s="160" t="s">
        <v>30</v>
      </c>
      <c r="D204" s="168" t="s">
        <v>22</v>
      </c>
      <c r="E204" s="163" t="s">
        <v>23</v>
      </c>
      <c r="F204" s="169" t="s">
        <v>24</v>
      </c>
      <c r="G204" s="121"/>
      <c r="H204" s="120" t="s">
        <v>159</v>
      </c>
      <c r="I204" s="121" t="s">
        <v>159</v>
      </c>
      <c r="J204" s="121" t="s">
        <v>159</v>
      </c>
      <c r="K204" s="121">
        <v>0.03</v>
      </c>
      <c r="L204" s="120"/>
      <c r="M204" s="181"/>
    </row>
    <row r="205" spans="2:28" ht="11.1" customHeight="1" x14ac:dyDescent="0.2">
      <c r="B205" s="180">
        <f>M203+M205+M207</f>
        <v>0.23374965</v>
      </c>
      <c r="C205" s="170"/>
      <c r="D205" s="171">
        <f>3.6*10^(-5)</f>
        <v>3.6000000000000001E-5</v>
      </c>
      <c r="E205" s="172" t="s">
        <v>27</v>
      </c>
      <c r="F205" s="173" t="s">
        <v>17</v>
      </c>
      <c r="G205" s="119"/>
      <c r="H205" s="119">
        <f>D205*精米3/1000*365*IF(H204="-",0,H204)*1000</f>
        <v>0</v>
      </c>
      <c r="I205" s="119">
        <f>D205*魚/1000*365*IF(I204="-",0,I204)*1000</f>
        <v>0</v>
      </c>
      <c r="J205" s="119">
        <f>D205*無脊椎動物/1000*365*IF(J204="-",0,J204)*1000</f>
        <v>0</v>
      </c>
      <c r="K205" s="119">
        <f>D205*海藻/1000*365*IF(K204="-",0,K204)*1000</f>
        <v>1.5768000000000001E-2</v>
      </c>
      <c r="L205" s="119"/>
      <c r="M205" s="45">
        <f>SUM(G205:L205)</f>
        <v>1.5768000000000001E-2</v>
      </c>
    </row>
    <row r="206" spans="2:28" ht="11.1" customHeight="1" x14ac:dyDescent="0.2">
      <c r="B206" s="174" t="s">
        <v>17</v>
      </c>
      <c r="C206" s="160" t="s">
        <v>32</v>
      </c>
      <c r="D206" s="168" t="s">
        <v>22</v>
      </c>
      <c r="E206" s="163" t="s">
        <v>23</v>
      </c>
      <c r="F206" s="175" t="s">
        <v>33</v>
      </c>
      <c r="G206" s="122"/>
      <c r="H206" s="122"/>
      <c r="I206" s="122"/>
      <c r="J206" s="122"/>
      <c r="K206" s="122"/>
      <c r="L206" s="121">
        <v>1.3</v>
      </c>
      <c r="M206" s="181"/>
    </row>
    <row r="207" spans="2:28" ht="11.1" customHeight="1" thickBot="1" x14ac:dyDescent="0.25">
      <c r="B207" s="176"/>
      <c r="C207" s="176"/>
      <c r="D207" s="177">
        <f>1.7*10^(-8)</f>
        <v>1.7E-8</v>
      </c>
      <c r="E207" s="178" t="s">
        <v>27</v>
      </c>
      <c r="F207" s="179" t="s">
        <v>17</v>
      </c>
      <c r="G207" s="46"/>
      <c r="H207" s="46"/>
      <c r="I207" s="46"/>
      <c r="J207" s="46"/>
      <c r="K207" s="46"/>
      <c r="L207" s="124">
        <f>D207*L201*365*IF(L206="-",0,L206)*1000</f>
        <v>1.7746300000000003E-2</v>
      </c>
      <c r="M207" s="46">
        <f>SUM(G207:L207)</f>
        <v>1.7746300000000003E-2</v>
      </c>
    </row>
    <row r="208" spans="2:28" ht="11.1" customHeight="1" thickTop="1" x14ac:dyDescent="0.2">
      <c r="B208" s="160"/>
      <c r="C208" s="161"/>
      <c r="D208" s="162"/>
      <c r="E208" s="76" t="s">
        <v>18</v>
      </c>
      <c r="F208" s="163" t="s">
        <v>19</v>
      </c>
      <c r="G208" s="164">
        <v>100</v>
      </c>
      <c r="H208" s="164">
        <v>205</v>
      </c>
      <c r="I208" s="164">
        <v>200</v>
      </c>
      <c r="J208" s="164">
        <v>20</v>
      </c>
      <c r="K208" s="164">
        <v>40</v>
      </c>
      <c r="L208" s="166">
        <v>2.2000000000000002</v>
      </c>
      <c r="M208" s="167"/>
      <c r="AB208" s="41"/>
    </row>
    <row r="209" spans="2:28" ht="11.1" customHeight="1" x14ac:dyDescent="0.2">
      <c r="B209" s="160"/>
      <c r="C209" s="160" t="s">
        <v>157</v>
      </c>
      <c r="D209" s="168" t="s">
        <v>22</v>
      </c>
      <c r="E209" s="163" t="s">
        <v>23</v>
      </c>
      <c r="F209" s="169" t="s">
        <v>24</v>
      </c>
      <c r="G209" s="120">
        <v>4.2000000000000003E-2</v>
      </c>
      <c r="H209" s="120">
        <v>1.7000000000000001E-2</v>
      </c>
      <c r="I209" s="120">
        <v>0.16</v>
      </c>
      <c r="J209" s="120">
        <v>3.6999999999999998E-2</v>
      </c>
      <c r="K209" s="120">
        <v>2.9000000000000001E-2</v>
      </c>
      <c r="L209" s="120" t="s">
        <v>139</v>
      </c>
      <c r="M209" s="167"/>
    </row>
    <row r="210" spans="2:28" ht="11.1" customHeight="1" x14ac:dyDescent="0.2">
      <c r="B210" s="160" t="s">
        <v>176</v>
      </c>
      <c r="C210" s="170"/>
      <c r="D210" s="171">
        <f>1.4*10^(-5)</f>
        <v>1.4E-5</v>
      </c>
      <c r="E210" s="172" t="s">
        <v>27</v>
      </c>
      <c r="F210" s="173" t="s">
        <v>17</v>
      </c>
      <c r="G210" s="119">
        <f>D210*葉根菜/1000*365*IF(G209="-",0,G209)*1000</f>
        <v>2.1461999999999998E-2</v>
      </c>
      <c r="H210" s="119">
        <f>D210*精米3/1000*365*IF(H209="-",0,H209)*1000</f>
        <v>1.7808350000000001E-2</v>
      </c>
      <c r="I210" s="119">
        <f>D210*魚/1000*365*IF(I209="-",0,I209)*1000</f>
        <v>0.16351999999999997</v>
      </c>
      <c r="J210" s="119">
        <f>D210*無脊椎動物/1000*365*IF(J209="-",0,J209)*1000</f>
        <v>3.7813999999999994E-3</v>
      </c>
      <c r="K210" s="119">
        <f>D210*海藻/1000*365*IF(K209="-",0,K209)*1000</f>
        <v>5.9275999999999999E-3</v>
      </c>
      <c r="L210" s="119">
        <f>D210*L208*365*IF(L209="-",0,L209)*1000</f>
        <v>0</v>
      </c>
      <c r="M210" s="45">
        <f>SUM(G210:L210)</f>
        <v>0.21249934999999995</v>
      </c>
    </row>
    <row r="211" spans="2:28" ht="11.1" customHeight="1" x14ac:dyDescent="0.2">
      <c r="B211" s="160"/>
      <c r="C211" s="160" t="s">
        <v>30</v>
      </c>
      <c r="D211" s="168" t="s">
        <v>22</v>
      </c>
      <c r="E211" s="163" t="s">
        <v>23</v>
      </c>
      <c r="F211" s="169" t="s">
        <v>24</v>
      </c>
      <c r="G211" s="121"/>
      <c r="H211" s="120" t="s">
        <v>159</v>
      </c>
      <c r="I211" s="121" t="s">
        <v>159</v>
      </c>
      <c r="J211" s="121" t="s">
        <v>159</v>
      </c>
      <c r="K211" s="121">
        <v>3.3000000000000002E-2</v>
      </c>
      <c r="L211" s="120"/>
      <c r="M211" s="181"/>
    </row>
    <row r="212" spans="2:28" ht="11.1" customHeight="1" x14ac:dyDescent="0.2">
      <c r="B212" s="180">
        <f>M210+M212+M214</f>
        <v>0.25168574999999993</v>
      </c>
      <c r="C212" s="170"/>
      <c r="D212" s="171">
        <f>3.6*10^(-5)</f>
        <v>3.6000000000000001E-5</v>
      </c>
      <c r="E212" s="172" t="s">
        <v>27</v>
      </c>
      <c r="F212" s="173" t="s">
        <v>17</v>
      </c>
      <c r="G212" s="119"/>
      <c r="H212" s="119">
        <f>D212*精米3/1000*365*IF(H211="-",0,H211)*1000</f>
        <v>0</v>
      </c>
      <c r="I212" s="119">
        <f>D212*魚/1000*365*IF(I211="-",0,I211)*1000</f>
        <v>0</v>
      </c>
      <c r="J212" s="119">
        <f>D212*無脊椎動物/1000*365*IF(J211="-",0,J211)*1000</f>
        <v>0</v>
      </c>
      <c r="K212" s="119">
        <f>D212*海藻/1000*365*IF(K211="-",0,K211)*1000</f>
        <v>1.7344800000000004E-2</v>
      </c>
      <c r="L212" s="119"/>
      <c r="M212" s="45">
        <f>SUM(G212:L212)</f>
        <v>1.7344800000000004E-2</v>
      </c>
    </row>
    <row r="213" spans="2:28" ht="11.1" customHeight="1" x14ac:dyDescent="0.2">
      <c r="B213" s="174" t="s">
        <v>17</v>
      </c>
      <c r="C213" s="160" t="s">
        <v>32</v>
      </c>
      <c r="D213" s="168" t="s">
        <v>22</v>
      </c>
      <c r="E213" s="163" t="s">
        <v>23</v>
      </c>
      <c r="F213" s="175" t="s">
        <v>33</v>
      </c>
      <c r="G213" s="122"/>
      <c r="H213" s="122"/>
      <c r="I213" s="122"/>
      <c r="J213" s="122"/>
      <c r="K213" s="122"/>
      <c r="L213" s="121">
        <v>1.6</v>
      </c>
      <c r="M213" s="181"/>
    </row>
    <row r="214" spans="2:28" ht="11.1" customHeight="1" thickBot="1" x14ac:dyDescent="0.25">
      <c r="B214" s="176"/>
      <c r="C214" s="176"/>
      <c r="D214" s="177">
        <f>1.7*10^(-8)</f>
        <v>1.7E-8</v>
      </c>
      <c r="E214" s="178" t="s">
        <v>27</v>
      </c>
      <c r="F214" s="179" t="s">
        <v>17</v>
      </c>
      <c r="G214" s="46"/>
      <c r="H214" s="46"/>
      <c r="I214" s="46"/>
      <c r="J214" s="46"/>
      <c r="K214" s="46"/>
      <c r="L214" s="124">
        <f>D214*L208*365*IF(L213="-",0,L213)*1000</f>
        <v>2.1841600000000006E-2</v>
      </c>
      <c r="M214" s="46">
        <f>SUM(G214:L214)</f>
        <v>2.1841600000000006E-2</v>
      </c>
    </row>
    <row r="215" spans="2:28" ht="11.1" customHeight="1" thickTop="1" x14ac:dyDescent="0.2">
      <c r="B215" s="160"/>
      <c r="C215" s="161"/>
      <c r="D215" s="162"/>
      <c r="E215" s="76" t="s">
        <v>18</v>
      </c>
      <c r="F215" s="163" t="s">
        <v>19</v>
      </c>
      <c r="G215" s="164">
        <v>100</v>
      </c>
      <c r="H215" s="164">
        <v>230</v>
      </c>
      <c r="I215" s="164">
        <v>200</v>
      </c>
      <c r="J215" s="164">
        <v>20</v>
      </c>
      <c r="K215" s="164">
        <v>40</v>
      </c>
      <c r="L215" s="166">
        <v>2.2000000000000002</v>
      </c>
      <c r="M215" s="167"/>
      <c r="AB215" s="41"/>
    </row>
    <row r="216" spans="2:28" ht="11.1" customHeight="1" x14ac:dyDescent="0.2">
      <c r="B216" s="160"/>
      <c r="C216" s="160" t="s">
        <v>157</v>
      </c>
      <c r="D216" s="168" t="s">
        <v>22</v>
      </c>
      <c r="E216" s="163" t="s">
        <v>23</v>
      </c>
      <c r="F216" s="169" t="s">
        <v>24</v>
      </c>
      <c r="G216" s="120">
        <v>8.5000000000000006E-2</v>
      </c>
      <c r="H216" s="120">
        <v>2.8000000000000001E-2</v>
      </c>
      <c r="I216" s="120">
        <v>0.17</v>
      </c>
      <c r="J216" s="120">
        <v>4.8000000000000001E-2</v>
      </c>
      <c r="K216" s="120">
        <v>0.08</v>
      </c>
      <c r="L216" s="120" t="s">
        <v>159</v>
      </c>
      <c r="M216" s="167"/>
    </row>
    <row r="217" spans="2:28" ht="11.1" customHeight="1" x14ac:dyDescent="0.2">
      <c r="B217" s="160" t="s">
        <v>177</v>
      </c>
      <c r="C217" s="170"/>
      <c r="D217" s="171">
        <f>1.4*10^(-5)</f>
        <v>1.4E-5</v>
      </c>
      <c r="E217" s="172" t="s">
        <v>27</v>
      </c>
      <c r="F217" s="173" t="s">
        <v>17</v>
      </c>
      <c r="G217" s="119">
        <f>D217*葉根菜/1000*365*IF(G216="-",0,G216)*1000</f>
        <v>4.3435000000000001E-2</v>
      </c>
      <c r="H217" s="119">
        <f>D217*精米2/1000*365*IF(H216="-",0,H216)*1000</f>
        <v>3.290839999999999E-2</v>
      </c>
      <c r="I217" s="119">
        <f>D217*魚/1000*365*IF(I216="-",0,I216)*1000</f>
        <v>0.17374000000000001</v>
      </c>
      <c r="J217" s="119">
        <f>D217*無脊椎動物/1000*365*IF(J216="-",0,J216)*1000</f>
        <v>4.9055999999999995E-3</v>
      </c>
      <c r="K217" s="119">
        <f>D217*海藻/1000*365*IF(K216="-",0,K216)*1000</f>
        <v>1.6351999999999998E-2</v>
      </c>
      <c r="L217" s="119">
        <f>D217*L215*365*IF(L216="-",0,L216)*1000</f>
        <v>0</v>
      </c>
      <c r="M217" s="45">
        <f>SUM(G217:L217)</f>
        <v>0.271341</v>
      </c>
    </row>
    <row r="218" spans="2:28" ht="11.1" customHeight="1" x14ac:dyDescent="0.2">
      <c r="B218" s="160"/>
      <c r="C218" s="160" t="s">
        <v>30</v>
      </c>
      <c r="D218" s="168" t="s">
        <v>22</v>
      </c>
      <c r="E218" s="163" t="s">
        <v>23</v>
      </c>
      <c r="F218" s="169" t="s">
        <v>24</v>
      </c>
      <c r="G218" s="121"/>
      <c r="H218" s="120" t="s">
        <v>159</v>
      </c>
      <c r="I218" s="121" t="s">
        <v>159</v>
      </c>
      <c r="J218" s="121" t="s">
        <v>159</v>
      </c>
      <c r="K218" s="121">
        <v>3.6999999999999998E-2</v>
      </c>
      <c r="L218" s="120"/>
      <c r="M218" s="181"/>
    </row>
    <row r="219" spans="2:28" ht="11.1" customHeight="1" x14ac:dyDescent="0.2">
      <c r="B219" s="180">
        <f>M217+M219+M221</f>
        <v>0.32218550000000001</v>
      </c>
      <c r="C219" s="170"/>
      <c r="D219" s="171">
        <f>3.6*10^(-5)</f>
        <v>3.6000000000000001E-5</v>
      </c>
      <c r="E219" s="172" t="s">
        <v>27</v>
      </c>
      <c r="F219" s="173" t="s">
        <v>17</v>
      </c>
      <c r="G219" s="119"/>
      <c r="H219" s="119">
        <f>D219*精米2/1000*365*IF(H218="-",0,H218)*1000</f>
        <v>0</v>
      </c>
      <c r="I219" s="119">
        <f>D219*魚/1000*365*IF(I218="-",0,I218)*1000</f>
        <v>0</v>
      </c>
      <c r="J219" s="119">
        <f>D219*無脊椎動物/1000*365*IF(J218="-",0,J218)*1000</f>
        <v>0</v>
      </c>
      <c r="K219" s="119">
        <f>D219*海藻/1000*365*IF(K218="-",0,K218)*1000</f>
        <v>1.9447200000000001E-2</v>
      </c>
      <c r="L219" s="119"/>
      <c r="M219" s="45">
        <f>SUM(G219:L219)</f>
        <v>1.9447200000000001E-2</v>
      </c>
    </row>
    <row r="220" spans="2:28" ht="11.1" customHeight="1" x14ac:dyDescent="0.2">
      <c r="B220" s="174" t="s">
        <v>17</v>
      </c>
      <c r="C220" s="160" t="s">
        <v>32</v>
      </c>
      <c r="D220" s="168" t="s">
        <v>22</v>
      </c>
      <c r="E220" s="163" t="s">
        <v>23</v>
      </c>
      <c r="F220" s="175" t="s">
        <v>33</v>
      </c>
      <c r="G220" s="122"/>
      <c r="H220" s="122"/>
      <c r="I220" s="122"/>
      <c r="J220" s="122"/>
      <c r="K220" s="122"/>
      <c r="L220" s="121">
        <v>2.2999999999999998</v>
      </c>
      <c r="M220" s="181"/>
    </row>
    <row r="221" spans="2:28" ht="11.1" customHeight="1" thickBot="1" x14ac:dyDescent="0.25">
      <c r="B221" s="176"/>
      <c r="C221" s="176"/>
      <c r="D221" s="177">
        <f>1.7*10^(-8)</f>
        <v>1.7E-8</v>
      </c>
      <c r="E221" s="178" t="s">
        <v>27</v>
      </c>
      <c r="F221" s="179" t="s">
        <v>17</v>
      </c>
      <c r="G221" s="46"/>
      <c r="H221" s="46"/>
      <c r="I221" s="46"/>
      <c r="J221" s="46"/>
      <c r="K221" s="46"/>
      <c r="L221" s="124">
        <f>D221*L215*365*IF(L220="-",0,L220)*1000</f>
        <v>3.1397300000000003E-2</v>
      </c>
      <c r="M221" s="46">
        <f>SUM(G221:L221)</f>
        <v>3.1397300000000003E-2</v>
      </c>
    </row>
    <row r="222" spans="2:28" ht="11.1" customHeight="1" thickTop="1" x14ac:dyDescent="0.2">
      <c r="B222" s="160"/>
      <c r="C222" s="161"/>
      <c r="D222" s="162"/>
      <c r="E222" s="76" t="s">
        <v>18</v>
      </c>
      <c r="F222" s="163" t="s">
        <v>19</v>
      </c>
      <c r="G222" s="164">
        <v>100</v>
      </c>
      <c r="H222" s="164">
        <v>230</v>
      </c>
      <c r="I222" s="164">
        <v>200</v>
      </c>
      <c r="J222" s="164">
        <v>20</v>
      </c>
      <c r="K222" s="164">
        <v>40</v>
      </c>
      <c r="L222" s="166">
        <v>2.2000000000000002</v>
      </c>
      <c r="M222" s="167"/>
      <c r="AB222" s="41"/>
    </row>
    <row r="223" spans="2:28" ht="11.1" customHeight="1" x14ac:dyDescent="0.2">
      <c r="B223" s="160"/>
      <c r="C223" s="160" t="s">
        <v>157</v>
      </c>
      <c r="D223" s="168" t="s">
        <v>22</v>
      </c>
      <c r="E223" s="163" t="s">
        <v>23</v>
      </c>
      <c r="F223" s="169" t="s">
        <v>24</v>
      </c>
      <c r="G223" s="120">
        <v>3.5000000000000003E-2</v>
      </c>
      <c r="H223" s="120">
        <v>4.8000000000000001E-2</v>
      </c>
      <c r="I223" s="120">
        <v>0.18</v>
      </c>
      <c r="J223" s="120">
        <v>5.8000000000000003E-2</v>
      </c>
      <c r="K223" s="120">
        <v>8.1000000000000003E-2</v>
      </c>
      <c r="L223" s="120" t="s">
        <v>159</v>
      </c>
      <c r="M223" s="167"/>
    </row>
    <row r="224" spans="2:28" ht="11.1" customHeight="1" x14ac:dyDescent="0.2">
      <c r="B224" s="160" t="s">
        <v>178</v>
      </c>
      <c r="C224" s="170"/>
      <c r="D224" s="171">
        <f>1.4*10^(-5)</f>
        <v>1.4E-5</v>
      </c>
      <c r="E224" s="172" t="s">
        <v>27</v>
      </c>
      <c r="F224" s="173" t="s">
        <v>17</v>
      </c>
      <c r="G224" s="119">
        <f>D224*葉根菜/1000*365*IF(G223="-",0,G223)*1000</f>
        <v>1.7884999999999998E-2</v>
      </c>
      <c r="H224" s="119">
        <f>D224*精米2/1000*365*IF(H223="-",0,H223)*1000</f>
        <v>5.641439999999999E-2</v>
      </c>
      <c r="I224" s="119">
        <f>D224*魚/1000*365*IF(I223="-",0,I223)*1000</f>
        <v>0.18395999999999996</v>
      </c>
      <c r="J224" s="119">
        <f>D224*無脊椎動物/1000*365*IF(J223="-",0,J223)*1000</f>
        <v>5.9275999999999999E-3</v>
      </c>
      <c r="K224" s="119">
        <f>D224*海藻/1000*365*IF(K223="-",0,K223)*1000</f>
        <v>1.6556399999999999E-2</v>
      </c>
      <c r="L224" s="119">
        <f>D224*L222*365*IF(L223="-",0,L223)*1000</f>
        <v>0</v>
      </c>
      <c r="M224" s="45">
        <f>SUM(G224:L224)</f>
        <v>0.28074339999999987</v>
      </c>
    </row>
    <row r="225" spans="2:28" ht="11.1" customHeight="1" x14ac:dyDescent="0.2">
      <c r="B225" s="160"/>
      <c r="C225" s="160" t="s">
        <v>30</v>
      </c>
      <c r="D225" s="168" t="s">
        <v>22</v>
      </c>
      <c r="E225" s="163" t="s">
        <v>23</v>
      </c>
      <c r="F225" s="169" t="s">
        <v>24</v>
      </c>
      <c r="G225" s="121"/>
      <c r="H225" s="120" t="s">
        <v>159</v>
      </c>
      <c r="I225" s="121" t="s">
        <v>159</v>
      </c>
      <c r="J225" s="121" t="s">
        <v>168</v>
      </c>
      <c r="K225" s="121">
        <v>8.1000000000000003E-2</v>
      </c>
      <c r="L225" s="120"/>
      <c r="M225" s="181"/>
    </row>
    <row r="226" spans="2:28" ht="11.1" customHeight="1" x14ac:dyDescent="0.2">
      <c r="B226" s="180">
        <f>M224+M226+M228</f>
        <v>0.35061899999999985</v>
      </c>
      <c r="C226" s="170"/>
      <c r="D226" s="171">
        <f>3.6*10^(-5)</f>
        <v>3.6000000000000001E-5</v>
      </c>
      <c r="E226" s="172" t="s">
        <v>27</v>
      </c>
      <c r="F226" s="173" t="s">
        <v>17</v>
      </c>
      <c r="G226" s="119"/>
      <c r="H226" s="119">
        <f>D226*精米2/1000*365*IF(H225="-",0,H225)*1000</f>
        <v>0</v>
      </c>
      <c r="I226" s="119">
        <f>D226*魚/1000*365*IF(I225="-",0,I225)*1000</f>
        <v>0</v>
      </c>
      <c r="J226" s="119">
        <f>D226*無脊椎動物/1000*365*IF(J225="-",0,J225)*1000</f>
        <v>0</v>
      </c>
      <c r="K226" s="119">
        <f>D226*海藻/1000*365*IF(K225="-",0,K225)*1000</f>
        <v>4.257360000000001E-2</v>
      </c>
      <c r="L226" s="119"/>
      <c r="M226" s="45">
        <f>SUM(G226:L226)</f>
        <v>4.257360000000001E-2</v>
      </c>
    </row>
    <row r="227" spans="2:28" ht="11.1" customHeight="1" x14ac:dyDescent="0.2">
      <c r="B227" s="174" t="s">
        <v>17</v>
      </c>
      <c r="C227" s="160" t="s">
        <v>32</v>
      </c>
      <c r="D227" s="168" t="s">
        <v>22</v>
      </c>
      <c r="E227" s="163" t="s">
        <v>23</v>
      </c>
      <c r="F227" s="175" t="s">
        <v>33</v>
      </c>
      <c r="G227" s="122"/>
      <c r="H227" s="122"/>
      <c r="I227" s="122"/>
      <c r="J227" s="122"/>
      <c r="K227" s="122"/>
      <c r="L227" s="121">
        <v>2</v>
      </c>
      <c r="M227" s="181"/>
    </row>
    <row r="228" spans="2:28" ht="11.1" customHeight="1" thickBot="1" x14ac:dyDescent="0.25">
      <c r="B228" s="176"/>
      <c r="C228" s="176"/>
      <c r="D228" s="177">
        <f>1.7*10^(-8)</f>
        <v>1.7E-8</v>
      </c>
      <c r="E228" s="178" t="s">
        <v>27</v>
      </c>
      <c r="F228" s="179" t="s">
        <v>17</v>
      </c>
      <c r="G228" s="46"/>
      <c r="H228" s="46"/>
      <c r="I228" s="46"/>
      <c r="J228" s="46"/>
      <c r="K228" s="46"/>
      <c r="L228" s="124">
        <f>D228*L222*365*IF(L227="-",0,L227)*1000</f>
        <v>2.7302000000000003E-2</v>
      </c>
      <c r="M228" s="46">
        <f>SUM(G228:L228)</f>
        <v>2.7302000000000003E-2</v>
      </c>
    </row>
    <row r="229" spans="2:28" ht="11.1" customHeight="1" thickTop="1" x14ac:dyDescent="0.2">
      <c r="B229" s="160"/>
      <c r="C229" s="161"/>
      <c r="D229" s="162"/>
      <c r="E229" s="76" t="s">
        <v>18</v>
      </c>
      <c r="F229" s="163" t="s">
        <v>19</v>
      </c>
      <c r="G229" s="164">
        <v>100</v>
      </c>
      <c r="H229" s="164">
        <v>230</v>
      </c>
      <c r="I229" s="164">
        <v>200</v>
      </c>
      <c r="J229" s="164">
        <v>20</v>
      </c>
      <c r="K229" s="164">
        <v>40</v>
      </c>
      <c r="L229" s="166">
        <v>2.2000000000000002</v>
      </c>
      <c r="M229" s="167"/>
      <c r="AB229" s="41"/>
    </row>
    <row r="230" spans="2:28" ht="11.1" customHeight="1" x14ac:dyDescent="0.2">
      <c r="B230" s="160"/>
      <c r="C230" s="160" t="s">
        <v>157</v>
      </c>
      <c r="D230" s="168" t="s">
        <v>22</v>
      </c>
      <c r="E230" s="163" t="s">
        <v>23</v>
      </c>
      <c r="F230" s="169" t="s">
        <v>24</v>
      </c>
      <c r="G230" s="120">
        <v>5.8000000000000003E-2</v>
      </c>
      <c r="H230" s="120">
        <v>0.1</v>
      </c>
      <c r="I230" s="120">
        <v>0.21</v>
      </c>
      <c r="J230" s="120">
        <v>5.2999999999999999E-2</v>
      </c>
      <c r="K230" s="120">
        <v>4.2000000000000003E-2</v>
      </c>
      <c r="L230" s="120" t="s">
        <v>168</v>
      </c>
      <c r="M230" s="167"/>
    </row>
    <row r="231" spans="2:28" ht="11.1" customHeight="1" x14ac:dyDescent="0.2">
      <c r="B231" s="160" t="s">
        <v>179</v>
      </c>
      <c r="C231" s="170"/>
      <c r="D231" s="171">
        <f>1.4*10^(-5)</f>
        <v>1.4E-5</v>
      </c>
      <c r="E231" s="172" t="s">
        <v>27</v>
      </c>
      <c r="F231" s="173" t="s">
        <v>17</v>
      </c>
      <c r="G231" s="119">
        <f>D231*葉根菜/1000*365*IF(G230="-",0,G230)*1000</f>
        <v>2.9638000000000001E-2</v>
      </c>
      <c r="H231" s="119">
        <f>D231*精米2/1000*365*IF(H230="-",0,H230)*1000</f>
        <v>0.11752999999999998</v>
      </c>
      <c r="I231" s="119">
        <f>D231*魚/1000*365*IF(I230="-",0,I230)*1000</f>
        <v>0.21461999999999998</v>
      </c>
      <c r="J231" s="119">
        <f>D231*無脊椎動物/1000*365*IF(J230="-",0,J230)*1000</f>
        <v>5.4165999999999988E-3</v>
      </c>
      <c r="K231" s="119">
        <f>D231*海藻/1000*365*IF(K230="-",0,K230)*1000</f>
        <v>8.5848000000000001E-3</v>
      </c>
      <c r="L231" s="119">
        <f>D231*L229*365*IF(L230="-",0,L230)*1000</f>
        <v>0</v>
      </c>
      <c r="M231" s="45">
        <f>SUM(G231:L231)</f>
        <v>0.3757894</v>
      </c>
    </row>
    <row r="232" spans="2:28" ht="11.1" customHeight="1" x14ac:dyDescent="0.2">
      <c r="B232" s="160"/>
      <c r="C232" s="160" t="s">
        <v>30</v>
      </c>
      <c r="D232" s="168" t="s">
        <v>22</v>
      </c>
      <c r="E232" s="163" t="s">
        <v>23</v>
      </c>
      <c r="F232" s="169" t="s">
        <v>24</v>
      </c>
      <c r="G232" s="121"/>
      <c r="H232" s="120" t="s">
        <v>168</v>
      </c>
      <c r="I232" s="121" t="s">
        <v>168</v>
      </c>
      <c r="J232" s="121" t="s">
        <v>168</v>
      </c>
      <c r="K232" s="121">
        <v>2.7E-2</v>
      </c>
      <c r="L232" s="120"/>
      <c r="M232" s="181"/>
    </row>
    <row r="233" spans="2:28" ht="11.1" customHeight="1" x14ac:dyDescent="0.2">
      <c r="B233" s="180">
        <f>M231+M233+M235</f>
        <v>0.43366380000000004</v>
      </c>
      <c r="C233" s="170"/>
      <c r="D233" s="171">
        <f>3.6*10^(-5)</f>
        <v>3.6000000000000001E-5</v>
      </c>
      <c r="E233" s="172" t="s">
        <v>27</v>
      </c>
      <c r="F233" s="173" t="s">
        <v>17</v>
      </c>
      <c r="G233" s="119"/>
      <c r="H233" s="119">
        <f>D233*精米2/1000*365*IF(H232="-",0,H232)*1000</f>
        <v>0</v>
      </c>
      <c r="I233" s="119">
        <f>D233*魚/1000*365*IF(I232="-",0,I232)*1000</f>
        <v>0</v>
      </c>
      <c r="J233" s="119">
        <f>D233*無脊椎動物/1000*365*IF(J232="-",0,J232)*1000</f>
        <v>0</v>
      </c>
      <c r="K233" s="119">
        <f>D233*海藻/1000*365*IF(K232="-",0,K232)*1000</f>
        <v>1.4191200000000003E-2</v>
      </c>
      <c r="L233" s="119"/>
      <c r="M233" s="45">
        <f>SUM(G233:L233)</f>
        <v>1.4191200000000003E-2</v>
      </c>
    </row>
    <row r="234" spans="2:28" ht="11.1" customHeight="1" x14ac:dyDescent="0.2">
      <c r="B234" s="174" t="s">
        <v>17</v>
      </c>
      <c r="C234" s="160" t="s">
        <v>32</v>
      </c>
      <c r="D234" s="168" t="s">
        <v>22</v>
      </c>
      <c r="E234" s="163" t="s">
        <v>23</v>
      </c>
      <c r="F234" s="175" t="s">
        <v>33</v>
      </c>
      <c r="G234" s="122"/>
      <c r="H234" s="122"/>
      <c r="I234" s="122"/>
      <c r="J234" s="122"/>
      <c r="K234" s="122"/>
      <c r="L234" s="121">
        <v>3.2</v>
      </c>
      <c r="M234" s="181"/>
    </row>
    <row r="235" spans="2:28" ht="11.1" customHeight="1" thickBot="1" x14ac:dyDescent="0.25">
      <c r="B235" s="176"/>
      <c r="C235" s="176"/>
      <c r="D235" s="177">
        <f>1.7*10^(-8)</f>
        <v>1.7E-8</v>
      </c>
      <c r="E235" s="178" t="s">
        <v>27</v>
      </c>
      <c r="F235" s="179" t="s">
        <v>17</v>
      </c>
      <c r="G235" s="46"/>
      <c r="H235" s="46"/>
      <c r="I235" s="46"/>
      <c r="J235" s="46"/>
      <c r="K235" s="46"/>
      <c r="L235" s="124">
        <f>D235*L229*365*IF(L234="-",0,L234)*1000</f>
        <v>4.3683200000000012E-2</v>
      </c>
      <c r="M235" s="46">
        <f>SUM(G235:L235)</f>
        <v>4.3683200000000012E-2</v>
      </c>
    </row>
    <row r="236" spans="2:28" ht="11.1" customHeight="1" thickTop="1" x14ac:dyDescent="0.2">
      <c r="B236" s="160"/>
      <c r="C236" s="161"/>
      <c r="D236" s="162"/>
      <c r="E236" s="76" t="s">
        <v>18</v>
      </c>
      <c r="F236" s="163" t="s">
        <v>19</v>
      </c>
      <c r="G236" s="164">
        <v>100</v>
      </c>
      <c r="H236" s="164">
        <v>230</v>
      </c>
      <c r="I236" s="164">
        <v>200</v>
      </c>
      <c r="J236" s="164">
        <v>20</v>
      </c>
      <c r="K236" s="164">
        <v>40</v>
      </c>
      <c r="L236" s="166">
        <v>2.2000000000000002</v>
      </c>
      <c r="M236" s="167"/>
      <c r="AB236" s="41"/>
    </row>
    <row r="237" spans="2:28" ht="11.1" customHeight="1" x14ac:dyDescent="0.2">
      <c r="B237" s="160"/>
      <c r="C237" s="160" t="s">
        <v>157</v>
      </c>
      <c r="D237" s="168" t="s">
        <v>22</v>
      </c>
      <c r="E237" s="163" t="s">
        <v>23</v>
      </c>
      <c r="F237" s="169" t="s">
        <v>24</v>
      </c>
      <c r="G237" s="120">
        <v>0.12</v>
      </c>
      <c r="H237" s="120">
        <v>0.1</v>
      </c>
      <c r="I237" s="120">
        <v>0.16</v>
      </c>
      <c r="J237" s="120">
        <v>5.3999999999999999E-2</v>
      </c>
      <c r="K237" s="120">
        <v>8.3000000000000004E-2</v>
      </c>
      <c r="L237" s="120" t="s">
        <v>168</v>
      </c>
      <c r="M237" s="167"/>
    </row>
    <row r="238" spans="2:28" ht="11.1" customHeight="1" x14ac:dyDescent="0.2">
      <c r="B238" s="160" t="s">
        <v>180</v>
      </c>
      <c r="C238" s="170"/>
      <c r="D238" s="171">
        <f>1.4*10^(-5)</f>
        <v>1.4E-5</v>
      </c>
      <c r="E238" s="172" t="s">
        <v>27</v>
      </c>
      <c r="F238" s="173" t="s">
        <v>17</v>
      </c>
      <c r="G238" s="119">
        <f>D238*葉根菜/1000*365*IF(G237="-",0,G237)*1000</f>
        <v>6.1319999999999986E-2</v>
      </c>
      <c r="H238" s="119">
        <f>D238*精米2/1000*365*IF(H237="-",0,H237)*1000</f>
        <v>0.11752999999999998</v>
      </c>
      <c r="I238" s="119">
        <f>D238*魚/1000*365*IF(I237="-",0,I237)*1000</f>
        <v>0.16351999999999997</v>
      </c>
      <c r="J238" s="119">
        <f>D238*無脊椎動物/1000*365*IF(J237="-",0,J237)*1000</f>
        <v>5.5187999999999999E-3</v>
      </c>
      <c r="K238" s="119">
        <f>D238*海藻/1000*365*IF(K237="-",0,K237)*1000</f>
        <v>1.69652E-2</v>
      </c>
      <c r="L238" s="119">
        <f>D238*L236*365*IF(L237="-",0,L237)*1000</f>
        <v>0</v>
      </c>
      <c r="M238" s="45">
        <f>SUM(G238:L238)</f>
        <v>0.36485399999999996</v>
      </c>
    </row>
    <row r="239" spans="2:28" ht="11.1" customHeight="1" x14ac:dyDescent="0.2">
      <c r="B239" s="160"/>
      <c r="C239" s="160" t="s">
        <v>30</v>
      </c>
      <c r="D239" s="168" t="s">
        <v>22</v>
      </c>
      <c r="E239" s="163" t="s">
        <v>23</v>
      </c>
      <c r="F239" s="169" t="s">
        <v>24</v>
      </c>
      <c r="G239" s="121"/>
      <c r="H239" s="120" t="s">
        <v>168</v>
      </c>
      <c r="I239" s="121" t="s">
        <v>168</v>
      </c>
      <c r="J239" s="121" t="s">
        <v>168</v>
      </c>
      <c r="K239" s="121">
        <v>3.4000000000000002E-2</v>
      </c>
      <c r="L239" s="120"/>
      <c r="M239" s="181"/>
    </row>
    <row r="240" spans="2:28" ht="11.1" customHeight="1" x14ac:dyDescent="0.2">
      <c r="B240" s="180">
        <f>M238+M240+M242</f>
        <v>0.43050289999999997</v>
      </c>
      <c r="C240" s="170"/>
      <c r="D240" s="171">
        <f>3.6*10^(-5)</f>
        <v>3.6000000000000001E-5</v>
      </c>
      <c r="E240" s="172" t="s">
        <v>27</v>
      </c>
      <c r="F240" s="173" t="s">
        <v>17</v>
      </c>
      <c r="G240" s="119"/>
      <c r="H240" s="119">
        <f>D240*精米2/1000*365*IF(H239="-",0,H239)*1000</f>
        <v>0</v>
      </c>
      <c r="I240" s="119">
        <f>D240*魚/1000*365*IF(I239="-",0,I239)*1000</f>
        <v>0</v>
      </c>
      <c r="J240" s="119">
        <f>D240*無脊椎動物/1000*365*IF(J239="-",0,J239)*1000</f>
        <v>0</v>
      </c>
      <c r="K240" s="119">
        <f>D240*海藻/1000*365*IF(K239="-",0,K239)*1000</f>
        <v>1.7870400000000005E-2</v>
      </c>
      <c r="L240" s="119"/>
      <c r="M240" s="45">
        <f>SUM(G240:L240)</f>
        <v>1.7870400000000005E-2</v>
      </c>
    </row>
    <row r="241" spans="2:28" ht="11.1" customHeight="1" x14ac:dyDescent="0.2">
      <c r="B241" s="174" t="s">
        <v>17</v>
      </c>
      <c r="C241" s="160" t="s">
        <v>32</v>
      </c>
      <c r="D241" s="168" t="s">
        <v>22</v>
      </c>
      <c r="E241" s="163" t="s">
        <v>23</v>
      </c>
      <c r="F241" s="175" t="s">
        <v>33</v>
      </c>
      <c r="G241" s="122"/>
      <c r="H241" s="122"/>
      <c r="I241" s="122"/>
      <c r="J241" s="122"/>
      <c r="K241" s="122"/>
      <c r="L241" s="121">
        <v>3.5</v>
      </c>
      <c r="M241" s="181"/>
    </row>
    <row r="242" spans="2:28" ht="11.1" customHeight="1" thickBot="1" x14ac:dyDescent="0.25">
      <c r="B242" s="176"/>
      <c r="C242" s="176"/>
      <c r="D242" s="177">
        <f>1.7*10^(-8)</f>
        <v>1.7E-8</v>
      </c>
      <c r="E242" s="178" t="s">
        <v>27</v>
      </c>
      <c r="F242" s="179" t="s">
        <v>17</v>
      </c>
      <c r="G242" s="46"/>
      <c r="H242" s="46"/>
      <c r="I242" s="46"/>
      <c r="J242" s="46"/>
      <c r="K242" s="46"/>
      <c r="L242" s="124">
        <f>D242*L236*365*IF(L241="-",0,L241)*1000</f>
        <v>4.7778500000000008E-2</v>
      </c>
      <c r="M242" s="46">
        <f>SUM(G242:L242)</f>
        <v>4.7778500000000008E-2</v>
      </c>
    </row>
    <row r="243" spans="2:28" ht="11.1" customHeight="1" thickTop="1" x14ac:dyDescent="0.2">
      <c r="B243" s="160"/>
      <c r="C243" s="161"/>
      <c r="D243" s="162"/>
      <c r="E243" s="76" t="s">
        <v>18</v>
      </c>
      <c r="F243" s="163" t="s">
        <v>19</v>
      </c>
      <c r="G243" s="164">
        <v>100</v>
      </c>
      <c r="H243" s="164">
        <v>260</v>
      </c>
      <c r="I243" s="164">
        <v>200</v>
      </c>
      <c r="J243" s="164">
        <v>20</v>
      </c>
      <c r="K243" s="164">
        <v>40</v>
      </c>
      <c r="L243" s="166">
        <v>2.2000000000000002</v>
      </c>
      <c r="M243" s="167"/>
      <c r="AB243" s="41"/>
    </row>
    <row r="244" spans="2:28" ht="11.1" customHeight="1" x14ac:dyDescent="0.2">
      <c r="B244" s="160"/>
      <c r="C244" s="160" t="s">
        <v>157</v>
      </c>
      <c r="D244" s="168" t="s">
        <v>22</v>
      </c>
      <c r="E244" s="163" t="s">
        <v>23</v>
      </c>
      <c r="F244" s="169" t="s">
        <v>24</v>
      </c>
      <c r="G244" s="120">
        <v>6.7000000000000004E-2</v>
      </c>
      <c r="H244" s="120">
        <v>9.6000000000000002E-2</v>
      </c>
      <c r="I244" s="120">
        <v>0.22</v>
      </c>
      <c r="J244" s="120">
        <v>5.1999999999999998E-2</v>
      </c>
      <c r="K244" s="120">
        <v>4.7E-2</v>
      </c>
      <c r="L244" s="120" t="s">
        <v>168</v>
      </c>
      <c r="M244" s="167"/>
    </row>
    <row r="245" spans="2:28" ht="11.1" customHeight="1" x14ac:dyDescent="0.2">
      <c r="B245" s="160" t="s">
        <v>181</v>
      </c>
      <c r="C245" s="170"/>
      <c r="D245" s="171">
        <f>1.4*10^(-5)</f>
        <v>1.4E-5</v>
      </c>
      <c r="E245" s="172" t="s">
        <v>27</v>
      </c>
      <c r="F245" s="173" t="s">
        <v>17</v>
      </c>
      <c r="G245" s="119">
        <f>D245*葉根菜/1000*365*IF(G244="-",0,G244)*1000</f>
        <v>3.4236999999999997E-2</v>
      </c>
      <c r="H245" s="119">
        <f>D245*精米1/1000*365*IF(H244="-",0,H244)*1000</f>
        <v>0.12754560000000001</v>
      </c>
      <c r="I245" s="119">
        <f>D245*魚/1000*365*IF(I244="-",0,I244)*1000</f>
        <v>0.22483999999999996</v>
      </c>
      <c r="J245" s="119">
        <f>D245*無脊椎動物/1000*365*IF(J244="-",0,J244)*1000</f>
        <v>5.3143999999999995E-3</v>
      </c>
      <c r="K245" s="119">
        <f>D245*海藻/1000*365*IF(K244="-",0,K244)*1000</f>
        <v>9.6067999999999987E-3</v>
      </c>
      <c r="L245" s="119">
        <f>D245*L243*365*IF(L244="-",0,L244)*1000</f>
        <v>0</v>
      </c>
      <c r="M245" s="45">
        <f>SUM(G245:L245)</f>
        <v>0.4015437999999999</v>
      </c>
    </row>
    <row r="246" spans="2:28" ht="11.1" customHeight="1" x14ac:dyDescent="0.2">
      <c r="B246" s="160"/>
      <c r="C246" s="160" t="s">
        <v>30</v>
      </c>
      <c r="D246" s="168" t="s">
        <v>22</v>
      </c>
      <c r="E246" s="163" t="s">
        <v>23</v>
      </c>
      <c r="F246" s="169" t="s">
        <v>24</v>
      </c>
      <c r="G246" s="121"/>
      <c r="H246" s="120"/>
      <c r="I246" s="121" t="s">
        <v>168</v>
      </c>
      <c r="J246" s="121" t="s">
        <v>168</v>
      </c>
      <c r="K246" s="121" t="s">
        <v>25</v>
      </c>
      <c r="L246" s="120"/>
      <c r="M246" s="181"/>
    </row>
    <row r="247" spans="2:28" ht="11.1" customHeight="1" x14ac:dyDescent="0.2">
      <c r="B247" s="180">
        <f>M245+M247+M249</f>
        <v>0.45478269999999993</v>
      </c>
      <c r="C247" s="170"/>
      <c r="D247" s="171">
        <f>3.6*10^(-5)</f>
        <v>3.6000000000000001E-5</v>
      </c>
      <c r="E247" s="172" t="s">
        <v>27</v>
      </c>
      <c r="F247" s="173" t="s">
        <v>17</v>
      </c>
      <c r="G247" s="119"/>
      <c r="H247" s="119">
        <f>D247*精米1/1000*365*IF(H246="-",0,H246)*1000</f>
        <v>0</v>
      </c>
      <c r="I247" s="119">
        <f>D247*魚/1000*365*IF(I246="-",0,I246)*1000</f>
        <v>0</v>
      </c>
      <c r="J247" s="119">
        <f>D247*無脊椎動物/1000*365*IF(J246="-",0,J246)*1000</f>
        <v>0</v>
      </c>
      <c r="K247" s="119">
        <f>D247*海藻/1000*365*IF(K246="-",0,K246)*1000</f>
        <v>0</v>
      </c>
      <c r="L247" s="119"/>
      <c r="M247" s="45">
        <f>SUM(G247:L247)</f>
        <v>0</v>
      </c>
    </row>
    <row r="248" spans="2:28" ht="11.1" customHeight="1" x14ac:dyDescent="0.2">
      <c r="B248" s="174" t="s">
        <v>17</v>
      </c>
      <c r="C248" s="160" t="s">
        <v>32</v>
      </c>
      <c r="D248" s="168" t="s">
        <v>22</v>
      </c>
      <c r="E248" s="163" t="s">
        <v>23</v>
      </c>
      <c r="F248" s="175" t="s">
        <v>33</v>
      </c>
      <c r="G248" s="122"/>
      <c r="H248" s="122"/>
      <c r="I248" s="122"/>
      <c r="J248" s="122"/>
      <c r="K248" s="122"/>
      <c r="L248" s="121">
        <v>3.9</v>
      </c>
      <c r="M248" s="181"/>
    </row>
    <row r="249" spans="2:28" ht="11.1" customHeight="1" thickBot="1" x14ac:dyDescent="0.25">
      <c r="B249" s="176"/>
      <c r="C249" s="176"/>
      <c r="D249" s="177">
        <f>1.7*10^(-8)</f>
        <v>1.7E-8</v>
      </c>
      <c r="E249" s="178" t="s">
        <v>27</v>
      </c>
      <c r="F249" s="179" t="s">
        <v>17</v>
      </c>
      <c r="G249" s="46"/>
      <c r="H249" s="46"/>
      <c r="I249" s="46"/>
      <c r="J249" s="46"/>
      <c r="K249" s="46"/>
      <c r="L249" s="124">
        <f>D249*L243*365*IF(L248="-",0,L248)*1000</f>
        <v>5.3238900000000013E-2</v>
      </c>
      <c r="M249" s="46">
        <f>SUM(G249:L249)</f>
        <v>5.3238900000000013E-2</v>
      </c>
    </row>
    <row r="250" spans="2:28" ht="11.1" customHeight="1" thickTop="1" x14ac:dyDescent="0.2">
      <c r="B250" s="160"/>
      <c r="C250" s="161"/>
      <c r="D250" s="162"/>
      <c r="E250" s="76" t="s">
        <v>18</v>
      </c>
      <c r="F250" s="163" t="s">
        <v>19</v>
      </c>
      <c r="G250" s="164">
        <v>100</v>
      </c>
      <c r="H250" s="164">
        <v>260</v>
      </c>
      <c r="I250" s="164">
        <v>200</v>
      </c>
      <c r="J250" s="164">
        <v>20</v>
      </c>
      <c r="K250" s="164">
        <v>40</v>
      </c>
      <c r="L250" s="166">
        <v>2.2000000000000002</v>
      </c>
      <c r="M250" s="167"/>
      <c r="AB250" s="41"/>
    </row>
    <row r="251" spans="2:28" ht="11.1" customHeight="1" x14ac:dyDescent="0.2">
      <c r="B251" s="160"/>
      <c r="C251" s="160" t="s">
        <v>157</v>
      </c>
      <c r="D251" s="168" t="s">
        <v>22</v>
      </c>
      <c r="E251" s="163" t="s">
        <v>23</v>
      </c>
      <c r="F251" s="169" t="s">
        <v>24</v>
      </c>
      <c r="G251" s="120">
        <f>1.6/27</f>
        <v>5.9259259259259262E-2</v>
      </c>
      <c r="H251" s="120">
        <f>2.7/27</f>
        <v>0.1</v>
      </c>
      <c r="I251" s="120">
        <f>9.1/27</f>
        <v>0.33703703703703702</v>
      </c>
      <c r="J251" s="120">
        <f>2/27</f>
        <v>7.407407407407407E-2</v>
      </c>
      <c r="K251" s="120">
        <f>2.6/27</f>
        <v>9.6296296296296297E-2</v>
      </c>
      <c r="L251" s="120" t="s">
        <v>168</v>
      </c>
      <c r="M251" s="167"/>
    </row>
    <row r="252" spans="2:28" ht="11.1" customHeight="1" x14ac:dyDescent="0.2">
      <c r="B252" s="160" t="s">
        <v>182</v>
      </c>
      <c r="C252" s="170"/>
      <c r="D252" s="171">
        <f>1.4*10^(-5)</f>
        <v>1.4E-5</v>
      </c>
      <c r="E252" s="172" t="s">
        <v>27</v>
      </c>
      <c r="F252" s="173" t="s">
        <v>17</v>
      </c>
      <c r="G252" s="119">
        <f>D252*葉根菜/1000*365*IF(G251="-",0,G251)*1000</f>
        <v>3.0281481481481479E-2</v>
      </c>
      <c r="H252" s="119">
        <f>D252*精米1/1000*365*IF(H251="-",0,H251)*1000</f>
        <v>0.13286000000000001</v>
      </c>
      <c r="I252" s="119">
        <f>D252*魚/1000*365*IF(I251="-",0,I251)*1000</f>
        <v>0.34445185185185184</v>
      </c>
      <c r="J252" s="119">
        <f>D252*無脊椎動物/1000*365*IF(J251="-",0,J251)*1000</f>
        <v>7.5703703703703697E-3</v>
      </c>
      <c r="K252" s="119">
        <f>D252*海藻/1000*365*IF(K251="-",0,K251)*1000</f>
        <v>1.9682962962962961E-2</v>
      </c>
      <c r="L252" s="119">
        <f>D252*L250*365*IF(L251="-",0,L251)*1000</f>
        <v>0</v>
      </c>
      <c r="M252" s="45">
        <f>SUM(G252:L252)</f>
        <v>0.53484666666666669</v>
      </c>
    </row>
    <row r="253" spans="2:28" ht="11.1" customHeight="1" x14ac:dyDescent="0.2">
      <c r="B253" s="160"/>
      <c r="C253" s="160" t="s">
        <v>30</v>
      </c>
      <c r="D253" s="168" t="s">
        <v>22</v>
      </c>
      <c r="E253" s="163" t="s">
        <v>23</v>
      </c>
      <c r="F253" s="169" t="s">
        <v>24</v>
      </c>
      <c r="G253" s="121"/>
      <c r="H253" s="120"/>
      <c r="I253" s="121" t="s">
        <v>168</v>
      </c>
      <c r="J253" s="121" t="s">
        <v>168</v>
      </c>
      <c r="K253" s="121">
        <f>1.4/27</f>
        <v>5.185185185185185E-2</v>
      </c>
      <c r="L253" s="120"/>
      <c r="M253" s="181"/>
    </row>
    <row r="254" spans="2:28" ht="11.1" customHeight="1" x14ac:dyDescent="0.2">
      <c r="B254" s="180">
        <f>M252+M254+M256</f>
        <v>0.60305300000000006</v>
      </c>
      <c r="C254" s="170"/>
      <c r="D254" s="171">
        <f>3.6*10^(-5)</f>
        <v>3.6000000000000001E-5</v>
      </c>
      <c r="E254" s="172" t="s">
        <v>27</v>
      </c>
      <c r="F254" s="173" t="s">
        <v>17</v>
      </c>
      <c r="G254" s="119"/>
      <c r="H254" s="119">
        <f>D254*精米1/1000*365*IF(H253="-",0,H253)*1000</f>
        <v>0</v>
      </c>
      <c r="I254" s="119">
        <f>D254*魚/1000*365*IF(I253="-",0,I253)*1000</f>
        <v>0</v>
      </c>
      <c r="J254" s="119">
        <f>D254*無脊椎動物/1000*365*IF(J253="-",0,J253)*1000</f>
        <v>0</v>
      </c>
      <c r="K254" s="119">
        <f>D254*海藻/1000*365*IF(K253="-",0,K253)*1000</f>
        <v>2.7253333333333338E-2</v>
      </c>
      <c r="L254" s="119"/>
      <c r="M254" s="45">
        <f>SUM(G254:L254)</f>
        <v>2.7253333333333338E-2</v>
      </c>
    </row>
    <row r="255" spans="2:28" ht="11.1" customHeight="1" x14ac:dyDescent="0.2">
      <c r="B255" s="174" t="s">
        <v>17</v>
      </c>
      <c r="C255" s="160" t="s">
        <v>32</v>
      </c>
      <c r="D255" s="168" t="s">
        <v>22</v>
      </c>
      <c r="E255" s="163" t="s">
        <v>23</v>
      </c>
      <c r="F255" s="175" t="s">
        <v>33</v>
      </c>
      <c r="G255" s="122"/>
      <c r="H255" s="122"/>
      <c r="I255" s="122"/>
      <c r="J255" s="122"/>
      <c r="K255" s="122"/>
      <c r="L255" s="121">
        <f>81/27</f>
        <v>3</v>
      </c>
      <c r="M255" s="181"/>
    </row>
    <row r="256" spans="2:28" ht="11.1" customHeight="1" thickBot="1" x14ac:dyDescent="0.25">
      <c r="B256" s="176"/>
      <c r="C256" s="176"/>
      <c r="D256" s="177">
        <f>1.7*10^(-8)</f>
        <v>1.7E-8</v>
      </c>
      <c r="E256" s="178" t="s">
        <v>27</v>
      </c>
      <c r="F256" s="179" t="s">
        <v>17</v>
      </c>
      <c r="G256" s="46"/>
      <c r="H256" s="46"/>
      <c r="I256" s="46"/>
      <c r="J256" s="46"/>
      <c r="K256" s="46"/>
      <c r="L256" s="124">
        <f>D256*L250*365*IF(L255="-",0,L255)*1000</f>
        <v>4.0953000000000003E-2</v>
      </c>
      <c r="M256" s="46">
        <f>SUM(G256:L256)</f>
        <v>4.0953000000000003E-2</v>
      </c>
    </row>
    <row r="257" spans="2:28" ht="11.1" customHeight="1" thickTop="1" x14ac:dyDescent="0.2">
      <c r="B257" s="160"/>
      <c r="C257" s="161"/>
      <c r="D257" s="162"/>
      <c r="E257" s="76" t="s">
        <v>18</v>
      </c>
      <c r="F257" s="163" t="s">
        <v>19</v>
      </c>
      <c r="G257" s="164">
        <v>100</v>
      </c>
      <c r="H257" s="164">
        <v>260</v>
      </c>
      <c r="I257" s="164">
        <v>200</v>
      </c>
      <c r="J257" s="164">
        <v>20</v>
      </c>
      <c r="K257" s="164">
        <v>40</v>
      </c>
      <c r="L257" s="166">
        <v>2.2000000000000002</v>
      </c>
      <c r="M257" s="167"/>
      <c r="AB257" s="41"/>
    </row>
    <row r="258" spans="2:28" ht="11.1" customHeight="1" x14ac:dyDescent="0.2">
      <c r="B258" s="160"/>
      <c r="C258" s="160" t="s">
        <v>157</v>
      </c>
      <c r="D258" s="168" t="s">
        <v>22</v>
      </c>
      <c r="E258" s="163" t="s">
        <v>23</v>
      </c>
      <c r="F258" s="169" t="s">
        <v>24</v>
      </c>
      <c r="G258" s="120">
        <f>2.9/27</f>
        <v>0.10740740740740741</v>
      </c>
      <c r="H258" s="120">
        <f>2.7/27</f>
        <v>0.1</v>
      </c>
      <c r="I258" s="120">
        <f>8.5/27</f>
        <v>0.31481481481481483</v>
      </c>
      <c r="J258" s="120">
        <f>4/27</f>
        <v>0.14814814814814814</v>
      </c>
      <c r="K258" s="120">
        <f>1.4/27</f>
        <v>5.185185185185185E-2</v>
      </c>
      <c r="L258" s="120" t="s">
        <v>159</v>
      </c>
      <c r="M258" s="167"/>
    </row>
    <row r="259" spans="2:28" ht="11.1" customHeight="1" x14ac:dyDescent="0.2">
      <c r="B259" s="160" t="s">
        <v>183</v>
      </c>
      <c r="C259" s="170"/>
      <c r="D259" s="171">
        <f>1.4*10^(-5)</f>
        <v>1.4E-5</v>
      </c>
      <c r="E259" s="172" t="s">
        <v>27</v>
      </c>
      <c r="F259" s="173" t="s">
        <v>17</v>
      </c>
      <c r="G259" s="119">
        <f>D259*葉根菜/1000*365*IF(G258="-",0,G258)*1000</f>
        <v>5.4885185185185183E-2</v>
      </c>
      <c r="H259" s="119">
        <f>D259*精米1/1000*365*IF(H258="-",0,H258)*1000</f>
        <v>0.13286000000000001</v>
      </c>
      <c r="I259" s="119">
        <f>D259*魚/1000*365*IF(I258="-",0,I258)*1000</f>
        <v>0.32174074074074072</v>
      </c>
      <c r="J259" s="119">
        <f>D259*無脊椎動物/1000*365*IF(J258="-",0,J258)*1000</f>
        <v>1.5140740740740739E-2</v>
      </c>
      <c r="K259" s="119">
        <f>D259*海藻/1000*365*IF(K258="-",0,K258)*1000</f>
        <v>1.0598518518518518E-2</v>
      </c>
      <c r="L259" s="119">
        <f>D259*L257*365*IF(L258="-",0,L258)*1000</f>
        <v>0</v>
      </c>
      <c r="M259" s="45">
        <f>SUM(G259:L259)</f>
        <v>0.53522518518518525</v>
      </c>
    </row>
    <row r="260" spans="2:28" ht="11.1" customHeight="1" x14ac:dyDescent="0.2">
      <c r="B260" s="160"/>
      <c r="C260" s="160" t="s">
        <v>30</v>
      </c>
      <c r="D260" s="168" t="s">
        <v>22</v>
      </c>
      <c r="E260" s="163" t="s">
        <v>23</v>
      </c>
      <c r="F260" s="169" t="s">
        <v>24</v>
      </c>
      <c r="G260" s="121"/>
      <c r="H260" s="120"/>
      <c r="I260" s="121" t="s">
        <v>159</v>
      </c>
      <c r="J260" s="121" t="s">
        <v>159</v>
      </c>
      <c r="K260" s="121">
        <f>1.6/27</f>
        <v>5.9259259259259262E-2</v>
      </c>
      <c r="L260" s="120"/>
      <c r="M260" s="181"/>
    </row>
    <row r="261" spans="2:28" ht="11.1" customHeight="1" x14ac:dyDescent="0.2">
      <c r="B261" s="180">
        <f>M259+M261+M263</f>
        <v>0.60580807407407411</v>
      </c>
      <c r="C261" s="170"/>
      <c r="D261" s="171">
        <f>3.6*10^(-5)</f>
        <v>3.6000000000000001E-5</v>
      </c>
      <c r="E261" s="172" t="s">
        <v>27</v>
      </c>
      <c r="F261" s="173" t="s">
        <v>17</v>
      </c>
      <c r="G261" s="119"/>
      <c r="H261" s="119">
        <f>D261*精米1/1000*365*IF(H260="-",0,H260)*1000</f>
        <v>0</v>
      </c>
      <c r="I261" s="119">
        <f>D261*魚/1000*365*IF(I260="-",0,I260)*1000</f>
        <v>0</v>
      </c>
      <c r="J261" s="119">
        <f>D261*無脊椎動物/1000*365*IF(J260="-",0,J260)*1000</f>
        <v>0</v>
      </c>
      <c r="K261" s="119">
        <f>D261*海藻/1000*365*IF(K260="-",0,K260)*1000</f>
        <v>3.114666666666667E-2</v>
      </c>
      <c r="L261" s="119"/>
      <c r="M261" s="45">
        <f>SUM(G261:L261)</f>
        <v>3.114666666666667E-2</v>
      </c>
    </row>
    <row r="262" spans="2:28" ht="11.1" customHeight="1" x14ac:dyDescent="0.2">
      <c r="B262" s="174" t="s">
        <v>17</v>
      </c>
      <c r="C262" s="160" t="s">
        <v>32</v>
      </c>
      <c r="D262" s="168" t="s">
        <v>22</v>
      </c>
      <c r="E262" s="163" t="s">
        <v>23</v>
      </c>
      <c r="F262" s="175" t="s">
        <v>33</v>
      </c>
      <c r="G262" s="122"/>
      <c r="H262" s="122"/>
      <c r="I262" s="122"/>
      <c r="J262" s="122"/>
      <c r="K262" s="122"/>
      <c r="L262" s="121">
        <f>78/27</f>
        <v>2.8888888888888888</v>
      </c>
      <c r="M262" s="181"/>
    </row>
    <row r="263" spans="2:28" ht="11.1" customHeight="1" thickBot="1" x14ac:dyDescent="0.25">
      <c r="B263" s="176"/>
      <c r="C263" s="176"/>
      <c r="D263" s="177">
        <f>1.7*10^(-8)</f>
        <v>1.7E-8</v>
      </c>
      <c r="E263" s="178" t="s">
        <v>27</v>
      </c>
      <c r="F263" s="179" t="s">
        <v>17</v>
      </c>
      <c r="G263" s="46"/>
      <c r="H263" s="46"/>
      <c r="I263" s="46"/>
      <c r="J263" s="46"/>
      <c r="K263" s="46"/>
      <c r="L263" s="124">
        <f>D263*L257*365*IF(L262="-",0,L262)*1000</f>
        <v>3.9436222222222227E-2</v>
      </c>
      <c r="M263" s="46">
        <f>SUM(G263:L263)</f>
        <v>3.9436222222222227E-2</v>
      </c>
    </row>
    <row r="264" spans="2:28" ht="11.1" customHeight="1" thickTop="1" x14ac:dyDescent="0.2">
      <c r="B264" s="160"/>
      <c r="C264" s="161"/>
      <c r="D264" s="162"/>
      <c r="E264" s="76" t="s">
        <v>18</v>
      </c>
      <c r="F264" s="163" t="s">
        <v>19</v>
      </c>
      <c r="G264" s="164">
        <v>100</v>
      </c>
      <c r="H264" s="164">
        <v>260</v>
      </c>
      <c r="I264" s="164">
        <v>200</v>
      </c>
      <c r="J264" s="164">
        <v>20</v>
      </c>
      <c r="K264" s="164">
        <v>40</v>
      </c>
      <c r="L264" s="166">
        <v>2.2000000000000002</v>
      </c>
      <c r="M264" s="167"/>
    </row>
    <row r="265" spans="2:28" ht="11.1" customHeight="1" x14ac:dyDescent="0.2">
      <c r="B265" s="160"/>
      <c r="C265" s="160" t="s">
        <v>157</v>
      </c>
      <c r="D265" s="168" t="s">
        <v>22</v>
      </c>
      <c r="E265" s="163" t="s">
        <v>23</v>
      </c>
      <c r="F265" s="169" t="s">
        <v>24</v>
      </c>
      <c r="G265" s="120">
        <f>2.8/27</f>
        <v>0.1037037037037037</v>
      </c>
      <c r="H265" s="120">
        <f>4.6/27</f>
        <v>0.17037037037037037</v>
      </c>
      <c r="I265" s="120">
        <f>7.9/27</f>
        <v>0.29259259259259263</v>
      </c>
      <c r="J265" s="120">
        <f>1.7/27</f>
        <v>6.2962962962962957E-2</v>
      </c>
      <c r="K265" s="120">
        <f>1.6/27</f>
        <v>5.9259259259259262E-2</v>
      </c>
      <c r="L265" s="120" t="s">
        <v>159</v>
      </c>
      <c r="M265" s="167"/>
    </row>
    <row r="266" spans="2:28" ht="11.1" customHeight="1" x14ac:dyDescent="0.2">
      <c r="B266" s="160" t="s">
        <v>184</v>
      </c>
      <c r="C266" s="170"/>
      <c r="D266" s="171">
        <f>1.4*10^(-5)</f>
        <v>1.4E-5</v>
      </c>
      <c r="E266" s="172" t="s">
        <v>27</v>
      </c>
      <c r="F266" s="173" t="s">
        <v>17</v>
      </c>
      <c r="G266" s="119">
        <f>D266*葉根菜/1000*365*IF(G265="-",0,G265)*1000</f>
        <v>5.2992592592592591E-2</v>
      </c>
      <c r="H266" s="119">
        <f>D266*精米1/1000*365*IF(H265="-",0,H265)*1000</f>
        <v>0.22635407407407407</v>
      </c>
      <c r="I266" s="119">
        <f>D266*魚/1000*365*IF(I265="-",0,I265)*1000</f>
        <v>0.29902962962962965</v>
      </c>
      <c r="J266" s="119">
        <f>D266*無脊椎動物/1000*365*IF(J265="-",0,J265)*1000</f>
        <v>6.4348148148148142E-3</v>
      </c>
      <c r="K266" s="119">
        <f>D266*海藻/1000*365*IF(K265="-",0,K265)*1000</f>
        <v>1.2112592592592591E-2</v>
      </c>
      <c r="L266" s="119">
        <f>D266*L264*365*IF(L265="-",0,L265)*1000</f>
        <v>0</v>
      </c>
      <c r="M266" s="45">
        <f>SUM(G266:L266)</f>
        <v>0.59692370370370362</v>
      </c>
      <c r="AB266" s="41"/>
    </row>
    <row r="267" spans="2:28" ht="11.1" customHeight="1" x14ac:dyDescent="0.2">
      <c r="B267" s="160"/>
      <c r="C267" s="160" t="s">
        <v>30</v>
      </c>
      <c r="D267" s="168" t="s">
        <v>22</v>
      </c>
      <c r="E267" s="163" t="s">
        <v>23</v>
      </c>
      <c r="F267" s="169" t="s">
        <v>24</v>
      </c>
      <c r="G267" s="121" t="s">
        <v>25</v>
      </c>
      <c r="H267" s="120" t="s">
        <v>159</v>
      </c>
      <c r="I267" s="121" t="s">
        <v>159</v>
      </c>
      <c r="J267" s="121" t="s">
        <v>159</v>
      </c>
      <c r="K267" s="121">
        <f>2.1/27</f>
        <v>7.7777777777777779E-2</v>
      </c>
      <c r="L267" s="120"/>
      <c r="M267" s="181"/>
    </row>
    <row r="268" spans="2:28" ht="11.1" customHeight="1" x14ac:dyDescent="0.2">
      <c r="B268" s="180">
        <f>M266+M268+M270</f>
        <v>0.6863405925925925</v>
      </c>
      <c r="C268" s="170"/>
      <c r="D268" s="171">
        <f>3.6*10^(-5)</f>
        <v>3.6000000000000001E-5</v>
      </c>
      <c r="E268" s="172" t="s">
        <v>27</v>
      </c>
      <c r="F268" s="173" t="s">
        <v>17</v>
      </c>
      <c r="G268" s="119">
        <f>D268*葉根菜/1000*365*IF(G267="-",0,G267)*1000</f>
        <v>0</v>
      </c>
      <c r="H268" s="119">
        <f>D268*精米1/1000*365*IF(H267="-",0,H267)*1000</f>
        <v>0</v>
      </c>
      <c r="I268" s="119">
        <f>D268*魚/1000*365*IF(I267="-",0,I267)*1000</f>
        <v>0</v>
      </c>
      <c r="J268" s="119">
        <f>D268*無脊椎動物/1000*365*IF(J267="-",0,J267)*1000</f>
        <v>0</v>
      </c>
      <c r="K268" s="119">
        <f>D268*海藻/1000*365*IF(K267="-",0,K267)*1000</f>
        <v>4.0880000000000007E-2</v>
      </c>
      <c r="L268" s="119"/>
      <c r="M268" s="45">
        <f>SUM(G268:L268)</f>
        <v>4.0880000000000007E-2</v>
      </c>
    </row>
    <row r="269" spans="2:28" ht="11.1" customHeight="1" x14ac:dyDescent="0.2">
      <c r="B269" s="174" t="s">
        <v>17</v>
      </c>
      <c r="C269" s="160" t="s">
        <v>32</v>
      </c>
      <c r="D269" s="168" t="s">
        <v>22</v>
      </c>
      <c r="E269" s="163" t="s">
        <v>23</v>
      </c>
      <c r="F269" s="175" t="s">
        <v>33</v>
      </c>
      <c r="G269" s="122"/>
      <c r="H269" s="122"/>
      <c r="I269" s="122"/>
      <c r="J269" s="122"/>
      <c r="K269" s="122"/>
      <c r="L269" s="121">
        <f>96/27</f>
        <v>3.5555555555555554</v>
      </c>
      <c r="M269" s="181"/>
    </row>
    <row r="270" spans="2:28" ht="11.1" customHeight="1" thickBot="1" x14ac:dyDescent="0.25">
      <c r="B270" s="176"/>
      <c r="C270" s="176"/>
      <c r="D270" s="177">
        <f>1.7*10^(-8)</f>
        <v>1.7E-8</v>
      </c>
      <c r="E270" s="178" t="s">
        <v>27</v>
      </c>
      <c r="F270" s="179" t="s">
        <v>17</v>
      </c>
      <c r="G270" s="46"/>
      <c r="H270" s="46"/>
      <c r="I270" s="46"/>
      <c r="J270" s="46"/>
      <c r="K270" s="46"/>
      <c r="L270" s="124">
        <f>D270*L264*365*IF(L269="-",0,L269)*1000</f>
        <v>4.8536888888888893E-2</v>
      </c>
      <c r="M270" s="46">
        <f>SUM(G270:L270)</f>
        <v>4.8536888888888893E-2</v>
      </c>
    </row>
    <row r="271" spans="2:28" ht="11.1" customHeight="1" thickTop="1" x14ac:dyDescent="0.2">
      <c r="B271" s="160"/>
      <c r="C271" s="161"/>
      <c r="D271" s="162"/>
      <c r="E271" s="76" t="s">
        <v>18</v>
      </c>
      <c r="F271" s="163" t="s">
        <v>19</v>
      </c>
      <c r="G271" s="164">
        <v>100</v>
      </c>
      <c r="H271" s="164">
        <v>260</v>
      </c>
      <c r="I271" s="164">
        <v>200</v>
      </c>
      <c r="J271" s="164">
        <v>20</v>
      </c>
      <c r="K271" s="164">
        <v>40</v>
      </c>
      <c r="L271" s="166">
        <v>2.2000000000000002</v>
      </c>
      <c r="M271" s="167"/>
    </row>
    <row r="272" spans="2:28" ht="11.1" customHeight="1" x14ac:dyDescent="0.2">
      <c r="B272" s="160"/>
      <c r="C272" s="160" t="s">
        <v>157</v>
      </c>
      <c r="D272" s="168" t="s">
        <v>22</v>
      </c>
      <c r="E272" s="163" t="s">
        <v>23</v>
      </c>
      <c r="F272" s="169" t="s">
        <v>24</v>
      </c>
      <c r="G272" s="120">
        <f>2.2/27</f>
        <v>8.1481481481481488E-2</v>
      </c>
      <c r="H272" s="120">
        <f>3.9/27</f>
        <v>0.14444444444444443</v>
      </c>
      <c r="I272" s="120">
        <f>6.8/27</f>
        <v>0.25185185185185183</v>
      </c>
      <c r="J272" s="120">
        <f>1.6/27</f>
        <v>5.9259259259259262E-2</v>
      </c>
      <c r="K272" s="120">
        <f>1.7/27</f>
        <v>6.2962962962962957E-2</v>
      </c>
      <c r="L272" s="120" t="s">
        <v>159</v>
      </c>
      <c r="M272" s="167"/>
    </row>
    <row r="273" spans="2:28" ht="11.1" customHeight="1" x14ac:dyDescent="0.2">
      <c r="B273" s="160" t="s">
        <v>185</v>
      </c>
      <c r="C273" s="170"/>
      <c r="D273" s="171">
        <f>1.4*10^(-5)</f>
        <v>1.4E-5</v>
      </c>
      <c r="E273" s="172" t="s">
        <v>27</v>
      </c>
      <c r="F273" s="173" t="s">
        <v>17</v>
      </c>
      <c r="G273" s="119">
        <f>D273*葉根菜/1000*365*IF(G272="-",0,G272)*1000</f>
        <v>4.1637037037037035E-2</v>
      </c>
      <c r="H273" s="119">
        <f>D273*精米1/1000*365*IF(H272="-",0,H272)*1000</f>
        <v>0.19190888888888888</v>
      </c>
      <c r="I273" s="119">
        <f>D273*魚/1000*365*IF(I272="-",0,I272)*1000</f>
        <v>0.25739259259259256</v>
      </c>
      <c r="J273" s="119">
        <f>D273*無脊椎動物/1000*365*IF(J272="-",0,J272)*1000</f>
        <v>6.0562962962962957E-3</v>
      </c>
      <c r="K273" s="119">
        <f>D273*海藻/1000*365*IF(K272="-",0,K272)*1000</f>
        <v>1.2869629629629628E-2</v>
      </c>
      <c r="L273" s="119">
        <f>D273*L271*365*IF(L272="-",0,L272)*1000</f>
        <v>0</v>
      </c>
      <c r="M273" s="45">
        <f>SUM(G273:L273)</f>
        <v>0.50986444444444434</v>
      </c>
    </row>
    <row r="274" spans="2:28" ht="11.1" customHeight="1" x14ac:dyDescent="0.2">
      <c r="B274" s="160"/>
      <c r="C274" s="160" t="s">
        <v>30</v>
      </c>
      <c r="D274" s="168" t="s">
        <v>22</v>
      </c>
      <c r="E274" s="163" t="s">
        <v>23</v>
      </c>
      <c r="F274" s="169" t="s">
        <v>24</v>
      </c>
      <c r="G274" s="121">
        <f>8.1/27</f>
        <v>0.3</v>
      </c>
      <c r="H274" s="120" t="s">
        <v>159</v>
      </c>
      <c r="I274" s="121" t="s">
        <v>159</v>
      </c>
      <c r="J274" s="121" t="s">
        <v>159</v>
      </c>
      <c r="K274" s="121">
        <f>2.9/27</f>
        <v>0.10740740740740741</v>
      </c>
      <c r="L274" s="120"/>
      <c r="M274" s="181"/>
    </row>
    <row r="275" spans="2:28" ht="11.1" customHeight="1" x14ac:dyDescent="0.2">
      <c r="B275" s="180">
        <f>M273+M275+M277</f>
        <v>1.0211888888888887</v>
      </c>
      <c r="C275" s="170"/>
      <c r="D275" s="171">
        <f>3.6*10^(-5)</f>
        <v>3.6000000000000001E-5</v>
      </c>
      <c r="E275" s="172" t="s">
        <v>27</v>
      </c>
      <c r="F275" s="173" t="s">
        <v>17</v>
      </c>
      <c r="G275" s="119">
        <f>D275*葉根菜/1000*365*IF(G274="-",0,G274)*1000</f>
        <v>0.39419999999999994</v>
      </c>
      <c r="H275" s="119">
        <f>D275*精米1/1000*365*IF(H274="-",0,H274)*1000</f>
        <v>0</v>
      </c>
      <c r="I275" s="119">
        <f>D275*魚/1000*365*IF(I274="-",0,I274)*1000</f>
        <v>0</v>
      </c>
      <c r="J275" s="119">
        <f>D275*無脊椎動物/1000*365*IF(J274="-",0,J274)*1000</f>
        <v>0</v>
      </c>
      <c r="K275" s="119">
        <f>D275*海藻/1000*365*IF(K274="-",0,K274)*1000</f>
        <v>5.6453333333333341E-2</v>
      </c>
      <c r="L275" s="119"/>
      <c r="M275" s="45">
        <f>SUM(G275:L275)</f>
        <v>0.45065333333333329</v>
      </c>
      <c r="AB275" s="41"/>
    </row>
    <row r="276" spans="2:28" ht="11.1" customHeight="1" x14ac:dyDescent="0.2">
      <c r="B276" s="174" t="s">
        <v>17</v>
      </c>
      <c r="C276" s="160" t="s">
        <v>32</v>
      </c>
      <c r="D276" s="168" t="s">
        <v>22</v>
      </c>
      <c r="E276" s="163" t="s">
        <v>23</v>
      </c>
      <c r="F276" s="175" t="s">
        <v>33</v>
      </c>
      <c r="G276" s="122"/>
      <c r="H276" s="122"/>
      <c r="I276" s="122"/>
      <c r="J276" s="122"/>
      <c r="K276" s="122"/>
      <c r="L276" s="121">
        <f>120/27</f>
        <v>4.4444444444444446</v>
      </c>
      <c r="M276" s="181"/>
    </row>
    <row r="277" spans="2:28" ht="11.1" customHeight="1" thickBot="1" x14ac:dyDescent="0.25">
      <c r="B277" s="176"/>
      <c r="C277" s="176"/>
      <c r="D277" s="177">
        <f>1.7*10^(-8)</f>
        <v>1.7E-8</v>
      </c>
      <c r="E277" s="178" t="s">
        <v>27</v>
      </c>
      <c r="F277" s="179" t="s">
        <v>17</v>
      </c>
      <c r="G277" s="46"/>
      <c r="H277" s="46"/>
      <c r="I277" s="46"/>
      <c r="J277" s="46"/>
      <c r="K277" s="46"/>
      <c r="L277" s="124">
        <f>D277*L271*365*IF(L276="-",0,L276)*1000</f>
        <v>6.0671111111111127E-2</v>
      </c>
      <c r="M277" s="46">
        <f>SUM(G277:L277)</f>
        <v>6.0671111111111127E-2</v>
      </c>
    </row>
    <row r="278" spans="2:28" ht="11.1" customHeight="1" thickTop="1" x14ac:dyDescent="0.2">
      <c r="B278" s="160"/>
      <c r="C278" s="161"/>
      <c r="D278" s="162"/>
      <c r="E278" s="76" t="s">
        <v>18</v>
      </c>
      <c r="F278" s="163" t="s">
        <v>19</v>
      </c>
      <c r="G278" s="164">
        <v>100</v>
      </c>
      <c r="H278" s="164">
        <v>260</v>
      </c>
      <c r="I278" s="164">
        <v>200</v>
      </c>
      <c r="J278" s="164">
        <v>20</v>
      </c>
      <c r="K278" s="164">
        <v>40</v>
      </c>
      <c r="L278" s="166">
        <v>2.2000000000000002</v>
      </c>
      <c r="M278" s="167"/>
    </row>
    <row r="279" spans="2:28" ht="11.1" customHeight="1" x14ac:dyDescent="0.2">
      <c r="B279" s="160"/>
      <c r="C279" s="160" t="s">
        <v>157</v>
      </c>
      <c r="D279" s="168" t="s">
        <v>22</v>
      </c>
      <c r="E279" s="163" t="s">
        <v>23</v>
      </c>
      <c r="F279" s="169" t="s">
        <v>24</v>
      </c>
      <c r="G279" s="120">
        <f>6.3/27</f>
        <v>0.23333333333333334</v>
      </c>
      <c r="H279" s="120">
        <f>3.5/27</f>
        <v>0.12962962962962962</v>
      </c>
      <c r="I279" s="120">
        <f>7.8/27</f>
        <v>0.28888888888888886</v>
      </c>
      <c r="J279" s="120">
        <f>1.7/27</f>
        <v>6.2962962962962957E-2</v>
      </c>
      <c r="K279" s="120">
        <f>1.8/27</f>
        <v>6.6666666666666666E-2</v>
      </c>
      <c r="L279" s="120" t="s">
        <v>159</v>
      </c>
      <c r="M279" s="167"/>
    </row>
    <row r="280" spans="2:28" ht="11.1" customHeight="1" x14ac:dyDescent="0.2">
      <c r="B280" s="160" t="s">
        <v>186</v>
      </c>
      <c r="C280" s="170"/>
      <c r="D280" s="171">
        <f>1.4*10^(-5)</f>
        <v>1.4E-5</v>
      </c>
      <c r="E280" s="172" t="s">
        <v>27</v>
      </c>
      <c r="F280" s="173" t="s">
        <v>17</v>
      </c>
      <c r="G280" s="119">
        <f>D280*葉根菜/1000*365*IF(G279="-",0,G279)*1000</f>
        <v>0.11923333333333332</v>
      </c>
      <c r="H280" s="119">
        <f>D280*精米1/1000*365*IF(H279="-",0,H279)*1000</f>
        <v>0.17222592592592592</v>
      </c>
      <c r="I280" s="119">
        <f>D280*魚/1000*365*IF(I279="-",0,I279)*1000</f>
        <v>0.29524444444444436</v>
      </c>
      <c r="J280" s="119">
        <f>D280*無脊椎動物/1000*365*IF(J279="-",0,J279)*1000</f>
        <v>6.4348148148148142E-3</v>
      </c>
      <c r="K280" s="119">
        <f>D280*海藻/1000*365*IF(K279="-",0,K279)*1000</f>
        <v>1.3626666666666664E-2</v>
      </c>
      <c r="L280" s="119">
        <f>D280*L278*365*IF(L279="-",0,L279)*1000</f>
        <v>0</v>
      </c>
      <c r="M280" s="45">
        <f>SUM(G280:L280)</f>
        <v>0.60676518518518507</v>
      </c>
    </row>
    <row r="281" spans="2:28" ht="11.1" customHeight="1" x14ac:dyDescent="0.2">
      <c r="B281" s="160"/>
      <c r="C281" s="160" t="s">
        <v>30</v>
      </c>
      <c r="D281" s="168" t="s">
        <v>22</v>
      </c>
      <c r="E281" s="163" t="s">
        <v>23</v>
      </c>
      <c r="F281" s="169" t="s">
        <v>24</v>
      </c>
      <c r="G281" s="121">
        <f>2.9/27</f>
        <v>0.10740740740740741</v>
      </c>
      <c r="H281" s="120" t="s">
        <v>139</v>
      </c>
      <c r="I281" s="121" t="s">
        <v>159</v>
      </c>
      <c r="J281" s="121">
        <f>1/27</f>
        <v>3.7037037037037035E-2</v>
      </c>
      <c r="K281" s="121">
        <f>1.4/27</f>
        <v>5.185185185185185E-2</v>
      </c>
      <c r="L281" s="120"/>
      <c r="M281" s="181"/>
    </row>
    <row r="282" spans="2:28" ht="11.1" customHeight="1" x14ac:dyDescent="0.2">
      <c r="B282" s="180">
        <f>M280+M282+M284</f>
        <v>0.78488518518518502</v>
      </c>
      <c r="C282" s="170"/>
      <c r="D282" s="171">
        <f>3.6*10^(-5)</f>
        <v>3.6000000000000001E-5</v>
      </c>
      <c r="E282" s="172" t="s">
        <v>27</v>
      </c>
      <c r="F282" s="173" t="s">
        <v>17</v>
      </c>
      <c r="G282" s="119">
        <f>D282*葉根菜/1000*365*IF(G281="-",0,G281)*1000</f>
        <v>0.14113333333333331</v>
      </c>
      <c r="H282" s="119">
        <f>D282*精米1/1000*365*IF(H281="-",0,H281)*1000</f>
        <v>0</v>
      </c>
      <c r="I282" s="119">
        <f>D282*魚/1000*365*IF(I281="-",0,I281)*1000</f>
        <v>0</v>
      </c>
      <c r="J282" s="119">
        <f>D282*無脊椎動物/1000*365*IF(J281="-",0,J281)*1000</f>
        <v>9.7333333333333334E-3</v>
      </c>
      <c r="K282" s="119">
        <f>D282*海藻/1000*365*IF(K281="-",0,K281)*1000</f>
        <v>2.7253333333333338E-2</v>
      </c>
      <c r="L282" s="119"/>
      <c r="M282" s="45">
        <f>SUM(G282:L282)</f>
        <v>0.17812</v>
      </c>
    </row>
    <row r="283" spans="2:28" ht="11.1" customHeight="1" x14ac:dyDescent="0.2">
      <c r="B283" s="174" t="s">
        <v>17</v>
      </c>
      <c r="C283" s="160" t="s">
        <v>32</v>
      </c>
      <c r="D283" s="168" t="s">
        <v>22</v>
      </c>
      <c r="E283" s="163" t="s">
        <v>23</v>
      </c>
      <c r="F283" s="175" t="s">
        <v>33</v>
      </c>
      <c r="G283" s="122"/>
      <c r="H283" s="122"/>
      <c r="I283" s="122"/>
      <c r="J283" s="122"/>
      <c r="K283" s="122"/>
      <c r="L283" s="121"/>
      <c r="M283" s="181"/>
    </row>
    <row r="284" spans="2:28" ht="11.1" customHeight="1" thickBot="1" x14ac:dyDescent="0.25">
      <c r="B284" s="176"/>
      <c r="C284" s="176"/>
      <c r="D284" s="177">
        <f>1.7*10^(-8)</f>
        <v>1.7E-8</v>
      </c>
      <c r="E284" s="178" t="s">
        <v>27</v>
      </c>
      <c r="F284" s="179" t="s">
        <v>17</v>
      </c>
      <c r="G284" s="46"/>
      <c r="H284" s="46"/>
      <c r="I284" s="46"/>
      <c r="J284" s="46"/>
      <c r="K284" s="46"/>
      <c r="L284" s="124">
        <f>D284*L278*365*IF(L283="-",0,L283)*1000</f>
        <v>0</v>
      </c>
      <c r="M284" s="46">
        <f>SUM(G284:L284)</f>
        <v>0</v>
      </c>
      <c r="AB284" s="41"/>
    </row>
    <row r="285" spans="2:28" ht="11.1" customHeight="1" thickTop="1" x14ac:dyDescent="0.2">
      <c r="B285" s="160"/>
      <c r="C285" s="161"/>
      <c r="D285" s="162"/>
      <c r="E285" s="76" t="s">
        <v>18</v>
      </c>
      <c r="F285" s="163" t="s">
        <v>19</v>
      </c>
      <c r="G285" s="164">
        <v>100</v>
      </c>
      <c r="H285" s="164">
        <v>260</v>
      </c>
      <c r="I285" s="164">
        <v>200</v>
      </c>
      <c r="J285" s="164">
        <v>20</v>
      </c>
      <c r="K285" s="164">
        <v>40</v>
      </c>
      <c r="L285" s="166">
        <v>2.2000000000000002</v>
      </c>
      <c r="M285" s="167"/>
    </row>
    <row r="286" spans="2:28" ht="11.1" customHeight="1" x14ac:dyDescent="0.2">
      <c r="B286" s="160"/>
      <c r="C286" s="160" t="s">
        <v>157</v>
      </c>
      <c r="D286" s="168" t="s">
        <v>22</v>
      </c>
      <c r="E286" s="163" t="s">
        <v>23</v>
      </c>
      <c r="F286" s="169" t="s">
        <v>24</v>
      </c>
      <c r="G286" s="120">
        <f>4/27</f>
        <v>0.14814814814814814</v>
      </c>
      <c r="H286" s="120">
        <f>2/27</f>
        <v>7.407407407407407E-2</v>
      </c>
      <c r="I286" s="120">
        <f>12/27</f>
        <v>0.44444444444444442</v>
      </c>
      <c r="J286" s="120">
        <f>2.1/27</f>
        <v>7.7777777777777779E-2</v>
      </c>
      <c r="K286" s="120">
        <f>1.9/27</f>
        <v>7.0370370370370361E-2</v>
      </c>
      <c r="L286" s="120" t="s">
        <v>159</v>
      </c>
      <c r="M286" s="167"/>
    </row>
    <row r="287" spans="2:28" ht="11.1" customHeight="1" x14ac:dyDescent="0.2">
      <c r="B287" s="160" t="s">
        <v>187</v>
      </c>
      <c r="C287" s="170"/>
      <c r="D287" s="171">
        <f>1.4*10^(-5)</f>
        <v>1.4E-5</v>
      </c>
      <c r="E287" s="172" t="s">
        <v>27</v>
      </c>
      <c r="F287" s="173" t="s">
        <v>17</v>
      </c>
      <c r="G287" s="119">
        <f>D287*葉根菜/1000*365*IF(G286="-",0,G286)*1000</f>
        <v>7.570370370370369E-2</v>
      </c>
      <c r="H287" s="119">
        <f>D287*精米1/1000*365*IF(H286="-",0,H286)*1000</f>
        <v>9.8414814814814802E-2</v>
      </c>
      <c r="I287" s="119">
        <f>D287*魚/1000*365*IF(I286="-",0,I286)*1000</f>
        <v>0.45422222222222219</v>
      </c>
      <c r="J287" s="119">
        <f>D287*無脊椎動物/1000*365*IF(J286="-",0,J286)*1000</f>
        <v>7.948888888888889E-3</v>
      </c>
      <c r="K287" s="119">
        <f>D287*海藻/1000*365*IF(K286="-",0,K286)*1000</f>
        <v>1.4383703703703701E-2</v>
      </c>
      <c r="L287" s="119">
        <f>D287*L285*365*IF(L286="-",0,L286)*1000</f>
        <v>0</v>
      </c>
      <c r="M287" s="45">
        <f>SUM(G287:L287)</f>
        <v>0.65067333333333321</v>
      </c>
    </row>
    <row r="288" spans="2:28" ht="11.1" customHeight="1" x14ac:dyDescent="0.2">
      <c r="B288" s="160"/>
      <c r="C288" s="160" t="s">
        <v>30</v>
      </c>
      <c r="D288" s="168" t="s">
        <v>22</v>
      </c>
      <c r="E288" s="163" t="s">
        <v>23</v>
      </c>
      <c r="F288" s="169" t="s">
        <v>24</v>
      </c>
      <c r="G288" s="121"/>
      <c r="H288" s="120">
        <f>2.7/27</f>
        <v>0.1</v>
      </c>
      <c r="I288" s="121" t="s">
        <v>159</v>
      </c>
      <c r="J288" s="121">
        <f>2.2/27</f>
        <v>8.1481481481481488E-2</v>
      </c>
      <c r="K288" s="121">
        <f>1.8/27</f>
        <v>6.6666666666666666E-2</v>
      </c>
      <c r="L288" s="120"/>
      <c r="M288" s="181"/>
    </row>
    <row r="289" spans="2:28" ht="11.1" customHeight="1" x14ac:dyDescent="0.2">
      <c r="B289" s="180">
        <f>M287+M289+M291</f>
        <v>1.0487666666666666</v>
      </c>
      <c r="C289" s="170"/>
      <c r="D289" s="171">
        <f>3.6*10^(-5)</f>
        <v>3.6000000000000001E-5</v>
      </c>
      <c r="E289" s="172" t="s">
        <v>27</v>
      </c>
      <c r="F289" s="173" t="s">
        <v>17</v>
      </c>
      <c r="G289" s="119"/>
      <c r="H289" s="119">
        <f>D289*精米1/1000*365*IF(H288="-",0,H288)*1000</f>
        <v>0.34164000000000005</v>
      </c>
      <c r="I289" s="119">
        <f>D289*魚/1000*365*IF(I288="-",0,I288)*1000</f>
        <v>0</v>
      </c>
      <c r="J289" s="119">
        <f>D289*無脊椎動物/1000*365*IF(J288="-",0,J288)*1000</f>
        <v>2.1413333333333336E-2</v>
      </c>
      <c r="K289" s="119">
        <f>D289*海藻/1000*365*IF(K288="-",0,K288)*1000</f>
        <v>3.5040000000000002E-2</v>
      </c>
      <c r="L289" s="119"/>
      <c r="M289" s="45">
        <f>SUM(G289:L289)</f>
        <v>0.39809333333333341</v>
      </c>
    </row>
    <row r="290" spans="2:28" ht="11.1" customHeight="1" x14ac:dyDescent="0.2">
      <c r="B290" s="174" t="s">
        <v>17</v>
      </c>
      <c r="C290" s="160" t="s">
        <v>32</v>
      </c>
      <c r="D290" s="168" t="s">
        <v>22</v>
      </c>
      <c r="E290" s="163" t="s">
        <v>23</v>
      </c>
      <c r="F290" s="175" t="s">
        <v>33</v>
      </c>
      <c r="G290" s="122"/>
      <c r="H290" s="122"/>
      <c r="I290" s="122"/>
      <c r="J290" s="122"/>
      <c r="K290" s="122"/>
      <c r="L290" s="121"/>
      <c r="M290" s="181"/>
    </row>
    <row r="291" spans="2:28" ht="11.1" customHeight="1" thickBot="1" x14ac:dyDescent="0.25">
      <c r="B291" s="176"/>
      <c r="C291" s="176"/>
      <c r="D291" s="177">
        <f>1.7*10^(-8)</f>
        <v>1.7E-8</v>
      </c>
      <c r="E291" s="178" t="s">
        <v>27</v>
      </c>
      <c r="F291" s="179" t="s">
        <v>17</v>
      </c>
      <c r="G291" s="46"/>
      <c r="H291" s="46"/>
      <c r="I291" s="46"/>
      <c r="J291" s="46"/>
      <c r="K291" s="46"/>
      <c r="L291" s="124">
        <f>D291*L285*365*IF(L290="-",0,L290)*1000</f>
        <v>0</v>
      </c>
      <c r="M291" s="46">
        <f>SUM(G291:L291)</f>
        <v>0</v>
      </c>
    </row>
    <row r="292" spans="2:28" ht="11.1" customHeight="1" thickTop="1" x14ac:dyDescent="0.2">
      <c r="B292" s="160"/>
      <c r="C292" s="161"/>
      <c r="D292" s="162"/>
      <c r="E292" s="76" t="s">
        <v>18</v>
      </c>
      <c r="F292" s="163" t="s">
        <v>19</v>
      </c>
      <c r="G292" s="164">
        <v>100</v>
      </c>
      <c r="H292" s="164">
        <v>260</v>
      </c>
      <c r="I292" s="164">
        <v>200</v>
      </c>
      <c r="J292" s="164">
        <v>20</v>
      </c>
      <c r="K292" s="164">
        <v>40</v>
      </c>
      <c r="L292" s="166">
        <v>2.2000000000000002</v>
      </c>
      <c r="M292" s="167"/>
    </row>
    <row r="293" spans="2:28" ht="11.1" customHeight="1" x14ac:dyDescent="0.2">
      <c r="B293" s="160"/>
      <c r="C293" s="160" t="s">
        <v>188</v>
      </c>
      <c r="D293" s="168" t="s">
        <v>22</v>
      </c>
      <c r="E293" s="163" t="s">
        <v>23</v>
      </c>
      <c r="F293" s="169" t="s">
        <v>24</v>
      </c>
      <c r="G293" s="120">
        <f>6.8/27</f>
        <v>0.25185185185185183</v>
      </c>
      <c r="H293" s="120">
        <f>5.1/27</f>
        <v>0.18888888888888888</v>
      </c>
      <c r="I293" s="120">
        <f>6.5/27</f>
        <v>0.24074074074074073</v>
      </c>
      <c r="J293" s="120">
        <f>2.2/27</f>
        <v>8.1481481481481488E-2</v>
      </c>
      <c r="K293" s="120">
        <f>1/27</f>
        <v>3.7037037037037035E-2</v>
      </c>
      <c r="L293" s="120" t="s">
        <v>159</v>
      </c>
      <c r="M293" s="167"/>
      <c r="AB293" s="41"/>
    </row>
    <row r="294" spans="2:28" ht="11.1" customHeight="1" x14ac:dyDescent="0.2">
      <c r="B294" s="160" t="s">
        <v>189</v>
      </c>
      <c r="C294" s="170"/>
      <c r="D294" s="171">
        <f>1.4*10^(-5)</f>
        <v>1.4E-5</v>
      </c>
      <c r="E294" s="172" t="s">
        <v>27</v>
      </c>
      <c r="F294" s="173" t="s">
        <v>17</v>
      </c>
      <c r="G294" s="119">
        <f>D294*葉根菜/1000*365*IF(G293="-",0,G293)*1000</f>
        <v>0.12869629629629628</v>
      </c>
      <c r="H294" s="119">
        <f>D294*精米1/1000*365*IF(H293="-",0,H293)*1000</f>
        <v>0.25095777777777772</v>
      </c>
      <c r="I294" s="119">
        <f>D294*魚/1000*365*IF(I293="-",0,I293)*1000</f>
        <v>0.24603703703703703</v>
      </c>
      <c r="J294" s="119">
        <f>D294*無脊椎動物/1000*365*IF(J293="-",0,J293)*1000</f>
        <v>8.3274074074074084E-3</v>
      </c>
      <c r="K294" s="119">
        <f>D294*海藻/1000*365*IF(K293="-",0,K293)*1000</f>
        <v>7.5703703703703697E-3</v>
      </c>
      <c r="L294" s="119">
        <f>D294*L292*365*IF(L293="-",0,L293)*1000</f>
        <v>0</v>
      </c>
      <c r="M294" s="45">
        <f>SUM(G294:L294)</f>
        <v>0.64158888888888888</v>
      </c>
    </row>
    <row r="295" spans="2:28" ht="11.1" customHeight="1" x14ac:dyDescent="0.2">
      <c r="B295" s="160"/>
      <c r="C295" s="160" t="s">
        <v>30</v>
      </c>
      <c r="D295" s="168" t="s">
        <v>22</v>
      </c>
      <c r="E295" s="163" t="s">
        <v>23</v>
      </c>
      <c r="F295" s="169" t="s">
        <v>24</v>
      </c>
      <c r="G295" s="121"/>
      <c r="H295" s="120"/>
      <c r="I295" s="121"/>
      <c r="J295" s="121"/>
      <c r="K295" s="121">
        <f>1.3/27</f>
        <v>4.8148148148148148E-2</v>
      </c>
      <c r="L295" s="120"/>
      <c r="M295" s="181"/>
    </row>
    <row r="296" spans="2:28" ht="11.1" customHeight="1" x14ac:dyDescent="0.2">
      <c r="B296" s="180">
        <f>M294+M296+M298</f>
        <v>0.66689555555555557</v>
      </c>
      <c r="C296" s="170"/>
      <c r="D296" s="171">
        <f>3.6*10^(-5)</f>
        <v>3.6000000000000001E-5</v>
      </c>
      <c r="E296" s="172" t="s">
        <v>27</v>
      </c>
      <c r="F296" s="173" t="s">
        <v>17</v>
      </c>
      <c r="G296" s="119"/>
      <c r="H296" s="119">
        <f>D296*精米1/1000*365*IF(H295="-",0,H295)*1000</f>
        <v>0</v>
      </c>
      <c r="I296" s="119">
        <f>D296*魚/1000*365*IF(I295="-",0,I295)*1000</f>
        <v>0</v>
      </c>
      <c r="J296" s="119">
        <f>D296*無脊椎動物/1000*365*IF(J295="-",0,J295)*1000</f>
        <v>0</v>
      </c>
      <c r="K296" s="119">
        <f>D296*海藻/1000*365*IF(K295="-",0,K295)*1000</f>
        <v>2.5306666666666668E-2</v>
      </c>
      <c r="L296" s="119"/>
      <c r="M296" s="45">
        <f>SUM(G296:L296)</f>
        <v>2.5306666666666668E-2</v>
      </c>
    </row>
    <row r="297" spans="2:28" ht="11.1" customHeight="1" x14ac:dyDescent="0.2">
      <c r="B297" s="174" t="s">
        <v>17</v>
      </c>
      <c r="C297" s="160" t="s">
        <v>32</v>
      </c>
      <c r="D297" s="168" t="s">
        <v>22</v>
      </c>
      <c r="E297" s="163" t="s">
        <v>23</v>
      </c>
      <c r="F297" s="175" t="s">
        <v>33</v>
      </c>
      <c r="G297" s="122"/>
      <c r="H297" s="122"/>
      <c r="I297" s="122"/>
      <c r="J297" s="122"/>
      <c r="K297" s="122"/>
      <c r="L297" s="121"/>
      <c r="M297" s="181"/>
    </row>
    <row r="298" spans="2:28" ht="11.1" customHeight="1" thickBot="1" x14ac:dyDescent="0.25">
      <c r="B298" s="176"/>
      <c r="C298" s="176"/>
      <c r="D298" s="177">
        <f>1.7*10^(-8)</f>
        <v>1.7E-8</v>
      </c>
      <c r="E298" s="178" t="s">
        <v>27</v>
      </c>
      <c r="F298" s="179" t="s">
        <v>17</v>
      </c>
      <c r="G298" s="46"/>
      <c r="H298" s="46"/>
      <c r="I298" s="46"/>
      <c r="J298" s="46"/>
      <c r="K298" s="46"/>
      <c r="L298" s="124">
        <f>D298*L292*365*IF(L297="-",0,L297)*1000</f>
        <v>0</v>
      </c>
      <c r="M298" s="46">
        <f>SUM(G298:L298)</f>
        <v>0</v>
      </c>
    </row>
    <row r="299" spans="2:28" ht="11.1" customHeight="1" thickTop="1" x14ac:dyDescent="0.2">
      <c r="E299" s="44"/>
      <c r="F299" s="44"/>
      <c r="G299" s="44"/>
      <c r="H299" s="44"/>
      <c r="I299" s="44"/>
      <c r="J299" s="44"/>
      <c r="K299" s="44"/>
      <c r="L299" s="44"/>
      <c r="M299" s="44"/>
      <c r="N299" s="44"/>
    </row>
    <row r="300" spans="2:28" ht="11.1" customHeight="1" x14ac:dyDescent="0.2">
      <c r="C300" s="11"/>
      <c r="D300" s="11"/>
      <c r="G300" s="11"/>
      <c r="J300" s="11"/>
      <c r="M300" s="11"/>
    </row>
    <row r="301" spans="2:28" ht="11.1" customHeight="1" x14ac:dyDescent="0.2">
      <c r="C301" s="11"/>
      <c r="D301" s="11"/>
      <c r="G301" s="11"/>
      <c r="J301" s="11"/>
      <c r="M301" s="11"/>
    </row>
    <row r="302" spans="2:28" ht="11.1" customHeight="1" x14ac:dyDescent="0.2">
      <c r="C302" s="11"/>
      <c r="D302" s="11"/>
      <c r="G302" s="11"/>
      <c r="J302" s="11"/>
      <c r="M302" s="11"/>
    </row>
    <row r="303" spans="2:28" ht="11.1" customHeight="1" x14ac:dyDescent="0.2">
      <c r="C303" s="11"/>
      <c r="D303" s="11"/>
      <c r="G303" s="11"/>
      <c r="J303" s="11"/>
      <c r="M303" s="11"/>
    </row>
    <row r="304" spans="2:28" ht="11.1" customHeight="1" x14ac:dyDescent="0.2">
      <c r="C304" s="11"/>
      <c r="D304" s="11"/>
      <c r="G304" s="11"/>
      <c r="J304" s="11"/>
      <c r="M304" s="11"/>
    </row>
    <row r="305" spans="3:15" ht="11.1" customHeight="1" x14ac:dyDescent="0.2">
      <c r="C305" s="11"/>
      <c r="D305" s="11"/>
      <c r="G305" s="11"/>
      <c r="J305" s="11"/>
      <c r="M305" s="11"/>
    </row>
    <row r="306" spans="3:15" ht="11.1" customHeight="1" x14ac:dyDescent="0.2">
      <c r="C306" s="11"/>
      <c r="D306" s="11"/>
      <c r="G306" s="11"/>
      <c r="J306" s="11"/>
      <c r="M306" s="11"/>
    </row>
    <row r="307" spans="3:15" ht="11.1" customHeight="1" x14ac:dyDescent="0.2">
      <c r="C307" s="11"/>
      <c r="D307" s="11"/>
      <c r="G307" s="11"/>
      <c r="J307" s="118"/>
      <c r="K307" s="118"/>
      <c r="L307" s="118"/>
    </row>
    <row r="308" spans="3:15" ht="11.1" customHeight="1" x14ac:dyDescent="0.2">
      <c r="C308" s="11"/>
      <c r="D308" s="11"/>
      <c r="G308" s="11"/>
      <c r="J308" s="118"/>
      <c r="K308" s="118"/>
      <c r="L308" s="118"/>
    </row>
    <row r="309" spans="3:15" ht="11.1" customHeight="1" x14ac:dyDescent="0.2">
      <c r="C309" s="11"/>
      <c r="D309" s="11"/>
      <c r="G309" s="11"/>
      <c r="J309" s="118"/>
      <c r="K309" s="118"/>
      <c r="L309" s="118"/>
    </row>
    <row r="310" spans="3:15" ht="11.1" customHeight="1" x14ac:dyDescent="0.2">
      <c r="C310" s="11"/>
      <c r="D310" s="11"/>
      <c r="G310" s="11"/>
      <c r="J310" s="118"/>
      <c r="K310" s="118"/>
      <c r="L310" s="118"/>
    </row>
    <row r="311" spans="3:15" ht="11.1" customHeight="1" x14ac:dyDescent="0.2">
      <c r="C311" s="11"/>
      <c r="D311" s="11"/>
      <c r="G311" s="11"/>
      <c r="J311" s="118"/>
      <c r="K311" s="118"/>
      <c r="L311" s="118"/>
    </row>
    <row r="312" spans="3:15" ht="11.1" customHeight="1" x14ac:dyDescent="0.2">
      <c r="C312" s="11"/>
      <c r="D312" s="11"/>
      <c r="G312" s="11"/>
      <c r="J312" s="118"/>
      <c r="K312" s="118"/>
      <c r="L312" s="118"/>
    </row>
    <row r="313" spans="3:15" ht="11.1" customHeight="1" x14ac:dyDescent="0.2">
      <c r="C313" s="11"/>
      <c r="D313" s="11"/>
      <c r="G313" s="11"/>
      <c r="J313" s="118"/>
      <c r="K313" s="118"/>
      <c r="L313" s="118"/>
    </row>
    <row r="314" spans="3:15" ht="11.1" customHeight="1" x14ac:dyDescent="0.2">
      <c r="C314" s="11"/>
      <c r="D314" s="11"/>
      <c r="G314" s="11"/>
      <c r="J314" s="118"/>
      <c r="K314" s="118"/>
      <c r="L314" s="118"/>
    </row>
    <row r="315" spans="3:15" ht="11.1" customHeight="1" x14ac:dyDescent="0.2">
      <c r="C315" s="11"/>
      <c r="D315" s="11"/>
      <c r="G315" s="11"/>
      <c r="J315" s="118"/>
      <c r="K315" s="118"/>
      <c r="L315" s="118"/>
    </row>
    <row r="316" spans="3:15" ht="11.1" customHeight="1" x14ac:dyDescent="0.2">
      <c r="C316" s="11"/>
      <c r="D316" s="11"/>
      <c r="G316" s="11"/>
      <c r="J316" s="118"/>
      <c r="K316" s="118"/>
      <c r="L316" s="118"/>
    </row>
    <row r="317" spans="3:15" ht="11.1" customHeight="1" x14ac:dyDescent="0.2">
      <c r="C317" s="11"/>
      <c r="D317" s="11"/>
      <c r="G317" s="11"/>
      <c r="J317" s="118"/>
      <c r="K317" s="118"/>
      <c r="L317" s="118"/>
      <c r="M317" s="118"/>
      <c r="N317" s="118"/>
      <c r="O317" s="118"/>
    </row>
    <row r="318" spans="3:15" ht="11.1" customHeight="1" x14ac:dyDescent="0.2">
      <c r="C318" s="11"/>
      <c r="D318" s="11"/>
      <c r="G318" s="11"/>
      <c r="J318" s="118"/>
      <c r="K318" s="118"/>
      <c r="L318" s="118"/>
      <c r="M318" s="118"/>
      <c r="N318" s="118"/>
      <c r="O318" s="118"/>
    </row>
    <row r="319" spans="3:15" ht="11.1" customHeight="1" x14ac:dyDescent="0.2">
      <c r="C319" s="11"/>
      <c r="D319" s="11"/>
      <c r="G319" s="11"/>
      <c r="J319" s="118"/>
      <c r="K319" s="118"/>
      <c r="L319" s="118"/>
      <c r="M319" s="118"/>
      <c r="N319" s="118"/>
      <c r="O319" s="118"/>
    </row>
    <row r="320" spans="3:15" ht="11.1" customHeight="1" x14ac:dyDescent="0.2">
      <c r="C320" s="11"/>
      <c r="D320" s="11"/>
      <c r="G320" s="11"/>
      <c r="J320" s="118"/>
      <c r="K320" s="118"/>
      <c r="L320" s="118"/>
      <c r="M320" s="118"/>
      <c r="N320" s="118"/>
      <c r="O320" s="118"/>
    </row>
    <row r="321" spans="3:7" ht="11.1" customHeight="1" x14ac:dyDescent="0.2">
      <c r="C321" s="11"/>
      <c r="D321" s="11"/>
      <c r="G321" s="11"/>
    </row>
    <row r="322" spans="3:7" ht="11.1" customHeight="1" x14ac:dyDescent="0.2">
      <c r="C322" s="11"/>
      <c r="D322" s="11"/>
      <c r="G322" s="11"/>
    </row>
    <row r="323" spans="3:7" ht="11.1" customHeight="1" x14ac:dyDescent="0.2">
      <c r="C323" s="11"/>
      <c r="D323" s="11"/>
      <c r="G323" s="11"/>
    </row>
    <row r="324" spans="3:7" ht="11.1" customHeight="1" x14ac:dyDescent="0.2">
      <c r="C324" s="11"/>
      <c r="D324" s="11"/>
      <c r="G324" s="11"/>
    </row>
    <row r="325" spans="3:7" ht="11.1" customHeight="1" x14ac:dyDescent="0.2">
      <c r="C325" s="11"/>
      <c r="D325" s="11"/>
      <c r="G325" s="11"/>
    </row>
    <row r="326" spans="3:7" ht="11.1" customHeight="1" x14ac:dyDescent="0.2">
      <c r="C326" s="11"/>
      <c r="D326" s="11"/>
      <c r="G326" s="11"/>
    </row>
    <row r="327" spans="3:7" ht="11.1" customHeight="1" x14ac:dyDescent="0.2">
      <c r="C327" s="11"/>
      <c r="D327" s="11"/>
      <c r="G327" s="11"/>
    </row>
    <row r="328" spans="3:7" ht="11.1" customHeight="1" x14ac:dyDescent="0.2">
      <c r="C328" s="11"/>
      <c r="D328" s="11"/>
      <c r="G328" s="11"/>
    </row>
    <row r="329" spans="3:7" ht="11.1" customHeight="1" x14ac:dyDescent="0.2">
      <c r="C329" s="11"/>
      <c r="D329" s="11"/>
      <c r="G329" s="11"/>
    </row>
    <row r="330" spans="3:7" ht="11.1" customHeight="1" x14ac:dyDescent="0.2">
      <c r="C330" s="11"/>
      <c r="D330" s="11"/>
      <c r="G330" s="11"/>
    </row>
    <row r="331" spans="3:7" ht="11.1" customHeight="1" x14ac:dyDescent="0.2">
      <c r="C331" s="11"/>
      <c r="D331" s="11"/>
      <c r="G331" s="11"/>
    </row>
    <row r="332" spans="3:7" ht="11.1" customHeight="1" x14ac:dyDescent="0.2">
      <c r="C332" s="11"/>
      <c r="D332" s="11"/>
      <c r="G332" s="11"/>
    </row>
    <row r="333" spans="3:7" ht="11.1" customHeight="1" x14ac:dyDescent="0.2">
      <c r="C333" s="11"/>
      <c r="D333" s="11"/>
      <c r="G333" s="11"/>
    </row>
    <row r="334" spans="3:7" ht="11.1" customHeight="1" x14ac:dyDescent="0.2">
      <c r="C334" s="11"/>
      <c r="D334" s="11"/>
      <c r="G334" s="11"/>
    </row>
    <row r="335" spans="3:7" ht="11.1" customHeight="1" x14ac:dyDescent="0.2">
      <c r="C335" s="11"/>
      <c r="D335" s="11"/>
      <c r="G335" s="11"/>
    </row>
    <row r="336" spans="3:7" ht="11.1" customHeight="1" x14ac:dyDescent="0.2">
      <c r="C336" s="11"/>
      <c r="D336" s="11"/>
      <c r="G336" s="11"/>
    </row>
    <row r="337" spans="2:7" ht="11.1" customHeight="1" x14ac:dyDescent="0.2">
      <c r="C337" s="11"/>
      <c r="D337" s="11"/>
      <c r="G337" s="11"/>
    </row>
    <row r="338" spans="2:7" ht="11.1" customHeight="1" x14ac:dyDescent="0.2">
      <c r="C338" s="11"/>
      <c r="D338" s="11"/>
      <c r="G338" s="11"/>
    </row>
    <row r="339" spans="2:7" ht="11.1" customHeight="1" x14ac:dyDescent="0.2">
      <c r="C339" s="11"/>
      <c r="D339" s="11"/>
      <c r="G339" s="11"/>
    </row>
    <row r="340" spans="2:7" ht="11.1" customHeight="1" x14ac:dyDescent="0.2">
      <c r="C340" s="11"/>
      <c r="D340" s="11"/>
      <c r="G340" s="11"/>
    </row>
    <row r="341" spans="2:7" ht="11.1" customHeight="1" x14ac:dyDescent="0.2">
      <c r="C341" s="11"/>
      <c r="D341" s="11"/>
      <c r="G341" s="11"/>
    </row>
    <row r="342" spans="2:7" ht="11.1" customHeight="1" x14ac:dyDescent="0.2">
      <c r="C342" s="11"/>
      <c r="D342" s="11"/>
      <c r="G342" s="11"/>
    </row>
    <row r="343" spans="2:7" ht="11.1" customHeight="1" x14ac:dyDescent="0.2">
      <c r="C343" s="11"/>
      <c r="D343" s="11"/>
      <c r="G343" s="11"/>
    </row>
    <row r="344" spans="2:7" ht="11.1" customHeight="1" x14ac:dyDescent="0.2">
      <c r="C344" s="11"/>
      <c r="D344" s="11"/>
      <c r="G344" s="11"/>
    </row>
    <row r="345" spans="2:7" ht="11.1" customHeight="1" x14ac:dyDescent="0.2">
      <c r="C345" s="11"/>
      <c r="D345" s="11"/>
      <c r="G345" s="11"/>
    </row>
    <row r="346" spans="2:7" ht="11.1" customHeight="1" x14ac:dyDescent="0.2">
      <c r="C346" s="11"/>
      <c r="D346" s="11"/>
      <c r="G346" s="11"/>
    </row>
    <row r="347" spans="2:7" ht="11.1" customHeight="1" x14ac:dyDescent="0.2">
      <c r="C347" s="11"/>
      <c r="D347" s="11"/>
      <c r="G347" s="11"/>
    </row>
    <row r="348" spans="2:7" ht="11.1" customHeight="1" x14ac:dyDescent="0.2">
      <c r="C348" s="11"/>
      <c r="D348" s="11"/>
      <c r="G348" s="11"/>
    </row>
    <row r="349" spans="2:7" ht="11.1" customHeight="1" x14ac:dyDescent="0.2">
      <c r="C349" s="11"/>
      <c r="D349" s="11"/>
      <c r="G349" s="11"/>
    </row>
    <row r="350" spans="2:7" ht="11.1" customHeight="1" x14ac:dyDescent="0.2">
      <c r="C350" s="11"/>
      <c r="D350" s="11"/>
      <c r="G350" s="11"/>
    </row>
    <row r="351" spans="2:7" ht="11.1" customHeight="1" x14ac:dyDescent="0.2">
      <c r="C351" s="11"/>
      <c r="D351" s="11"/>
      <c r="G351" s="11"/>
    </row>
    <row r="352" spans="2:7" ht="11.1" customHeight="1" x14ac:dyDescent="0.2">
      <c r="B352" s="118"/>
      <c r="C352" s="118"/>
      <c r="D352" s="118"/>
      <c r="E352" s="44"/>
      <c r="F352" s="44"/>
    </row>
    <row r="353" spans="2:6" ht="11.1" customHeight="1" x14ac:dyDescent="0.2"/>
    <row r="354" spans="2:6" ht="11.1" customHeight="1" x14ac:dyDescent="0.2">
      <c r="B354" s="118"/>
      <c r="C354" s="118"/>
      <c r="D354" s="118"/>
      <c r="E354" s="44"/>
      <c r="F354" s="44"/>
    </row>
    <row r="355" spans="2:6" ht="11.1" customHeight="1" x14ac:dyDescent="0.2"/>
    <row r="356" spans="2:6" ht="11.1" customHeight="1" x14ac:dyDescent="0.2">
      <c r="B356" s="118"/>
      <c r="C356" s="118"/>
      <c r="D356" s="118"/>
      <c r="E356" s="44"/>
      <c r="F356" s="44"/>
    </row>
    <row r="357" spans="2:6" ht="11.1" customHeight="1" x14ac:dyDescent="0.2">
      <c r="E357" s="44"/>
      <c r="F357" s="44"/>
    </row>
    <row r="358" spans="2:6" ht="11.1" customHeight="1" x14ac:dyDescent="0.2">
      <c r="E358" s="44"/>
      <c r="F358" s="44"/>
    </row>
    <row r="359" spans="2:6" ht="11.1" customHeight="1" x14ac:dyDescent="0.2">
      <c r="E359" s="44"/>
      <c r="F359" s="44"/>
    </row>
    <row r="360" spans="2:6" ht="11.1" customHeight="1" x14ac:dyDescent="0.2">
      <c r="E360" s="44"/>
      <c r="F360" s="44"/>
    </row>
    <row r="361" spans="2:6" ht="11.1" customHeight="1" x14ac:dyDescent="0.2">
      <c r="E361" s="44"/>
      <c r="F361" s="44"/>
    </row>
    <row r="362" spans="2:6" ht="11.1" customHeight="1" x14ac:dyDescent="0.2">
      <c r="E362" s="44"/>
      <c r="F362" s="44"/>
    </row>
    <row r="363" spans="2:6" ht="11.1" customHeight="1" x14ac:dyDescent="0.2">
      <c r="E363" s="44"/>
      <c r="F363" s="44"/>
    </row>
    <row r="364" spans="2:6" ht="11.1" customHeight="1" x14ac:dyDescent="0.2">
      <c r="E364" s="44"/>
      <c r="F364" s="44"/>
    </row>
    <row r="365" spans="2:6" ht="11.1" customHeight="1" x14ac:dyDescent="0.2">
      <c r="E365" s="44"/>
      <c r="F365" s="44"/>
    </row>
    <row r="366" spans="2:6" ht="11.1" customHeight="1" x14ac:dyDescent="0.2">
      <c r="E366" s="44"/>
      <c r="F366" s="44"/>
    </row>
    <row r="367" spans="2:6" ht="11.1" customHeight="1" x14ac:dyDescent="0.2">
      <c r="E367" s="44"/>
      <c r="F367" s="44"/>
    </row>
    <row r="368" spans="2:6" ht="11.1" customHeight="1" x14ac:dyDescent="0.2">
      <c r="E368" s="44"/>
      <c r="F368" s="44"/>
    </row>
    <row r="369" spans="5:6" ht="11.1" customHeight="1" x14ac:dyDescent="0.2">
      <c r="E369" s="44"/>
      <c r="F369" s="44"/>
    </row>
    <row r="370" spans="5:6" ht="11.1" customHeight="1" x14ac:dyDescent="0.2">
      <c r="E370" s="44"/>
      <c r="F370" s="44"/>
    </row>
    <row r="371" spans="5:6" ht="11.1" customHeight="1" x14ac:dyDescent="0.2">
      <c r="E371" s="44"/>
      <c r="F371" s="44"/>
    </row>
    <row r="372" spans="5:6" ht="11.1" customHeight="1" x14ac:dyDescent="0.2">
      <c r="E372" s="44"/>
      <c r="F372" s="44"/>
    </row>
    <row r="373" spans="5:6" ht="11.1" customHeight="1" x14ac:dyDescent="0.2">
      <c r="E373" s="44"/>
      <c r="F373" s="44"/>
    </row>
    <row r="374" spans="5:6" ht="11.1" customHeight="1" x14ac:dyDescent="0.2">
      <c r="E374" s="44"/>
      <c r="F374" s="44"/>
    </row>
    <row r="375" spans="5:6" ht="11.1" customHeight="1" x14ac:dyDescent="0.2">
      <c r="E375" s="44"/>
      <c r="F375" s="44"/>
    </row>
    <row r="376" spans="5:6" ht="11.1" customHeight="1" x14ac:dyDescent="0.2">
      <c r="E376" s="44"/>
      <c r="F376" s="44"/>
    </row>
    <row r="377" spans="5:6" ht="11.1" customHeight="1" x14ac:dyDescent="0.2">
      <c r="E377" s="44"/>
      <c r="F377" s="44"/>
    </row>
    <row r="378" spans="5:6" ht="11.1" customHeight="1" x14ac:dyDescent="0.2">
      <c r="E378" s="44"/>
      <c r="F378" s="44"/>
    </row>
    <row r="379" spans="5:6" ht="11.1" customHeight="1" x14ac:dyDescent="0.2">
      <c r="E379" s="44"/>
      <c r="F379" s="44"/>
    </row>
    <row r="380" spans="5:6" ht="11.1" customHeight="1" x14ac:dyDescent="0.2">
      <c r="E380" s="44"/>
      <c r="F380" s="44"/>
    </row>
    <row r="381" spans="5:6" ht="11.1" customHeight="1" x14ac:dyDescent="0.2">
      <c r="E381" s="44"/>
      <c r="F381" s="44"/>
    </row>
    <row r="382" spans="5:6" ht="11.1" customHeight="1" x14ac:dyDescent="0.2">
      <c r="E382" s="44"/>
      <c r="F382" s="44"/>
    </row>
    <row r="383" spans="5:6" ht="11.1" customHeight="1" x14ac:dyDescent="0.2">
      <c r="E383" s="44"/>
      <c r="F383" s="44"/>
    </row>
    <row r="384" spans="5:6" ht="11.1" customHeight="1" x14ac:dyDescent="0.2">
      <c r="E384" s="44"/>
      <c r="F384" s="44"/>
    </row>
    <row r="385" spans="5:6" x14ac:dyDescent="0.2">
      <c r="E385" s="44"/>
      <c r="F385" s="44"/>
    </row>
    <row r="386" spans="5:6" x14ac:dyDescent="0.2">
      <c r="E386" s="44"/>
      <c r="F386" s="44"/>
    </row>
    <row r="387" spans="5:6" x14ac:dyDescent="0.2">
      <c r="E387" s="44"/>
      <c r="F387" s="44"/>
    </row>
    <row r="388" spans="5:6" x14ac:dyDescent="0.2">
      <c r="E388" s="44"/>
      <c r="F388" s="44"/>
    </row>
    <row r="389" spans="5:6" x14ac:dyDescent="0.2">
      <c r="E389" s="44"/>
      <c r="F389" s="44"/>
    </row>
    <row r="390" spans="5:6" x14ac:dyDescent="0.2">
      <c r="E390" s="44"/>
      <c r="F390" s="44"/>
    </row>
    <row r="391" spans="5:6" x14ac:dyDescent="0.2">
      <c r="E391" s="44"/>
      <c r="F391" s="44"/>
    </row>
    <row r="392" spans="5:6" x14ac:dyDescent="0.2">
      <c r="E392" s="44"/>
      <c r="F392" s="44"/>
    </row>
    <row r="393" spans="5:6" x14ac:dyDescent="0.2">
      <c r="E393" s="44"/>
      <c r="F393" s="44"/>
    </row>
    <row r="394" spans="5:6" x14ac:dyDescent="0.2">
      <c r="E394" s="44"/>
      <c r="F394" s="44"/>
    </row>
    <row r="395" spans="5:6" x14ac:dyDescent="0.2">
      <c r="E395" s="44"/>
      <c r="F395" s="44"/>
    </row>
    <row r="396" spans="5:6" x14ac:dyDescent="0.2">
      <c r="E396" s="44"/>
      <c r="F396" s="44"/>
    </row>
    <row r="397" spans="5:6" x14ac:dyDescent="0.2">
      <c r="E397" s="44"/>
      <c r="F397" s="44"/>
    </row>
    <row r="398" spans="5:6" x14ac:dyDescent="0.2">
      <c r="E398" s="44"/>
      <c r="F398" s="44"/>
    </row>
    <row r="399" spans="5:6" x14ac:dyDescent="0.2">
      <c r="E399" s="44"/>
      <c r="F399" s="44"/>
    </row>
    <row r="400" spans="5:6" x14ac:dyDescent="0.2">
      <c r="E400" s="44"/>
      <c r="F400" s="44"/>
    </row>
  </sheetData>
  <sortState sortMethod="stroke" ref="N8:P46">
    <sortCondition descending="1" ref="N8:N46"/>
  </sortState>
  <mergeCells count="6">
    <mergeCell ref="T126:T128"/>
    <mergeCell ref="U126:U128"/>
    <mergeCell ref="P126:P128"/>
    <mergeCell ref="Q126:Q128"/>
    <mergeCell ref="R126:R128"/>
    <mergeCell ref="S126:S128"/>
  </mergeCells>
  <phoneticPr fontId="1"/>
  <hyperlinks>
    <hyperlink ref="D4" r:id="rId1" display="県原セの関連ページ"/>
    <hyperlink ref="D4:E4" r:id="rId2" display="環境放射線監視センター"/>
    <hyperlink ref="J4:L4" r:id="rId3" display="放射能情報サイトみやぎ"/>
    <hyperlink ref="G4:H4" r:id="rId4" display="原子力安全対策課"/>
    <hyperlink ref="N4:P4" r:id="rId5" display="kmdみやぎ"/>
  </hyperlinks>
  <pageMargins left="0.19685039370078741" right="0" top="0.39370078740157483" bottom="0" header="0" footer="0"/>
  <pageSetup paperSize="9" scale="75" orientation="landscape" horizontalDpi="4294967293" verticalDpi="360" r:id="rId6"/>
  <headerFooter alignWithMargins="0">
    <oddHeader>&amp;R&amp;8&amp;F／頁&amp;P/&amp;N／&amp;D</oddHead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9</vt:i4>
      </vt:variant>
    </vt:vector>
  </HeadingPairs>
  <TitlesOfParts>
    <vt:vector size="10" baseType="lpstr">
      <vt:lpstr>預託線量当量</vt:lpstr>
      <vt:lpstr>飲料水</vt:lpstr>
      <vt:lpstr>海藻</vt:lpstr>
      <vt:lpstr>魚</vt:lpstr>
      <vt:lpstr>精米1</vt:lpstr>
      <vt:lpstr>精米2</vt:lpstr>
      <vt:lpstr>精米3</vt:lpstr>
      <vt:lpstr>米</vt:lpstr>
      <vt:lpstr>無脊椎動物</vt:lpstr>
      <vt:lpstr>葉根菜</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2013-07-20T23:17:51Z</cp:lastPrinted>
  <dcterms:created xsi:type="dcterms:W3CDTF">1998-05-03T12:12:27Z</dcterms:created>
  <dcterms:modified xsi:type="dcterms:W3CDTF">2019-08-30T02:53:25Z</dcterms:modified>
</cp:coreProperties>
</file>