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505" yWindow="-15" windowWidth="14310" windowHeight="6915"/>
  </bookViews>
  <sheets>
    <sheet name="女発放廃" sheetId="1" r:id="rId1"/>
  </sheets>
  <definedNames>
    <definedName name="_Fill" localSheetId="0" hidden="1">女発放廃!#REF!</definedName>
    <definedName name="_Regression_Int" localSheetId="0" hidden="1">1</definedName>
  </definedNames>
  <calcPr calcId="145621" refMode="R1C1"/>
</workbook>
</file>

<file path=xl/calcChain.xml><?xml version="1.0" encoding="utf-8"?>
<calcChain xmlns="http://schemas.openxmlformats.org/spreadsheetml/2006/main">
  <c r="AA194" i="1" l="1"/>
  <c r="AA195" i="1"/>
  <c r="AA196" i="1"/>
  <c r="AA197" i="1"/>
  <c r="AA198" i="1"/>
  <c r="AA193" i="1"/>
  <c r="O346" i="1"/>
  <c r="N346" i="1"/>
  <c r="N345" i="1"/>
  <c r="O343" i="1"/>
  <c r="N343" i="1"/>
  <c r="N342" i="1"/>
  <c r="O341" i="1"/>
  <c r="N341" i="1"/>
  <c r="O340" i="1"/>
  <c r="N340" i="1"/>
  <c r="M366" i="1"/>
  <c r="J366" i="1"/>
  <c r="G366" i="1"/>
  <c r="V195" i="1"/>
  <c r="U195" i="1"/>
  <c r="T195" i="1"/>
  <c r="V196" i="1"/>
  <c r="U196" i="1"/>
  <c r="T196" i="1"/>
  <c r="V199" i="1"/>
  <c r="U199" i="1"/>
  <c r="T199" i="1"/>
  <c r="V197" i="1"/>
  <c r="U197" i="1"/>
  <c r="T197" i="1"/>
  <c r="N353" i="1"/>
  <c r="W199" i="1"/>
  <c r="W198" i="1"/>
  <c r="W197" i="1"/>
  <c r="W196" i="1"/>
  <c r="W195" i="1"/>
  <c r="V198" i="1"/>
  <c r="U198" i="1"/>
  <c r="T198" i="1"/>
  <c r="R199" i="1"/>
  <c r="R198" i="1"/>
  <c r="R197" i="1"/>
  <c r="R196" i="1"/>
  <c r="R195" i="1"/>
  <c r="M199" i="1"/>
  <c r="M198" i="1"/>
  <c r="M197" i="1"/>
  <c r="M196" i="1"/>
  <c r="M195" i="1"/>
  <c r="N339" i="1" l="1"/>
  <c r="N338" i="1"/>
  <c r="AL365" i="1" l="1"/>
  <c r="AR365" i="1" s="1"/>
  <c r="AK365" i="1"/>
  <c r="AQ365" i="1"/>
  <c r="AJ365" i="1"/>
  <c r="AP365" i="1" s="1"/>
  <c r="AR364" i="1"/>
  <c r="AL364" i="1"/>
  <c r="AK364" i="1"/>
  <c r="AQ364" i="1"/>
  <c r="AJ364" i="1"/>
  <c r="AP364" i="1" s="1"/>
  <c r="AL363" i="1"/>
  <c r="AR363" i="1" s="1"/>
  <c r="AK363" i="1"/>
  <c r="AQ363" i="1"/>
  <c r="AJ363" i="1"/>
  <c r="AP363" i="1" s="1"/>
  <c r="AL362" i="1"/>
  <c r="AK362" i="1"/>
  <c r="AQ362" i="1"/>
  <c r="AJ362" i="1"/>
  <c r="AP362" i="1" s="1"/>
  <c r="AL361" i="1"/>
  <c r="AR362" i="1" s="1"/>
  <c r="AK361" i="1"/>
  <c r="AQ361" i="1"/>
  <c r="AJ361" i="1"/>
  <c r="AP361" i="1" s="1"/>
  <c r="AL360" i="1"/>
  <c r="AK360" i="1"/>
  <c r="AQ360" i="1"/>
  <c r="AJ360" i="1"/>
  <c r="AP360" i="1" s="1"/>
  <c r="AL359" i="1"/>
  <c r="AR359" i="1" s="1"/>
  <c r="AK359" i="1"/>
  <c r="AQ359" i="1"/>
  <c r="AJ359" i="1"/>
  <c r="AP359" i="1" s="1"/>
  <c r="AR358" i="1"/>
  <c r="AL358" i="1"/>
  <c r="AR360" i="1" s="1"/>
  <c r="AK358" i="1"/>
  <c r="AQ358" i="1"/>
  <c r="AJ358" i="1"/>
  <c r="AP358" i="1" s="1"/>
  <c r="AL357" i="1"/>
  <c r="AR357" i="1" s="1"/>
  <c r="AK357" i="1"/>
  <c r="AQ357" i="1"/>
  <c r="AJ357" i="1"/>
  <c r="AP357" i="1" s="1"/>
  <c r="AL356" i="1"/>
  <c r="AK356" i="1"/>
  <c r="AQ356" i="1"/>
  <c r="AJ356" i="1"/>
  <c r="AP356" i="1" s="1"/>
  <c r="AL355" i="1"/>
  <c r="AR356" i="1" s="1"/>
  <c r="AK355" i="1"/>
  <c r="AQ355" i="1"/>
  <c r="AJ355" i="1"/>
  <c r="AP355" i="1" s="1"/>
  <c r="AL354" i="1"/>
  <c r="AK354" i="1"/>
  <c r="AQ354" i="1"/>
  <c r="AJ354" i="1"/>
  <c r="AP354" i="1" s="1"/>
  <c r="AL353" i="1"/>
  <c r="AR353" i="1" s="1"/>
  <c r="AK353" i="1"/>
  <c r="AQ353" i="1"/>
  <c r="AJ353" i="1"/>
  <c r="AP353" i="1" s="1"/>
  <c r="AR352" i="1"/>
  <c r="AL352" i="1"/>
  <c r="AR354" i="1" s="1"/>
  <c r="AK352" i="1"/>
  <c r="AQ352" i="1"/>
  <c r="AJ352" i="1"/>
  <c r="AP352" i="1" s="1"/>
  <c r="AL351" i="1"/>
  <c r="AR351" i="1" s="1"/>
  <c r="AK351" i="1"/>
  <c r="AQ351" i="1"/>
  <c r="AJ351" i="1"/>
  <c r="AP351" i="1" s="1"/>
  <c r="AL350" i="1"/>
  <c r="AK350" i="1"/>
  <c r="AQ350" i="1"/>
  <c r="AJ350" i="1"/>
  <c r="AP350" i="1" s="1"/>
  <c r="AL349" i="1"/>
  <c r="AR350" i="1" s="1"/>
  <c r="AK349" i="1"/>
  <c r="AQ349" i="1"/>
  <c r="AJ349" i="1"/>
  <c r="AP349" i="1" s="1"/>
  <c r="AL348" i="1"/>
  <c r="AK348" i="1"/>
  <c r="AQ348" i="1"/>
  <c r="AJ348" i="1"/>
  <c r="AP348" i="1" s="1"/>
  <c r="AL347" i="1"/>
  <c r="AR347" i="1" s="1"/>
  <c r="AK347" i="1"/>
  <c r="AQ347" i="1"/>
  <c r="AJ347" i="1"/>
  <c r="AP347" i="1" s="1"/>
  <c r="AR346" i="1"/>
  <c r="AL346" i="1"/>
  <c r="AR348" i="1" s="1"/>
  <c r="AK346" i="1"/>
  <c r="AQ346" i="1"/>
  <c r="AJ346" i="1"/>
  <c r="AP346" i="1" s="1"/>
  <c r="N337" i="1"/>
  <c r="N336" i="1"/>
  <c r="N335" i="1"/>
  <c r="N334" i="1"/>
  <c r="O330" i="1"/>
  <c r="N333" i="1"/>
  <c r="O332" i="1"/>
  <c r="N332" i="1"/>
  <c r="O331" i="1"/>
  <c r="N331" i="1"/>
  <c r="N330" i="1"/>
  <c r="N322" i="1"/>
  <c r="W194" i="1"/>
  <c r="W193" i="1"/>
  <c r="V194" i="1"/>
  <c r="T194" i="1"/>
  <c r="R194" i="1"/>
  <c r="M194" i="1"/>
  <c r="H194" i="1"/>
  <c r="U193" i="1"/>
  <c r="T193" i="1"/>
  <c r="V193" i="1"/>
  <c r="R193" i="1"/>
  <c r="M193" i="1"/>
  <c r="H193" i="1"/>
  <c r="AL345" i="1"/>
  <c r="AL343" i="1"/>
  <c r="AR344" i="1" s="1"/>
  <c r="AL344" i="1"/>
  <c r="AR345" i="1"/>
  <c r="AK345" i="1"/>
  <c r="AK343" i="1"/>
  <c r="AQ343" i="1" s="1"/>
  <c r="AK344" i="1"/>
  <c r="AQ345" i="1"/>
  <c r="AJ345" i="1"/>
  <c r="AJ343" i="1"/>
  <c r="AP344" i="1" s="1"/>
  <c r="AJ344" i="1"/>
  <c r="AP345" i="1"/>
  <c r="AR343" i="1"/>
  <c r="AL342" i="1"/>
  <c r="AL340" i="1"/>
  <c r="AR341" i="1" s="1"/>
  <c r="AL341" i="1"/>
  <c r="AR342" i="1"/>
  <c r="AK342" i="1"/>
  <c r="AK340" i="1"/>
  <c r="AQ340" i="1" s="1"/>
  <c r="AK341" i="1"/>
  <c r="AQ342" i="1"/>
  <c r="AJ342" i="1"/>
  <c r="AJ340" i="1"/>
  <c r="AP341" i="1" s="1"/>
  <c r="AJ341" i="1"/>
  <c r="AP342" i="1"/>
  <c r="AQ341" i="1"/>
  <c r="AR340" i="1"/>
  <c r="AP340" i="1"/>
  <c r="AL339" i="1"/>
  <c r="AL337" i="1"/>
  <c r="AR338" i="1" s="1"/>
  <c r="AL338" i="1"/>
  <c r="AR339" i="1"/>
  <c r="AK339" i="1"/>
  <c r="AK337" i="1"/>
  <c r="AQ337" i="1" s="1"/>
  <c r="AK338" i="1"/>
  <c r="AQ339" i="1"/>
  <c r="AJ339" i="1"/>
  <c r="AJ337" i="1"/>
  <c r="AP338" i="1" s="1"/>
  <c r="AJ338" i="1"/>
  <c r="AP339" i="1"/>
  <c r="AR337" i="1"/>
  <c r="AL336" i="1"/>
  <c r="AL334" i="1"/>
  <c r="AR335" i="1" s="1"/>
  <c r="AL335" i="1"/>
  <c r="AR336" i="1"/>
  <c r="AK336" i="1"/>
  <c r="AK334" i="1"/>
  <c r="AQ334" i="1" s="1"/>
  <c r="AK335" i="1"/>
  <c r="AQ336" i="1"/>
  <c r="AJ336" i="1"/>
  <c r="AJ334" i="1"/>
  <c r="AP335" i="1" s="1"/>
  <c r="AJ335" i="1"/>
  <c r="AP336" i="1"/>
  <c r="AQ335" i="1"/>
  <c r="AR334" i="1"/>
  <c r="AP334" i="1"/>
  <c r="AL333" i="1"/>
  <c r="AL331" i="1"/>
  <c r="AR332" i="1" s="1"/>
  <c r="AL332" i="1"/>
  <c r="AR333" i="1"/>
  <c r="AK333" i="1"/>
  <c r="AK331" i="1"/>
  <c r="AQ331" i="1" s="1"/>
  <c r="AK332" i="1"/>
  <c r="AQ333" i="1"/>
  <c r="AJ333" i="1"/>
  <c r="AJ331" i="1"/>
  <c r="AP332" i="1" s="1"/>
  <c r="AJ332" i="1"/>
  <c r="AP333" i="1"/>
  <c r="AR331" i="1"/>
  <c r="AL330" i="1"/>
  <c r="AL328" i="1"/>
  <c r="AR329" i="1" s="1"/>
  <c r="AL329" i="1"/>
  <c r="AR330" i="1"/>
  <c r="AK330" i="1"/>
  <c r="AK328" i="1"/>
  <c r="AQ328" i="1" s="1"/>
  <c r="AK329" i="1"/>
  <c r="AQ330" i="1"/>
  <c r="AJ330" i="1"/>
  <c r="AJ328" i="1"/>
  <c r="AP329" i="1" s="1"/>
  <c r="AJ329" i="1"/>
  <c r="AP330" i="1"/>
  <c r="AQ329" i="1"/>
  <c r="AR328" i="1"/>
  <c r="AP328" i="1"/>
  <c r="AL327" i="1"/>
  <c r="AL325" i="1"/>
  <c r="AR326" i="1" s="1"/>
  <c r="AL326" i="1"/>
  <c r="AR327" i="1"/>
  <c r="AK327" i="1"/>
  <c r="AK325" i="1"/>
  <c r="AQ325" i="1" s="1"/>
  <c r="AK326" i="1"/>
  <c r="AQ327" i="1"/>
  <c r="AJ327" i="1"/>
  <c r="AJ325" i="1"/>
  <c r="AP326" i="1" s="1"/>
  <c r="AJ326" i="1"/>
  <c r="AP327" i="1"/>
  <c r="AR325" i="1"/>
  <c r="AL324" i="1"/>
  <c r="AL322" i="1"/>
  <c r="AR323" i="1" s="1"/>
  <c r="AL323" i="1"/>
  <c r="AR324" i="1"/>
  <c r="AK324" i="1"/>
  <c r="AK322" i="1"/>
  <c r="AQ322" i="1" s="1"/>
  <c r="AK323" i="1"/>
  <c r="AQ324" i="1"/>
  <c r="AJ324" i="1"/>
  <c r="AJ322" i="1"/>
  <c r="AP323" i="1" s="1"/>
  <c r="AJ323" i="1"/>
  <c r="AP324" i="1"/>
  <c r="AQ323" i="1"/>
  <c r="AR322" i="1"/>
  <c r="AP322" i="1"/>
  <c r="AL321" i="1"/>
  <c r="AL311" i="1"/>
  <c r="AL312" i="1"/>
  <c r="AL313" i="1"/>
  <c r="AL314" i="1"/>
  <c r="AL315" i="1"/>
  <c r="AR313" i="1" s="1"/>
  <c r="AL316" i="1"/>
  <c r="AL317" i="1"/>
  <c r="AL318" i="1"/>
  <c r="AL319" i="1"/>
  <c r="AL320" i="1"/>
  <c r="AR321" i="1"/>
  <c r="AK321" i="1"/>
  <c r="AK311" i="1"/>
  <c r="AQ310" i="1" s="1"/>
  <c r="AK312" i="1"/>
  <c r="AK313" i="1"/>
  <c r="AK314" i="1"/>
  <c r="AK315" i="1"/>
  <c r="AQ315" i="1" s="1"/>
  <c r="AK316" i="1"/>
  <c r="AK317" i="1"/>
  <c r="AQ317" i="1" s="1"/>
  <c r="AK318" i="1"/>
  <c r="AK319" i="1"/>
  <c r="AQ319" i="1" s="1"/>
  <c r="AK320" i="1"/>
  <c r="AQ321" i="1"/>
  <c r="AJ321" i="1"/>
  <c r="AJ311" i="1"/>
  <c r="AJ312" i="1"/>
  <c r="AJ313" i="1"/>
  <c r="AJ314" i="1"/>
  <c r="AJ315" i="1"/>
  <c r="AP315" i="1" s="1"/>
  <c r="AJ316" i="1"/>
  <c r="AJ317" i="1"/>
  <c r="AJ318" i="1"/>
  <c r="AJ319" i="1"/>
  <c r="AP319" i="1" s="1"/>
  <c r="AJ320" i="1"/>
  <c r="AP321" i="1"/>
  <c r="AR319" i="1"/>
  <c r="AQ318" i="1"/>
  <c r="AP317" i="1"/>
  <c r="AR315" i="1"/>
  <c r="AQ314" i="1"/>
  <c r="AP313" i="1"/>
  <c r="AL310" i="1"/>
  <c r="AR312" i="1"/>
  <c r="AK310" i="1"/>
  <c r="AQ312" i="1"/>
  <c r="AJ310" i="1"/>
  <c r="AP312" i="1"/>
  <c r="AR310" i="1"/>
  <c r="AL309" i="1"/>
  <c r="AL307" i="1"/>
  <c r="AR308" i="1" s="1"/>
  <c r="AL308" i="1"/>
  <c r="AR309" i="1"/>
  <c r="AK309" i="1"/>
  <c r="AK307" i="1"/>
  <c r="AQ307" i="1" s="1"/>
  <c r="AK308" i="1"/>
  <c r="AQ309" i="1"/>
  <c r="AJ309" i="1"/>
  <c r="AJ307" i="1"/>
  <c r="AP308" i="1" s="1"/>
  <c r="AJ308" i="1"/>
  <c r="AP309" i="1"/>
  <c r="AQ308" i="1"/>
  <c r="AR307" i="1"/>
  <c r="AP307" i="1"/>
  <c r="AL306" i="1"/>
  <c r="AL304" i="1"/>
  <c r="AR305" i="1" s="1"/>
  <c r="AL305" i="1"/>
  <c r="AR306" i="1"/>
  <c r="AK306" i="1"/>
  <c r="AK304" i="1"/>
  <c r="AQ304" i="1" s="1"/>
  <c r="AK305" i="1"/>
  <c r="AQ306" i="1"/>
  <c r="AJ306" i="1"/>
  <c r="AJ304" i="1"/>
  <c r="AP305" i="1" s="1"/>
  <c r="AJ305" i="1"/>
  <c r="AP306" i="1"/>
  <c r="AR304" i="1"/>
  <c r="AL303" i="1"/>
  <c r="AL301" i="1"/>
  <c r="AR302" i="1" s="1"/>
  <c r="AL302" i="1"/>
  <c r="AR303" i="1"/>
  <c r="AK303" i="1"/>
  <c r="AK301" i="1"/>
  <c r="AQ301" i="1" s="1"/>
  <c r="AK302" i="1"/>
  <c r="AQ303" i="1"/>
  <c r="AJ303" i="1"/>
  <c r="AJ301" i="1"/>
  <c r="AP302" i="1" s="1"/>
  <c r="AJ302" i="1"/>
  <c r="AP303" i="1"/>
  <c r="AQ302" i="1"/>
  <c r="AR301" i="1"/>
  <c r="AP301" i="1"/>
  <c r="AL300" i="1"/>
  <c r="AL298" i="1"/>
  <c r="AR299" i="1" s="1"/>
  <c r="AL299" i="1"/>
  <c r="AR300" i="1"/>
  <c r="AK300" i="1"/>
  <c r="AK298" i="1"/>
  <c r="AQ298" i="1" s="1"/>
  <c r="AK299" i="1"/>
  <c r="AQ300" i="1"/>
  <c r="AJ300" i="1"/>
  <c r="AJ298" i="1"/>
  <c r="AP299" i="1" s="1"/>
  <c r="AJ299" i="1"/>
  <c r="AP300" i="1"/>
  <c r="AR298" i="1"/>
  <c r="AL297" i="1"/>
  <c r="AL295" i="1"/>
  <c r="AR296" i="1" s="1"/>
  <c r="AL296" i="1"/>
  <c r="AR297" i="1"/>
  <c r="AK297" i="1"/>
  <c r="AK295" i="1"/>
  <c r="AQ295" i="1" s="1"/>
  <c r="AK296" i="1"/>
  <c r="AQ297" i="1"/>
  <c r="AJ297" i="1"/>
  <c r="AJ295" i="1"/>
  <c r="AP296" i="1" s="1"/>
  <c r="AJ296" i="1"/>
  <c r="AP297" i="1"/>
  <c r="AQ296" i="1"/>
  <c r="AR295" i="1"/>
  <c r="AP295" i="1"/>
  <c r="AL294" i="1"/>
  <c r="AL292" i="1"/>
  <c r="AR293" i="1" s="1"/>
  <c r="AL293" i="1"/>
  <c r="AR294" i="1"/>
  <c r="AK294" i="1"/>
  <c r="AK292" i="1"/>
  <c r="AK293" i="1"/>
  <c r="AQ294" i="1"/>
  <c r="AJ294" i="1"/>
  <c r="AJ292" i="1"/>
  <c r="AP292" i="1" s="1"/>
  <c r="AJ293" i="1"/>
  <c r="AP294" i="1"/>
  <c r="AQ293" i="1"/>
  <c r="AQ292" i="1"/>
  <c r="AL291" i="1"/>
  <c r="AR291" i="1" s="1"/>
  <c r="AL289" i="1"/>
  <c r="AL290" i="1"/>
  <c r="AK291" i="1"/>
  <c r="AQ291" i="1" s="1"/>
  <c r="AK289" i="1"/>
  <c r="AQ289" i="1" s="1"/>
  <c r="AK290" i="1"/>
  <c r="AQ290" i="1"/>
  <c r="AJ291" i="1"/>
  <c r="AJ289" i="1"/>
  <c r="AJ290" i="1"/>
  <c r="AP289" i="1" s="1"/>
  <c r="AR290" i="1"/>
  <c r="AR289" i="1"/>
  <c r="AL288" i="1"/>
  <c r="AR288" i="1" s="1"/>
  <c r="AL286" i="1"/>
  <c r="AL287" i="1"/>
  <c r="AK288" i="1"/>
  <c r="AQ288" i="1" s="1"/>
  <c r="AK286" i="1"/>
  <c r="AQ286" i="1" s="1"/>
  <c r="AK287" i="1"/>
  <c r="AQ287" i="1"/>
  <c r="AJ288" i="1"/>
  <c r="AJ286" i="1"/>
  <c r="AJ287" i="1"/>
  <c r="AP286" i="1" s="1"/>
  <c r="AR287" i="1"/>
  <c r="AR286" i="1"/>
  <c r="AL285" i="1"/>
  <c r="AR285" i="1" s="1"/>
  <c r="AL283" i="1"/>
  <c r="AR284" i="1" s="1"/>
  <c r="AL284" i="1"/>
  <c r="AR283" i="1"/>
  <c r="AK285" i="1"/>
  <c r="AK283" i="1"/>
  <c r="AK284" i="1"/>
  <c r="AQ284" i="1" s="1"/>
  <c r="AJ285" i="1"/>
  <c r="AP285" i="1" s="1"/>
  <c r="AJ283" i="1"/>
  <c r="AJ284" i="1"/>
  <c r="AP283" i="1"/>
  <c r="AP284" i="1"/>
  <c r="AL282" i="1"/>
  <c r="AR282" i="1" s="1"/>
  <c r="AL280" i="1"/>
  <c r="AR281" i="1" s="1"/>
  <c r="AL281" i="1"/>
  <c r="AR280" i="1"/>
  <c r="AK282" i="1"/>
  <c r="AK280" i="1"/>
  <c r="AK281" i="1"/>
  <c r="AQ281" i="1" s="1"/>
  <c r="AJ282" i="1"/>
  <c r="AP282" i="1" s="1"/>
  <c r="AJ280" i="1"/>
  <c r="AJ281" i="1"/>
  <c r="AP280" i="1"/>
  <c r="AP281" i="1"/>
  <c r="AL279" i="1"/>
  <c r="AR279" i="1" s="1"/>
  <c r="AL277" i="1"/>
  <c r="AR278" i="1" s="1"/>
  <c r="AL278" i="1"/>
  <c r="AR277" i="1"/>
  <c r="AK279" i="1"/>
  <c r="AK277" i="1"/>
  <c r="AK278" i="1"/>
  <c r="AQ278" i="1" s="1"/>
  <c r="AJ279" i="1"/>
  <c r="AP279" i="1" s="1"/>
  <c r="AJ277" i="1"/>
  <c r="AJ278" i="1"/>
  <c r="AP277" i="1"/>
  <c r="AP278" i="1"/>
  <c r="AL276" i="1"/>
  <c r="AR276" i="1" s="1"/>
  <c r="AL274" i="1"/>
  <c r="AR275" i="1" s="1"/>
  <c r="AL275" i="1"/>
  <c r="AR274" i="1"/>
  <c r="AK276" i="1"/>
  <c r="AK274" i="1"/>
  <c r="AK275" i="1"/>
  <c r="AJ276" i="1"/>
  <c r="AJ274" i="1"/>
  <c r="AP275" i="1" s="1"/>
  <c r="AJ275" i="1"/>
  <c r="AP274" i="1"/>
  <c r="AL273" i="1"/>
  <c r="AR273" i="1" s="1"/>
  <c r="AL271" i="1"/>
  <c r="AL272" i="1"/>
  <c r="AK273" i="1"/>
  <c r="AK271" i="1"/>
  <c r="AK272" i="1"/>
  <c r="AJ273" i="1"/>
  <c r="AP273" i="1" s="1"/>
  <c r="AJ271" i="1"/>
  <c r="AJ272" i="1"/>
  <c r="AP272" i="1"/>
  <c r="AL270" i="1"/>
  <c r="AL268" i="1"/>
  <c r="AR269" i="1" s="1"/>
  <c r="AL269" i="1"/>
  <c r="AR268" i="1"/>
  <c r="AK270" i="1"/>
  <c r="AK268" i="1"/>
  <c r="AK269" i="1"/>
  <c r="AJ270" i="1"/>
  <c r="AJ268" i="1"/>
  <c r="AP269" i="1" s="1"/>
  <c r="AJ269" i="1"/>
  <c r="AP268" i="1"/>
  <c r="AL267" i="1"/>
  <c r="AR267" i="1" s="1"/>
  <c r="AL265" i="1"/>
  <c r="AL266" i="1"/>
  <c r="AK267" i="1"/>
  <c r="AK265" i="1"/>
  <c r="AK266" i="1"/>
  <c r="AJ267" i="1"/>
  <c r="AP267" i="1" s="1"/>
  <c r="AJ265" i="1"/>
  <c r="AJ266" i="1"/>
  <c r="AP266" i="1"/>
  <c r="AL264" i="1"/>
  <c r="AL262" i="1"/>
  <c r="AR263" i="1" s="1"/>
  <c r="AL263" i="1"/>
  <c r="AR262" i="1"/>
  <c r="AK264" i="1"/>
  <c r="AK262" i="1"/>
  <c r="AK263" i="1"/>
  <c r="AJ264" i="1"/>
  <c r="AJ262" i="1"/>
  <c r="AP263" i="1" s="1"/>
  <c r="AJ263" i="1"/>
  <c r="AP262" i="1"/>
  <c r="AL261" i="1"/>
  <c r="AL259" i="1"/>
  <c r="AL260" i="1"/>
  <c r="AR259" i="1" s="1"/>
  <c r="AK261" i="1"/>
  <c r="AK259" i="1"/>
  <c r="AK260" i="1"/>
  <c r="AQ260" i="1"/>
  <c r="AJ261" i="1"/>
  <c r="AJ259" i="1"/>
  <c r="AP260" i="1" s="1"/>
  <c r="AJ260" i="1"/>
  <c r="AP259" i="1"/>
  <c r="AQ259" i="1"/>
  <c r="AL258" i="1"/>
  <c r="AL256" i="1"/>
  <c r="AL257" i="1"/>
  <c r="AR256" i="1"/>
  <c r="AK258" i="1"/>
  <c r="AK256" i="1"/>
  <c r="AK257" i="1"/>
  <c r="AQ257" i="1"/>
  <c r="AJ258" i="1"/>
  <c r="AJ256" i="1"/>
  <c r="AP257" i="1" s="1"/>
  <c r="AJ257" i="1"/>
  <c r="AP256" i="1"/>
  <c r="AQ256" i="1"/>
  <c r="AL255" i="1"/>
  <c r="AL253" i="1"/>
  <c r="AL254" i="1"/>
  <c r="AR253" i="1"/>
  <c r="AK255" i="1"/>
  <c r="AK253" i="1"/>
  <c r="AK254" i="1"/>
  <c r="AQ254" i="1"/>
  <c r="AJ255" i="1"/>
  <c r="AJ253" i="1"/>
  <c r="AP254" i="1" s="1"/>
  <c r="AJ254" i="1"/>
  <c r="AP253" i="1"/>
  <c r="AQ253" i="1"/>
  <c r="AL252" i="1"/>
  <c r="AL250" i="1"/>
  <c r="AL251" i="1"/>
  <c r="AR250" i="1"/>
  <c r="AK252" i="1"/>
  <c r="AK250" i="1"/>
  <c r="AK251" i="1"/>
  <c r="AQ251" i="1"/>
  <c r="AJ252" i="1"/>
  <c r="AJ250" i="1"/>
  <c r="AP251" i="1" s="1"/>
  <c r="AJ251" i="1"/>
  <c r="AP250" i="1"/>
  <c r="AQ250" i="1"/>
  <c r="AL249" i="1"/>
  <c r="AL247" i="1"/>
  <c r="AR247" i="1" s="1"/>
  <c r="AL248" i="1"/>
  <c r="AR248" i="1"/>
  <c r="AK249" i="1"/>
  <c r="AK247" i="1"/>
  <c r="AK248" i="1"/>
  <c r="AJ249" i="1"/>
  <c r="AJ247" i="1"/>
  <c r="AJ248" i="1"/>
  <c r="AP248" i="1" s="1"/>
  <c r="AQ248" i="1"/>
  <c r="AQ247" i="1"/>
  <c r="AL246" i="1"/>
  <c r="AR245" i="1" s="1"/>
  <c r="AL245" i="1"/>
  <c r="AR246" i="1"/>
  <c r="AK246" i="1"/>
  <c r="AK244" i="1"/>
  <c r="AK245" i="1"/>
  <c r="AQ246" i="1" s="1"/>
  <c r="AJ246" i="1"/>
  <c r="AP246" i="1" s="1"/>
  <c r="AJ244" i="1"/>
  <c r="AJ245" i="1"/>
  <c r="AP244" i="1"/>
  <c r="AP245" i="1"/>
  <c r="AR243" i="1"/>
  <c r="AK243" i="1"/>
  <c r="AK241" i="1"/>
  <c r="AQ241" i="1" s="1"/>
  <c r="AK242" i="1"/>
  <c r="AJ243" i="1"/>
  <c r="AJ241" i="1"/>
  <c r="AP242" i="1"/>
  <c r="AJ242" i="1"/>
  <c r="AP243" i="1"/>
  <c r="AR242" i="1"/>
  <c r="AQ242" i="1"/>
  <c r="AR241" i="1"/>
  <c r="AP241" i="1"/>
  <c r="AK240" i="1"/>
  <c r="AK238" i="1"/>
  <c r="AQ240" i="1" s="1"/>
  <c r="AK239" i="1"/>
  <c r="AQ239" i="1" s="1"/>
  <c r="AJ240" i="1"/>
  <c r="AP240" i="1" s="1"/>
  <c r="AJ238" i="1"/>
  <c r="AJ239" i="1"/>
  <c r="AP238" i="1" s="1"/>
  <c r="AP239" i="1"/>
  <c r="AK237" i="1"/>
  <c r="AK235" i="1"/>
  <c r="AQ236" i="1"/>
  <c r="AK236" i="1"/>
  <c r="AQ237" i="1"/>
  <c r="AJ237" i="1"/>
  <c r="AJ235" i="1"/>
  <c r="AP236" i="1" s="1"/>
  <c r="AJ236" i="1"/>
  <c r="AP237" i="1"/>
  <c r="AP235" i="1"/>
  <c r="AK234" i="1"/>
  <c r="AK232" i="1"/>
  <c r="AQ234" i="1" s="1"/>
  <c r="AK233" i="1"/>
  <c r="AQ233" i="1" s="1"/>
  <c r="AJ234" i="1"/>
  <c r="AP234" i="1" s="1"/>
  <c r="AJ232" i="1"/>
  <c r="AJ233" i="1"/>
  <c r="AP232" i="1" s="1"/>
  <c r="AP233" i="1"/>
  <c r="AK231" i="1"/>
  <c r="AK229" i="1"/>
  <c r="AQ230" i="1"/>
  <c r="AK230" i="1"/>
  <c r="AQ231" i="1"/>
  <c r="AJ231" i="1"/>
  <c r="AJ229" i="1"/>
  <c r="AP230" i="1" s="1"/>
  <c r="AJ230" i="1"/>
  <c r="AP231" i="1"/>
  <c r="AP229" i="1"/>
  <c r="AK228" i="1"/>
  <c r="AK226" i="1"/>
  <c r="AQ228" i="1" s="1"/>
  <c r="AK227" i="1"/>
  <c r="AQ227" i="1" s="1"/>
  <c r="AJ228" i="1"/>
  <c r="AP228" i="1" s="1"/>
  <c r="AJ226" i="1"/>
  <c r="AJ227" i="1"/>
  <c r="AP226" i="1" s="1"/>
  <c r="AP227" i="1"/>
  <c r="AK225" i="1"/>
  <c r="AK223" i="1"/>
  <c r="AQ224" i="1"/>
  <c r="AK224" i="1"/>
  <c r="AQ225" i="1"/>
  <c r="AJ225" i="1"/>
  <c r="AJ223" i="1"/>
  <c r="AP224" i="1" s="1"/>
  <c r="AJ224" i="1"/>
  <c r="AP225" i="1"/>
  <c r="AP223" i="1"/>
  <c r="AK222" i="1"/>
  <c r="AK220" i="1"/>
  <c r="AQ222" i="1" s="1"/>
  <c r="AK221" i="1"/>
  <c r="AQ221" i="1" s="1"/>
  <c r="AJ222" i="1"/>
  <c r="AP222" i="1" s="1"/>
  <c r="AJ220" i="1"/>
  <c r="AJ221" i="1"/>
  <c r="AP220" i="1" s="1"/>
  <c r="AP221" i="1"/>
  <c r="AK219" i="1"/>
  <c r="AK217" i="1"/>
  <c r="AQ218" i="1"/>
  <c r="AK218" i="1"/>
  <c r="AQ219" i="1"/>
  <c r="AJ219" i="1"/>
  <c r="AJ217" i="1"/>
  <c r="AP218" i="1" s="1"/>
  <c r="AJ218" i="1"/>
  <c r="AP219" i="1"/>
  <c r="AP217" i="1"/>
  <c r="AK216" i="1"/>
  <c r="AK214" i="1"/>
  <c r="AQ216" i="1" s="1"/>
  <c r="AK215" i="1"/>
  <c r="AQ215" i="1" s="1"/>
  <c r="AJ216" i="1"/>
  <c r="AP216" i="1" s="1"/>
  <c r="AJ214" i="1"/>
  <c r="AJ215" i="1"/>
  <c r="AP214" i="1" s="1"/>
  <c r="AP215" i="1"/>
  <c r="AK213" i="1"/>
  <c r="AK211" i="1"/>
  <c r="AQ212" i="1"/>
  <c r="AK212" i="1"/>
  <c r="AQ213" i="1"/>
  <c r="AJ213" i="1"/>
  <c r="AJ211" i="1"/>
  <c r="AP212" i="1" s="1"/>
  <c r="AJ212" i="1"/>
  <c r="AP213" i="1"/>
  <c r="AP211" i="1"/>
  <c r="AK210" i="1"/>
  <c r="AK208" i="1"/>
  <c r="AQ210" i="1" s="1"/>
  <c r="AK209" i="1"/>
  <c r="AQ209" i="1" s="1"/>
  <c r="AJ210" i="1"/>
  <c r="AP210" i="1" s="1"/>
  <c r="AJ208" i="1"/>
  <c r="AJ209" i="1"/>
  <c r="AP208" i="1" s="1"/>
  <c r="AP209" i="1"/>
  <c r="AK207" i="1"/>
  <c r="AK205" i="1"/>
  <c r="AQ206" i="1"/>
  <c r="AK206" i="1"/>
  <c r="AQ207" i="1"/>
  <c r="AJ207" i="1"/>
  <c r="AJ205" i="1"/>
  <c r="AP206" i="1" s="1"/>
  <c r="AJ206" i="1"/>
  <c r="AP207" i="1"/>
  <c r="AP205" i="1"/>
  <c r="AK204" i="1"/>
  <c r="AK202" i="1"/>
  <c r="AQ204" i="1" s="1"/>
  <c r="AK203" i="1"/>
  <c r="AQ203" i="1" s="1"/>
  <c r="AJ204" i="1"/>
  <c r="AP204" i="1" s="1"/>
  <c r="AJ202" i="1"/>
  <c r="AJ203" i="1"/>
  <c r="AP202" i="1" s="1"/>
  <c r="AP203" i="1"/>
  <c r="AK201" i="1"/>
  <c r="AK199" i="1"/>
  <c r="AQ200" i="1"/>
  <c r="AK200" i="1"/>
  <c r="AQ201" i="1"/>
  <c r="AJ201" i="1"/>
  <c r="AJ199" i="1"/>
  <c r="AP200" i="1" s="1"/>
  <c r="AJ200" i="1"/>
  <c r="AP201" i="1"/>
  <c r="AP199" i="1"/>
  <c r="AK198" i="1"/>
  <c r="AK196" i="1"/>
  <c r="AQ198" i="1" s="1"/>
  <c r="AK197" i="1"/>
  <c r="AQ197" i="1" s="1"/>
  <c r="AJ198" i="1"/>
  <c r="AP198" i="1" s="1"/>
  <c r="AJ196" i="1"/>
  <c r="AJ197" i="1"/>
  <c r="AP196" i="1" s="1"/>
  <c r="AP197" i="1"/>
  <c r="AK195" i="1"/>
  <c r="AK193" i="1"/>
  <c r="AQ194" i="1"/>
  <c r="AK194" i="1"/>
  <c r="AQ195" i="1"/>
  <c r="AJ195" i="1"/>
  <c r="AJ193" i="1"/>
  <c r="AP194" i="1" s="1"/>
  <c r="AJ194" i="1"/>
  <c r="AP195" i="1"/>
  <c r="AP193" i="1"/>
  <c r="AK192" i="1"/>
  <c r="AJ192" i="1"/>
  <c r="W192" i="1"/>
  <c r="T192" i="1"/>
  <c r="U192" i="1"/>
  <c r="V192" i="1"/>
  <c r="R192" i="1"/>
  <c r="M192" i="1"/>
  <c r="I192" i="1"/>
  <c r="J192" i="1"/>
  <c r="K192" i="1"/>
  <c r="L192" i="1"/>
  <c r="H192" i="1"/>
  <c r="E192" i="1"/>
  <c r="G192" i="1"/>
  <c r="AA191" i="1"/>
  <c r="O329" i="1"/>
  <c r="N329" i="1"/>
  <c r="O328" i="1"/>
  <c r="N328" i="1"/>
  <c r="O327" i="1"/>
  <c r="O316" i="1"/>
  <c r="I326" i="1"/>
  <c r="H326" i="1"/>
  <c r="G326" i="1"/>
  <c r="E326" i="1"/>
  <c r="G191" i="1"/>
  <c r="V191" i="1"/>
  <c r="O325" i="1"/>
  <c r="K191" i="1"/>
  <c r="J191" i="1"/>
  <c r="L191" i="1"/>
  <c r="I191" i="1"/>
  <c r="I325" i="1"/>
  <c r="H325" i="1"/>
  <c r="G325" i="1"/>
  <c r="F325" i="1"/>
  <c r="E325" i="1"/>
  <c r="D325" i="1"/>
  <c r="O324" i="1"/>
  <c r="AK190" i="1"/>
  <c r="AK191" i="1"/>
  <c r="AQ191" i="1" s="1"/>
  <c r="AQ190" i="1"/>
  <c r="AK189" i="1"/>
  <c r="AK187" i="1"/>
  <c r="AQ187" i="1" s="1"/>
  <c r="AK188" i="1"/>
  <c r="AK186" i="1"/>
  <c r="AQ184" i="1" s="1"/>
  <c r="AK184" i="1"/>
  <c r="AQ185" i="1"/>
  <c r="AK185" i="1"/>
  <c r="AQ186" i="1"/>
  <c r="AJ190" i="1"/>
  <c r="AJ191" i="1"/>
  <c r="AP191" i="1"/>
  <c r="AJ189" i="1"/>
  <c r="AJ187" i="1"/>
  <c r="AP187" i="1" s="1"/>
  <c r="AJ188" i="1"/>
  <c r="AP189" i="1"/>
  <c r="AJ186" i="1"/>
  <c r="AJ184" i="1"/>
  <c r="AP185" i="1"/>
  <c r="AJ185" i="1"/>
  <c r="AP186" i="1"/>
  <c r="AJ183" i="1"/>
  <c r="AJ181" i="1"/>
  <c r="AP183" i="1" s="1"/>
  <c r="AJ182" i="1"/>
  <c r="AP182" i="1" s="1"/>
  <c r="AP181" i="1"/>
  <c r="AJ180" i="1"/>
  <c r="AJ178" i="1"/>
  <c r="AP180" i="1" s="1"/>
  <c r="AJ179" i="1"/>
  <c r="AP179" i="1" s="1"/>
  <c r="AJ177" i="1"/>
  <c r="AP175" i="1" s="1"/>
  <c r="AJ175" i="1"/>
  <c r="AP176" i="1"/>
  <c r="AJ176" i="1"/>
  <c r="AP177" i="1"/>
  <c r="AJ174" i="1"/>
  <c r="AP172" i="1" s="1"/>
  <c r="AJ172" i="1"/>
  <c r="AP173" i="1"/>
  <c r="AJ173" i="1"/>
  <c r="AP174" i="1"/>
  <c r="AK183" i="1"/>
  <c r="AQ181" i="1" s="1"/>
  <c r="AK181" i="1"/>
  <c r="AQ182" i="1"/>
  <c r="AK182" i="1"/>
  <c r="AQ183" i="1"/>
  <c r="AK180" i="1"/>
  <c r="AQ178" i="1" s="1"/>
  <c r="AK178" i="1"/>
  <c r="AQ179" i="1"/>
  <c r="AK179" i="1"/>
  <c r="AQ180" i="1"/>
  <c r="AK177" i="1"/>
  <c r="AQ175" i="1" s="1"/>
  <c r="AK175" i="1"/>
  <c r="AQ176" i="1"/>
  <c r="AK176" i="1"/>
  <c r="AQ177" i="1"/>
  <c r="AK174" i="1"/>
  <c r="AQ172" i="1" s="1"/>
  <c r="AK172" i="1"/>
  <c r="AQ173" i="1"/>
  <c r="AK173" i="1"/>
  <c r="AQ174" i="1"/>
  <c r="AK171" i="1"/>
  <c r="AQ169" i="1" s="1"/>
  <c r="AK169" i="1"/>
  <c r="AQ170" i="1"/>
  <c r="AK170" i="1"/>
  <c r="AQ171" i="1"/>
  <c r="AK168" i="1"/>
  <c r="AQ166" i="1" s="1"/>
  <c r="AK166" i="1"/>
  <c r="AQ167" i="1"/>
  <c r="AK167" i="1"/>
  <c r="AQ168" i="1"/>
  <c r="AK165" i="1"/>
  <c r="AQ163" i="1" s="1"/>
  <c r="AK163" i="1"/>
  <c r="AQ164" i="1"/>
  <c r="AK164" i="1"/>
  <c r="AQ165" i="1"/>
  <c r="AK162" i="1"/>
  <c r="AQ160" i="1" s="1"/>
  <c r="AK160" i="1"/>
  <c r="AQ161" i="1"/>
  <c r="AK161" i="1"/>
  <c r="AQ162" i="1"/>
  <c r="AJ171" i="1"/>
  <c r="AP169" i="1" s="1"/>
  <c r="AJ169" i="1"/>
  <c r="AP170" i="1"/>
  <c r="AJ170" i="1"/>
  <c r="AP171" i="1"/>
  <c r="AJ168" i="1"/>
  <c r="AP166" i="1" s="1"/>
  <c r="AJ166" i="1"/>
  <c r="AP167" i="1"/>
  <c r="AJ167" i="1"/>
  <c r="AP168" i="1"/>
  <c r="AJ165" i="1"/>
  <c r="AP163" i="1" s="1"/>
  <c r="AJ163" i="1"/>
  <c r="AP164" i="1"/>
  <c r="AJ164" i="1"/>
  <c r="AP165" i="1"/>
  <c r="AJ162" i="1"/>
  <c r="AP160" i="1" s="1"/>
  <c r="AJ160" i="1"/>
  <c r="AP161" i="1"/>
  <c r="AJ161" i="1"/>
  <c r="AP162" i="1"/>
  <c r="AJ159" i="1"/>
  <c r="AP157" i="1" s="1"/>
  <c r="AJ157" i="1"/>
  <c r="AP158" i="1"/>
  <c r="AJ158" i="1"/>
  <c r="AP159" i="1"/>
  <c r="AJ156" i="1"/>
  <c r="AP154" i="1" s="1"/>
  <c r="AJ154" i="1"/>
  <c r="AP155" i="1"/>
  <c r="AJ155" i="1"/>
  <c r="AP156" i="1"/>
  <c r="AJ153" i="1"/>
  <c r="AP151" i="1" s="1"/>
  <c r="AJ151" i="1"/>
  <c r="AP152" i="1"/>
  <c r="AJ152" i="1"/>
  <c r="AP153" i="1"/>
  <c r="AJ150" i="1"/>
  <c r="AP148" i="1" s="1"/>
  <c r="AJ148" i="1"/>
  <c r="AP149" i="1"/>
  <c r="AJ149" i="1"/>
  <c r="AP150" i="1"/>
  <c r="AJ147" i="1"/>
  <c r="AP145" i="1" s="1"/>
  <c r="AJ145" i="1"/>
  <c r="AP146" i="1"/>
  <c r="AJ146" i="1"/>
  <c r="AP147" i="1"/>
  <c r="AJ144" i="1"/>
  <c r="AP142" i="1" s="1"/>
  <c r="AJ142" i="1"/>
  <c r="AP143" i="1"/>
  <c r="AJ143" i="1"/>
  <c r="AP144" i="1"/>
  <c r="AJ141" i="1"/>
  <c r="AP139" i="1" s="1"/>
  <c r="AJ139" i="1"/>
  <c r="AP140" i="1"/>
  <c r="AJ140" i="1"/>
  <c r="AP141" i="1"/>
  <c r="AJ138" i="1"/>
  <c r="AP136" i="1" s="1"/>
  <c r="AJ136" i="1"/>
  <c r="AP137" i="1"/>
  <c r="AJ137" i="1"/>
  <c r="AP138" i="1"/>
  <c r="AJ135" i="1"/>
  <c r="AP133" i="1" s="1"/>
  <c r="AJ133" i="1"/>
  <c r="AP134" i="1"/>
  <c r="AJ134" i="1"/>
  <c r="AP135" i="1"/>
  <c r="AJ132" i="1"/>
  <c r="AP130" i="1" s="1"/>
  <c r="AJ130" i="1"/>
  <c r="AP131" i="1"/>
  <c r="AJ131" i="1"/>
  <c r="AP132" i="1"/>
  <c r="AJ129" i="1"/>
  <c r="AP127" i="1" s="1"/>
  <c r="AJ127" i="1"/>
  <c r="AP128" i="1"/>
  <c r="AJ128" i="1"/>
  <c r="AP129" i="1"/>
  <c r="AJ126" i="1"/>
  <c r="AP124" i="1" s="1"/>
  <c r="AJ124" i="1"/>
  <c r="AP125" i="1"/>
  <c r="AJ125" i="1"/>
  <c r="AP126" i="1"/>
  <c r="AJ123" i="1"/>
  <c r="AP121" i="1" s="1"/>
  <c r="AJ121" i="1"/>
  <c r="AP122" i="1"/>
  <c r="AJ122" i="1"/>
  <c r="AP123" i="1"/>
  <c r="AJ120" i="1"/>
  <c r="AP118" i="1" s="1"/>
  <c r="AJ118" i="1"/>
  <c r="AP119" i="1"/>
  <c r="AJ119" i="1"/>
  <c r="AP120" i="1"/>
  <c r="AJ117" i="1"/>
  <c r="AP115" i="1" s="1"/>
  <c r="AJ115" i="1"/>
  <c r="AP116" i="1"/>
  <c r="AJ116" i="1"/>
  <c r="AP117" i="1"/>
  <c r="AJ114" i="1"/>
  <c r="AP112" i="1" s="1"/>
  <c r="AJ112" i="1"/>
  <c r="AP113" i="1"/>
  <c r="AJ113" i="1"/>
  <c r="AP114" i="1"/>
  <c r="AJ111" i="1"/>
  <c r="AP109" i="1" s="1"/>
  <c r="AJ109" i="1"/>
  <c r="AP110" i="1"/>
  <c r="AJ110" i="1"/>
  <c r="AP111" i="1"/>
  <c r="AJ108" i="1"/>
  <c r="AP106" i="1" s="1"/>
  <c r="AJ106" i="1"/>
  <c r="AP107" i="1"/>
  <c r="AJ107" i="1"/>
  <c r="AP108" i="1"/>
  <c r="AJ105" i="1"/>
  <c r="AP103" i="1" s="1"/>
  <c r="AJ103" i="1"/>
  <c r="AP104" i="1"/>
  <c r="AJ104" i="1"/>
  <c r="AP105" i="1"/>
  <c r="AJ102" i="1"/>
  <c r="AP100" i="1" s="1"/>
  <c r="AJ100" i="1"/>
  <c r="AP101" i="1"/>
  <c r="AJ101" i="1"/>
  <c r="AP102" i="1"/>
  <c r="AJ99" i="1"/>
  <c r="AP97" i="1" s="1"/>
  <c r="AJ97" i="1"/>
  <c r="AP98" i="1"/>
  <c r="AJ98" i="1"/>
  <c r="AP99" i="1"/>
  <c r="AJ96" i="1"/>
  <c r="AP94" i="1" s="1"/>
  <c r="AJ94" i="1"/>
  <c r="AP95" i="1"/>
  <c r="AJ95" i="1"/>
  <c r="AP96" i="1"/>
  <c r="AJ93" i="1"/>
  <c r="AP91" i="1" s="1"/>
  <c r="AJ91" i="1"/>
  <c r="AP92" i="1"/>
  <c r="AJ92" i="1"/>
  <c r="AP93" i="1"/>
  <c r="AJ90" i="1"/>
  <c r="AP88" i="1" s="1"/>
  <c r="AJ88" i="1"/>
  <c r="AP89" i="1"/>
  <c r="AJ89" i="1"/>
  <c r="AP90" i="1"/>
  <c r="AJ87" i="1"/>
  <c r="AP85" i="1" s="1"/>
  <c r="AJ85" i="1"/>
  <c r="AP86" i="1"/>
  <c r="AJ86" i="1"/>
  <c r="AP87" i="1"/>
  <c r="AJ84" i="1"/>
  <c r="AP82" i="1" s="1"/>
  <c r="AJ82" i="1"/>
  <c r="AP83" i="1"/>
  <c r="AJ83" i="1"/>
  <c r="AP84" i="1"/>
  <c r="AJ81" i="1"/>
  <c r="AP79" i="1" s="1"/>
  <c r="AJ79" i="1"/>
  <c r="AP80" i="1"/>
  <c r="AJ80" i="1"/>
  <c r="AP81" i="1"/>
  <c r="AJ78" i="1"/>
  <c r="AP76" i="1" s="1"/>
  <c r="AJ76" i="1"/>
  <c r="AP77" i="1"/>
  <c r="AJ77" i="1"/>
  <c r="AP78" i="1"/>
  <c r="AJ75" i="1"/>
  <c r="AP73" i="1" s="1"/>
  <c r="AJ73" i="1"/>
  <c r="AP74" i="1"/>
  <c r="AJ74" i="1"/>
  <c r="AP75" i="1"/>
  <c r="AJ72" i="1"/>
  <c r="AP70" i="1" s="1"/>
  <c r="AJ70" i="1"/>
  <c r="AP71" i="1"/>
  <c r="AJ71" i="1"/>
  <c r="AP72" i="1"/>
  <c r="AJ69" i="1"/>
  <c r="AP67" i="1" s="1"/>
  <c r="AJ67" i="1"/>
  <c r="AP68" i="1"/>
  <c r="AJ68" i="1"/>
  <c r="AP69" i="1"/>
  <c r="AJ66" i="1"/>
  <c r="AP64" i="1" s="1"/>
  <c r="AJ64" i="1"/>
  <c r="AP65" i="1"/>
  <c r="AJ65" i="1"/>
  <c r="AP66" i="1"/>
  <c r="AJ63" i="1"/>
  <c r="AP61" i="1" s="1"/>
  <c r="AJ61" i="1"/>
  <c r="AP62" i="1"/>
  <c r="AJ62" i="1"/>
  <c r="AP63" i="1"/>
  <c r="AJ60" i="1"/>
  <c r="AP58" i="1" s="1"/>
  <c r="AJ58" i="1"/>
  <c r="AP59" i="1"/>
  <c r="AJ59" i="1"/>
  <c r="AP60" i="1"/>
  <c r="AJ57" i="1"/>
  <c r="AP55" i="1" s="1"/>
  <c r="AJ55" i="1"/>
  <c r="AP56" i="1"/>
  <c r="AJ56" i="1"/>
  <c r="AP57" i="1"/>
  <c r="AJ54" i="1"/>
  <c r="AP52" i="1" s="1"/>
  <c r="AJ52" i="1"/>
  <c r="AP53" i="1"/>
  <c r="AJ53" i="1"/>
  <c r="AP54" i="1"/>
  <c r="AJ35" i="1"/>
  <c r="AJ36" i="1"/>
  <c r="AJ37" i="1"/>
  <c r="AJ38" i="1"/>
  <c r="AJ39" i="1"/>
  <c r="AJ40" i="1"/>
  <c r="AJ41" i="1"/>
  <c r="AJ42" i="1"/>
  <c r="AJ43" i="1"/>
  <c r="AJ44" i="1"/>
  <c r="AJ45" i="1"/>
  <c r="AJ46" i="1"/>
  <c r="AJ47" i="1"/>
  <c r="AJ48" i="1"/>
  <c r="AJ49" i="1"/>
  <c r="AJ50" i="1"/>
  <c r="AJ51" i="1"/>
  <c r="AJ34" i="1"/>
  <c r="W191" i="1"/>
  <c r="W183" i="1"/>
  <c r="W184" i="1"/>
  <c r="W185" i="1"/>
  <c r="W186" i="1"/>
  <c r="W187" i="1"/>
  <c r="W188" i="1"/>
  <c r="W189" i="1"/>
  <c r="W190" i="1"/>
  <c r="W182" i="1"/>
  <c r="W179" i="1"/>
  <c r="W180" i="1"/>
  <c r="W181" i="1"/>
  <c r="W176" i="1"/>
  <c r="W177" i="1"/>
  <c r="W178" i="1"/>
  <c r="W175" i="1"/>
  <c r="R183" i="1"/>
  <c r="R184" i="1"/>
  <c r="R185" i="1"/>
  <c r="R186" i="1"/>
  <c r="R187" i="1"/>
  <c r="R188" i="1"/>
  <c r="R189" i="1"/>
  <c r="R190" i="1"/>
  <c r="R191" i="1"/>
  <c r="R182" i="1"/>
  <c r="R179" i="1"/>
  <c r="R180" i="1"/>
  <c r="R181" i="1"/>
  <c r="M183" i="1"/>
  <c r="M184" i="1"/>
  <c r="M185" i="1"/>
  <c r="M186" i="1"/>
  <c r="M187" i="1"/>
  <c r="M188" i="1"/>
  <c r="M189" i="1"/>
  <c r="M190" i="1"/>
  <c r="M191" i="1"/>
  <c r="M182" i="1"/>
  <c r="M176" i="1"/>
  <c r="M177" i="1"/>
  <c r="M178" i="1"/>
  <c r="M179" i="1"/>
  <c r="M180" i="1"/>
  <c r="M181" i="1"/>
  <c r="M175" i="1"/>
  <c r="I169" i="1"/>
  <c r="L169" i="1"/>
  <c r="I167" i="1"/>
  <c r="L167" i="1"/>
  <c r="AA165" i="1"/>
  <c r="AA166" i="1"/>
  <c r="AA167" i="1"/>
  <c r="AA168" i="1"/>
  <c r="AA169" i="1"/>
  <c r="AA170" i="1"/>
  <c r="AA171" i="1"/>
  <c r="AA172" i="1"/>
  <c r="AA173" i="1"/>
  <c r="AA174" i="1"/>
  <c r="AA175" i="1"/>
  <c r="AA176" i="1"/>
  <c r="AA177" i="1"/>
  <c r="AA178" i="1"/>
  <c r="AA179" i="1"/>
  <c r="AA180" i="1"/>
  <c r="AA181" i="1"/>
  <c r="AA182" i="1"/>
  <c r="AA183" i="1"/>
  <c r="AA184" i="1"/>
  <c r="AA185" i="1"/>
  <c r="AA186" i="1"/>
  <c r="AA187" i="1"/>
  <c r="AA188" i="1"/>
  <c r="AA189" i="1"/>
  <c r="AA190" i="1"/>
  <c r="AA164" i="1"/>
  <c r="S176" i="1"/>
  <c r="S171" i="1"/>
  <c r="S164" i="1"/>
  <c r="S165" i="1"/>
  <c r="W174" i="1"/>
  <c r="W165" i="1"/>
  <c r="W166" i="1"/>
  <c r="W167" i="1"/>
  <c r="W168" i="1"/>
  <c r="W169" i="1"/>
  <c r="W170" i="1"/>
  <c r="W171" i="1"/>
  <c r="W172" i="1"/>
  <c r="W173" i="1"/>
  <c r="W164" i="1"/>
  <c r="T178" i="1"/>
  <c r="T176" i="1"/>
  <c r="S178" i="1"/>
  <c r="S177" i="1"/>
  <c r="S175" i="1"/>
  <c r="S174" i="1"/>
  <c r="S173" i="1"/>
  <c r="S172" i="1"/>
  <c r="S170" i="1"/>
  <c r="S169" i="1"/>
  <c r="S168" i="1"/>
  <c r="S167" i="1"/>
  <c r="S166" i="1"/>
  <c r="R176" i="1"/>
  <c r="R177" i="1"/>
  <c r="R178" i="1"/>
  <c r="R175" i="1"/>
  <c r="R165" i="1"/>
  <c r="R166" i="1"/>
  <c r="R167" i="1"/>
  <c r="R168" i="1"/>
  <c r="R169" i="1"/>
  <c r="R170" i="1"/>
  <c r="R171" i="1"/>
  <c r="R172" i="1"/>
  <c r="R173" i="1"/>
  <c r="R174" i="1"/>
  <c r="R164" i="1"/>
  <c r="M165" i="1"/>
  <c r="M166" i="1"/>
  <c r="M167" i="1"/>
  <c r="M168" i="1"/>
  <c r="M169" i="1"/>
  <c r="M170" i="1"/>
  <c r="M164" i="1"/>
  <c r="M172" i="1"/>
  <c r="M173" i="1"/>
  <c r="M174" i="1"/>
  <c r="M171" i="1"/>
  <c r="G234" i="1"/>
  <c r="H191" i="1"/>
  <c r="H190" i="1"/>
  <c r="H189" i="1"/>
  <c r="H188" i="1"/>
  <c r="H187" i="1"/>
  <c r="H186" i="1"/>
  <c r="H185" i="1"/>
  <c r="H184" i="1"/>
  <c r="H183" i="1"/>
  <c r="H182" i="1"/>
  <c r="H181" i="1"/>
  <c r="H180" i="1"/>
  <c r="H179" i="1"/>
  <c r="H178" i="1"/>
  <c r="H177" i="1"/>
  <c r="H176" i="1"/>
  <c r="H175" i="1"/>
  <c r="H174" i="1"/>
  <c r="H173" i="1"/>
  <c r="H172" i="1"/>
  <c r="H171" i="1"/>
  <c r="H170" i="1"/>
  <c r="H169" i="1"/>
  <c r="H168" i="1"/>
  <c r="H167" i="1"/>
  <c r="H166" i="1"/>
  <c r="H165" i="1"/>
  <c r="H164" i="1"/>
  <c r="O292" i="1"/>
  <c r="O291" i="1"/>
  <c r="N293" i="1"/>
  <c r="N292" i="1"/>
  <c r="N291" i="1"/>
  <c r="N288" i="1"/>
  <c r="N287" i="1"/>
  <c r="N286" i="1"/>
  <c r="N281" i="1"/>
  <c r="O322" i="1"/>
  <c r="O321" i="1"/>
  <c r="O319" i="1"/>
  <c r="O318" i="1"/>
  <c r="O315" i="1"/>
  <c r="O313" i="1"/>
  <c r="O312" i="1"/>
  <c r="O310" i="1"/>
  <c r="O309" i="1"/>
  <c r="O307" i="1"/>
  <c r="O306" i="1"/>
  <c r="O305" i="1"/>
  <c r="N320" i="1"/>
  <c r="N316" i="1"/>
  <c r="N315" i="1"/>
  <c r="N314" i="1"/>
  <c r="N313" i="1"/>
  <c r="N312" i="1"/>
  <c r="N311" i="1"/>
  <c r="N309" i="1"/>
  <c r="N306" i="1"/>
  <c r="N305" i="1"/>
  <c r="M322" i="1"/>
  <c r="M321" i="1"/>
  <c r="M320" i="1"/>
  <c r="M319" i="1"/>
  <c r="M318" i="1"/>
  <c r="M317" i="1"/>
  <c r="M316" i="1"/>
  <c r="M314" i="1"/>
  <c r="M313" i="1"/>
  <c r="M312" i="1"/>
  <c r="M311" i="1"/>
  <c r="M310" i="1"/>
  <c r="M308" i="1"/>
  <c r="M307" i="1"/>
  <c r="M304" i="1"/>
  <c r="M295" i="1"/>
  <c r="M294" i="1"/>
  <c r="M293" i="1"/>
  <c r="M291" i="1"/>
  <c r="M290" i="1"/>
  <c r="M289" i="1"/>
  <c r="M288" i="1"/>
  <c r="M287" i="1"/>
  <c r="M286" i="1"/>
  <c r="M284" i="1"/>
  <c r="M283" i="1"/>
  <c r="M282" i="1"/>
  <c r="M281" i="1"/>
  <c r="V189" i="1"/>
  <c r="V188" i="1"/>
  <c r="V187" i="1"/>
  <c r="V186" i="1"/>
  <c r="V185" i="1"/>
  <c r="V184" i="1"/>
  <c r="V183" i="1"/>
  <c r="V182" i="1"/>
  <c r="V181" i="1"/>
  <c r="V180" i="1"/>
  <c r="V179" i="1"/>
  <c r="V178" i="1"/>
  <c r="V177" i="1"/>
  <c r="V176" i="1"/>
  <c r="V175" i="1"/>
  <c r="V174" i="1"/>
  <c r="V173" i="1"/>
  <c r="V172" i="1"/>
  <c r="V171" i="1"/>
  <c r="V170" i="1"/>
  <c r="V169" i="1"/>
  <c r="V168" i="1"/>
  <c r="V167" i="1"/>
  <c r="V166" i="1"/>
  <c r="V165" i="1"/>
  <c r="V164" i="1"/>
  <c r="M270" i="1"/>
  <c r="M271" i="1"/>
  <c r="M272" i="1"/>
  <c r="M265" i="1"/>
  <c r="M266" i="1"/>
  <c r="M267" i="1"/>
  <c r="M268" i="1"/>
  <c r="M262" i="1"/>
  <c r="M263" i="1"/>
  <c r="M264" i="1"/>
  <c r="M258" i="1"/>
  <c r="M259" i="1"/>
  <c r="M260" i="1"/>
  <c r="M261" i="1"/>
  <c r="M254" i="1"/>
  <c r="M255" i="1"/>
  <c r="M256" i="1"/>
  <c r="M257" i="1"/>
  <c r="M250" i="1"/>
  <c r="M251" i="1"/>
  <c r="M252" i="1"/>
  <c r="M253" i="1"/>
  <c r="M246" i="1"/>
  <c r="M247" i="1"/>
  <c r="M248" i="1"/>
  <c r="M249" i="1"/>
  <c r="M242" i="1"/>
  <c r="M243" i="1"/>
  <c r="M244" i="1"/>
  <c r="M245" i="1"/>
  <c r="M238" i="1"/>
  <c r="M239" i="1"/>
  <c r="M240" i="1"/>
  <c r="M241" i="1"/>
  <c r="M234" i="1"/>
  <c r="M235" i="1"/>
  <c r="M236" i="1"/>
  <c r="M237" i="1"/>
  <c r="M230" i="1"/>
  <c r="M231" i="1"/>
  <c r="M232" i="1"/>
  <c r="M233" i="1"/>
  <c r="M226" i="1"/>
  <c r="M227" i="1"/>
  <c r="M228" i="1"/>
  <c r="M229" i="1"/>
  <c r="M222" i="1"/>
  <c r="M223" i="1"/>
  <c r="M224" i="1"/>
  <c r="M225" i="1"/>
  <c r="O303" i="1"/>
  <c r="O302" i="1"/>
  <c r="M302" i="1"/>
  <c r="O300" i="1"/>
  <c r="M299" i="1"/>
  <c r="M297" i="1"/>
  <c r="M285" i="1"/>
  <c r="N276" i="1"/>
  <c r="N271" i="1"/>
  <c r="N270" i="1"/>
  <c r="N264" i="1"/>
  <c r="N262" i="1"/>
  <c r="V190" i="1"/>
  <c r="M280" i="1"/>
  <c r="M279" i="1"/>
  <c r="M278" i="1"/>
  <c r="M277" i="1"/>
  <c r="M276" i="1"/>
  <c r="M275" i="1"/>
  <c r="M274" i="1"/>
  <c r="M273" i="1"/>
  <c r="AB165" i="1"/>
  <c r="AB166" i="1"/>
  <c r="AB167" i="1"/>
  <c r="AB168" i="1"/>
  <c r="AB169" i="1"/>
  <c r="G226" i="1"/>
  <c r="AP178" i="1"/>
  <c r="AP184" i="1"/>
  <c r="AP192" i="1"/>
  <c r="AP188" i="1"/>
  <c r="AP190" i="1"/>
  <c r="AQ192" i="1"/>
  <c r="AQ188" i="1"/>
  <c r="AQ193" i="1"/>
  <c r="AQ196" i="1"/>
  <c r="AQ199" i="1"/>
  <c r="AQ202" i="1"/>
  <c r="AQ205" i="1"/>
  <c r="AQ208" i="1"/>
  <c r="AQ211" i="1"/>
  <c r="AQ214" i="1"/>
  <c r="AQ217" i="1"/>
  <c r="AQ220" i="1"/>
  <c r="AQ223" i="1"/>
  <c r="AQ226" i="1"/>
  <c r="AQ229" i="1"/>
  <c r="AQ232" i="1"/>
  <c r="AQ235" i="1"/>
  <c r="AQ238" i="1"/>
  <c r="AR244" i="1"/>
  <c r="AQ249" i="1"/>
  <c r="AR251" i="1"/>
  <c r="AQ252" i="1"/>
  <c r="AR254" i="1"/>
  <c r="AQ255" i="1"/>
  <c r="AR257" i="1"/>
  <c r="AQ258" i="1"/>
  <c r="AR260" i="1"/>
  <c r="AQ261" i="1"/>
  <c r="AP249" i="1"/>
  <c r="AR249" i="1"/>
  <c r="AP252" i="1"/>
  <c r="AR252" i="1"/>
  <c r="AP255" i="1"/>
  <c r="AR255" i="1"/>
  <c r="AP258" i="1"/>
  <c r="AR258" i="1"/>
  <c r="AP261" i="1"/>
  <c r="AR261" i="1"/>
  <c r="AQ189" i="1" l="1"/>
  <c r="AQ243" i="1"/>
  <c r="AQ244" i="1"/>
  <c r="AQ245" i="1"/>
  <c r="AP247" i="1"/>
  <c r="AP264" i="1"/>
  <c r="AR264" i="1"/>
  <c r="AP265" i="1"/>
  <c r="AQ266" i="1"/>
  <c r="AQ265" i="1"/>
  <c r="AQ267" i="1"/>
  <c r="AR265" i="1"/>
  <c r="AR266" i="1"/>
  <c r="AP270" i="1"/>
  <c r="AR270" i="1"/>
  <c r="AP271" i="1"/>
  <c r="AQ272" i="1"/>
  <c r="AQ271" i="1"/>
  <c r="AQ273" i="1"/>
  <c r="AR271" i="1"/>
  <c r="AR272" i="1"/>
  <c r="AP276" i="1"/>
  <c r="AQ263" i="1"/>
  <c r="AQ262" i="1"/>
  <c r="AQ264" i="1"/>
  <c r="AQ269" i="1"/>
  <c r="AQ268" i="1"/>
  <c r="AQ270" i="1"/>
  <c r="AQ275" i="1"/>
  <c r="AQ274" i="1"/>
  <c r="AQ276" i="1"/>
  <c r="AQ279" i="1"/>
  <c r="AQ282" i="1"/>
  <c r="AQ285" i="1"/>
  <c r="AP288" i="1"/>
  <c r="AP291" i="1"/>
  <c r="AP318" i="1"/>
  <c r="AP316" i="1"/>
  <c r="AP314" i="1"/>
  <c r="AP320" i="1"/>
  <c r="AP311" i="1"/>
  <c r="AQ313" i="1"/>
  <c r="AR318" i="1"/>
  <c r="AR316" i="1"/>
  <c r="AR314" i="1"/>
  <c r="AR320" i="1"/>
  <c r="AR311" i="1"/>
  <c r="AR349" i="1"/>
  <c r="AR355" i="1"/>
  <c r="AR361" i="1"/>
  <c r="AQ277" i="1"/>
  <c r="AQ280" i="1"/>
  <c r="AQ283" i="1"/>
  <c r="AP287" i="1"/>
  <c r="AP290" i="1"/>
  <c r="AR292" i="1"/>
  <c r="AP293" i="1"/>
  <c r="AP298" i="1"/>
  <c r="AQ299" i="1"/>
  <c r="AP304" i="1"/>
  <c r="AQ305" i="1"/>
  <c r="AP310" i="1"/>
  <c r="AQ311" i="1"/>
  <c r="AQ316" i="1"/>
  <c r="AR317" i="1"/>
  <c r="AQ320" i="1"/>
  <c r="AP325" i="1"/>
  <c r="AQ326" i="1"/>
  <c r="AP331" i="1"/>
  <c r="AQ332" i="1"/>
  <c r="AP337" i="1"/>
  <c r="AQ338" i="1"/>
  <c r="AP343" i="1"/>
  <c r="AQ344" i="1"/>
</calcChain>
</file>

<file path=xl/sharedStrings.xml><?xml version="1.0" encoding="utf-8"?>
<sst xmlns="http://schemas.openxmlformats.org/spreadsheetml/2006/main" count="1932" uniqueCount="141">
  <si>
    <t>放射性廃棄物の管理状況</t>
  </si>
  <si>
    <t>１号機</t>
  </si>
  <si>
    <t>２号機</t>
  </si>
  <si>
    <t>放射性固体廃棄物</t>
  </si>
  <si>
    <t>貯蔵能力</t>
  </si>
  <si>
    <t>ﾄﾞﾗﾑ缶発生量(本)</t>
  </si>
  <si>
    <t>ﾄﾞﾗﾑ缶減量(本)</t>
  </si>
  <si>
    <t>ﾄﾞﾗﾑ缶累積保管量(本)</t>
  </si>
  <si>
    <t>貯蔵能力(ﾄﾞﾗﾑ缶換算本数)</t>
  </si>
  <si>
    <t>S58</t>
  </si>
  <si>
    <t>1四半期</t>
  </si>
  <si>
    <t>2四半期</t>
  </si>
  <si>
    <t>S59</t>
  </si>
  <si>
    <t>3四半期</t>
  </si>
  <si>
    <t>S60</t>
  </si>
  <si>
    <t>4四半期</t>
  </si>
  <si>
    <t>S61</t>
  </si>
  <si>
    <t>S62</t>
  </si>
  <si>
    <t>S63</t>
  </si>
  <si>
    <t>H10</t>
  </si>
  <si>
    <t>―</t>
  </si>
  <si>
    <t>H11</t>
  </si>
  <si>
    <t>H12</t>
  </si>
  <si>
    <t>H13</t>
  </si>
  <si>
    <t>H14</t>
  </si>
  <si>
    <t>H15</t>
  </si>
  <si>
    <t>H16</t>
  </si>
  <si>
    <t>H17</t>
  </si>
  <si>
    <t>H18</t>
  </si>
  <si>
    <t>H19</t>
  </si>
  <si>
    <t>H20</t>
  </si>
  <si>
    <t>H21</t>
  </si>
  <si>
    <t>H22</t>
  </si>
  <si>
    <t>H23</t>
  </si>
  <si>
    <t>H24</t>
  </si>
  <si>
    <t>原子炉施設合計</t>
    <rPh sb="0" eb="3">
      <t>ゲンシロ</t>
    </rPh>
    <rPh sb="3" eb="5">
      <t>シセツ</t>
    </rPh>
    <rPh sb="5" eb="7">
      <t>ゴウケイ</t>
    </rPh>
    <phoneticPr fontId="1"/>
  </si>
  <si>
    <t>３号機</t>
    <phoneticPr fontId="1"/>
  </si>
  <si>
    <t>女川原発ＨＰの関連ページ</t>
    <rPh sb="0" eb="2">
      <t>オナガワ</t>
    </rPh>
    <rPh sb="2" eb="4">
      <t>ゲンパツ</t>
    </rPh>
    <rPh sb="7" eb="9">
      <t>カンレン</t>
    </rPh>
    <phoneticPr fontId="1"/>
  </si>
  <si>
    <t xml:space="preserve">    放 射 性 液 体 廃 棄 物</t>
    <phoneticPr fontId="1"/>
  </si>
  <si>
    <t>３号機</t>
    <phoneticPr fontId="1"/>
  </si>
  <si>
    <t>出典：女川原子力発電所環境放射能及び温排水調査結果（各年度四半期ごと1～4号）､女川原子力発電所環境放射能調査結果（各年度5号）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カクネンド</t>
    </rPh>
    <rPh sb="29" eb="30">
      <t>シ</t>
    </rPh>
    <rPh sb="30" eb="32">
      <t>ハンキ</t>
    </rPh>
    <rPh sb="37" eb="38">
      <t>ゴウ</t>
    </rPh>
    <rPh sb="40" eb="42">
      <t>オナガワ</t>
    </rPh>
    <rPh sb="42" eb="45">
      <t>ゲンシリョク</t>
    </rPh>
    <rPh sb="45" eb="47">
      <t>ハツデン</t>
    </rPh>
    <rPh sb="47" eb="48">
      <t>ショ</t>
    </rPh>
    <rPh sb="48" eb="50">
      <t>カンキョウ</t>
    </rPh>
    <rPh sb="50" eb="53">
      <t>ホウシャノウ</t>
    </rPh>
    <rPh sb="53" eb="55">
      <t>チョウサ</t>
    </rPh>
    <rPh sb="55" eb="57">
      <t>ケッカ</t>
    </rPh>
    <rPh sb="58" eb="61">
      <t>カクネンド</t>
    </rPh>
    <rPh sb="62" eb="63">
      <t>ゴウ</t>
    </rPh>
    <phoneticPr fontId="1"/>
  </si>
  <si>
    <t xml:space="preserve"> </t>
    <phoneticPr fontId="1"/>
  </si>
  <si>
    <t>　　　放　射　性　気　体　廃　棄　物</t>
    <phoneticPr fontId="1"/>
  </si>
  <si>
    <t>　　　放　射　性　液　体　廃　棄　物</t>
    <phoneticPr fontId="1"/>
  </si>
  <si>
    <t>単位：Bq</t>
    <rPh sb="0" eb="2">
      <t>タンイ</t>
    </rPh>
    <phoneticPr fontId="1"/>
  </si>
  <si>
    <t>放射性希ガス　(注1)</t>
    <phoneticPr fontId="1"/>
  </si>
  <si>
    <t>放射性ヨウ素(I-131) (注2)</t>
    <phoneticPr fontId="1"/>
  </si>
  <si>
    <t xml:space="preserve">   放 射 性 気 体 廃 棄 物</t>
    <phoneticPr fontId="1"/>
  </si>
  <si>
    <t>―</t>
    <phoneticPr fontId="1"/>
  </si>
  <si>
    <t>　　　放　射　性　気　体　廃　棄　物 (排気筒)</t>
    <rPh sb="20" eb="23">
      <t>ハイキトウ</t>
    </rPh>
    <phoneticPr fontId="1"/>
  </si>
  <si>
    <t>注) ﾁｪﾙﾉﾌﾞｲﾘ事故の影響</t>
    <phoneticPr fontId="1"/>
  </si>
  <si>
    <t>注) １号機定期点検に伴う放出</t>
    <phoneticPr fontId="1"/>
  </si>
  <si>
    <t>施設合計の年間放出管理目標</t>
    <rPh sb="0" eb="2">
      <t>シセツ</t>
    </rPh>
    <rPh sb="2" eb="4">
      <t>ゴウケイ</t>
    </rPh>
    <phoneticPr fontId="1"/>
  </si>
  <si>
    <t>施設合計の年間放出管理目標</t>
    <phoneticPr fontId="1"/>
  </si>
  <si>
    <t>施設合計の年間放出管理目標/注4</t>
    <rPh sb="14" eb="15">
      <t>チュウ</t>
    </rPh>
    <phoneticPr fontId="1"/>
  </si>
  <si>
    <t>―は当該号機放水路からの放射性液体廃棄物の放出がなかったことを表す。</t>
    <phoneticPr fontId="1"/>
  </si>
  <si>
    <r>
      <t>―</t>
    </r>
    <r>
      <rPr>
        <vertAlign val="superscript"/>
        <sz val="9"/>
        <rFont val="Meiryo UI"/>
        <family val="3"/>
        <charset val="128"/>
      </rPr>
      <t>注6</t>
    </r>
    <phoneticPr fontId="1"/>
  </si>
  <si>
    <t>出典：女川原子力発電所環境放射能及び温排水調査結果(各年度四半期ごと1～4号)､女川原子力発電所環境放射能調査結果(各年度5号)､電力のHP</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カクネンド</t>
    </rPh>
    <rPh sb="29" eb="30">
      <t>シ</t>
    </rPh>
    <rPh sb="30" eb="32">
      <t>ハンキ</t>
    </rPh>
    <rPh sb="37" eb="38">
      <t>ゴウ</t>
    </rPh>
    <rPh sb="40" eb="42">
      <t>オナガワ</t>
    </rPh>
    <rPh sb="42" eb="45">
      <t>ゲンシリョク</t>
    </rPh>
    <rPh sb="45" eb="47">
      <t>ハツデン</t>
    </rPh>
    <rPh sb="47" eb="48">
      <t>ショ</t>
    </rPh>
    <rPh sb="48" eb="50">
      <t>カンキョウ</t>
    </rPh>
    <rPh sb="50" eb="53">
      <t>ホウシャノウ</t>
    </rPh>
    <rPh sb="53" eb="55">
      <t>チョウサ</t>
    </rPh>
    <rPh sb="55" eb="57">
      <t>ケッカ</t>
    </rPh>
    <rPh sb="58" eb="61">
      <t>カクネンド</t>
    </rPh>
    <rPh sb="62" eb="63">
      <t>ゴウ</t>
    </rPh>
    <rPh sb="65" eb="67">
      <t>デンリョク</t>
    </rPh>
    <phoneticPr fontId="1"/>
  </si>
  <si>
    <t>発電所内減量(焼却等)</t>
    <rPh sb="0" eb="2">
      <t>ハツデン</t>
    </rPh>
    <rPh sb="2" eb="3">
      <t>ショ</t>
    </rPh>
    <rPh sb="3" eb="4">
      <t>ナイ</t>
    </rPh>
    <rPh sb="4" eb="6">
      <t>ゲンリョウ</t>
    </rPh>
    <rPh sb="7" eb="9">
      <t>ショウキャク</t>
    </rPh>
    <rPh sb="9" eb="10">
      <t>トウ</t>
    </rPh>
    <phoneticPr fontId="1"/>
  </si>
  <si>
    <t>発電所外減量(搬出実績)</t>
    <rPh sb="0" eb="2">
      <t>ハツデン</t>
    </rPh>
    <rPh sb="2" eb="3">
      <t>ショ</t>
    </rPh>
    <rPh sb="3" eb="4">
      <t>ガイ</t>
    </rPh>
    <rPh sb="4" eb="6">
      <t>ゲンリョウ</t>
    </rPh>
    <rPh sb="7" eb="9">
      <t>ハンシュツ</t>
    </rPh>
    <rPh sb="9" eb="11">
      <t>ジッセキ</t>
    </rPh>
    <phoneticPr fontId="1"/>
  </si>
  <si>
    <t>注) 1号機定期点検に伴う放出</t>
    <phoneticPr fontId="1"/>
  </si>
  <si>
    <t xml:space="preserve">  放 射 性 希 ガ ス (Bq)　(注1)</t>
    <rPh sb="2" eb="3">
      <t>ホウ</t>
    </rPh>
    <rPh sb="4" eb="5">
      <t>イ</t>
    </rPh>
    <rPh sb="6" eb="7">
      <t>セイ</t>
    </rPh>
    <rPh sb="8" eb="9">
      <t>キ</t>
    </rPh>
    <phoneticPr fontId="1"/>
  </si>
  <si>
    <t xml:space="preserve">  放 射 性 よ う 素 (Bq) (注2)</t>
    <rPh sb="2" eb="3">
      <t>ホウ</t>
    </rPh>
    <rPh sb="4" eb="5">
      <t>イ</t>
    </rPh>
    <rPh sb="6" eb="7">
      <t>セイ</t>
    </rPh>
    <rPh sb="12" eb="13">
      <t>ソ</t>
    </rPh>
    <phoneticPr fontId="1"/>
  </si>
  <si>
    <t xml:space="preserve">  ト リ チ ウ ム を 除 く (Bq)　(注3)</t>
    <rPh sb="14" eb="15">
      <t>ノゾ</t>
    </rPh>
    <phoneticPr fontId="1"/>
  </si>
  <si>
    <t xml:space="preserve">  ト リ チ ウ ム (Bq)　(注5)</t>
    <phoneticPr fontId="1"/>
  </si>
  <si>
    <r>
      <t>測定下限値は2ｘ10</t>
    </r>
    <r>
      <rPr>
        <vertAlign val="superscript"/>
        <sz val="9"/>
        <rFont val="Meiryo UI"/>
        <family val="3"/>
        <charset val="128"/>
      </rPr>
      <t>-2</t>
    </r>
    <r>
      <rPr>
        <sz val="9"/>
        <rFont val="Meiryo UI"/>
        <family val="3"/>
        <charset val="128"/>
      </rPr>
      <t>Bq/cm</t>
    </r>
    <r>
      <rPr>
        <vertAlign val="superscript"/>
        <sz val="9"/>
        <rFont val="Meiryo UI"/>
        <family val="3"/>
        <charset val="128"/>
      </rPr>
      <t>3</t>
    </r>
    <r>
      <rPr>
        <sz val="9"/>
        <rFont val="Meiryo UI"/>
        <family val="3"/>
        <charset val="128"/>
      </rPr>
      <t xml:space="preserve"> (5x10</t>
    </r>
    <r>
      <rPr>
        <vertAlign val="superscript"/>
        <sz val="9"/>
        <rFont val="Meiryo UI"/>
        <family val="3"/>
        <charset val="128"/>
      </rPr>
      <t>-7</t>
    </r>
    <r>
      <rPr>
        <sz val="9"/>
        <rFont val="Meiryo UI"/>
        <family val="3"/>
        <charset val="128"/>
      </rPr>
      <t>μCi/cm</t>
    </r>
    <r>
      <rPr>
        <vertAlign val="superscript"/>
        <sz val="9"/>
        <rFont val="Meiryo UI"/>
        <family val="3"/>
        <charset val="128"/>
      </rPr>
      <t>3</t>
    </r>
    <r>
      <rPr>
        <sz val="9"/>
        <rFont val="Meiryo UI"/>
        <family val="3"/>
        <charset val="128"/>
      </rPr>
      <t>)</t>
    </r>
    <rPh sb="0" eb="2">
      <t>ソクテイ</t>
    </rPh>
    <rPh sb="2" eb="4">
      <t>カゲン</t>
    </rPh>
    <rPh sb="4" eb="5">
      <t>チ</t>
    </rPh>
    <phoneticPr fontId="1"/>
  </si>
  <si>
    <r>
      <t>測定下限値は7ｘ10</t>
    </r>
    <r>
      <rPr>
        <vertAlign val="superscript"/>
        <sz val="9"/>
        <rFont val="Meiryo UI"/>
        <family val="3"/>
        <charset val="128"/>
      </rPr>
      <t>-9</t>
    </r>
    <r>
      <rPr>
        <sz val="9"/>
        <rFont val="Meiryo UI"/>
        <family val="3"/>
        <charset val="128"/>
      </rPr>
      <t>Bq/cm</t>
    </r>
    <r>
      <rPr>
        <vertAlign val="superscript"/>
        <sz val="9"/>
        <rFont val="Meiryo UI"/>
        <family val="3"/>
        <charset val="128"/>
      </rPr>
      <t>3</t>
    </r>
    <r>
      <rPr>
        <sz val="9"/>
        <rFont val="Meiryo UI"/>
        <family val="3"/>
        <charset val="128"/>
      </rPr>
      <t xml:space="preserve"> (2x10</t>
    </r>
    <r>
      <rPr>
        <vertAlign val="superscript"/>
        <sz val="9"/>
        <rFont val="Meiryo UI"/>
        <family val="3"/>
        <charset val="128"/>
      </rPr>
      <t>-13</t>
    </r>
    <r>
      <rPr>
        <sz val="9"/>
        <rFont val="Meiryo UI"/>
        <family val="3"/>
        <charset val="128"/>
      </rPr>
      <t>μCi/cm</t>
    </r>
    <r>
      <rPr>
        <vertAlign val="superscript"/>
        <sz val="9"/>
        <rFont val="Meiryo UI"/>
        <family val="3"/>
        <charset val="128"/>
      </rPr>
      <t>3</t>
    </r>
    <r>
      <rPr>
        <sz val="9"/>
        <rFont val="Meiryo UI"/>
        <family val="3"/>
        <charset val="128"/>
      </rPr>
      <t>)</t>
    </r>
    <rPh sb="0" eb="2">
      <t>ソクテイ</t>
    </rPh>
    <rPh sb="2" eb="4">
      <t>カゲン</t>
    </rPh>
    <rPh sb="4" eb="5">
      <t>チ</t>
    </rPh>
    <phoneticPr fontId="1"/>
  </si>
  <si>
    <t>　　　放 射 性 液 体 廃 棄 物　(各号機の放水口) (注4)</t>
    <rPh sb="20" eb="21">
      <t>カク</t>
    </rPh>
    <rPh sb="21" eb="23">
      <t>ゴウキ</t>
    </rPh>
    <rPh sb="24" eb="26">
      <t>ホウスイ</t>
    </rPh>
    <rPh sb="26" eb="27">
      <t>コウ</t>
    </rPh>
    <rPh sb="30" eb="31">
      <t>チュウ</t>
    </rPh>
    <phoneticPr fontId="1"/>
  </si>
  <si>
    <t>(注1)</t>
    <rPh sb="1" eb="2">
      <t>チュウ</t>
    </rPh>
    <phoneticPr fontId="1"/>
  </si>
  <si>
    <t>(注2)</t>
    <rPh sb="1" eb="2">
      <t>チュウ</t>
    </rPh>
    <phoneticPr fontId="1"/>
  </si>
  <si>
    <t>(注3)</t>
    <rPh sb="1" eb="2">
      <t>チュウ</t>
    </rPh>
    <phoneticPr fontId="1"/>
  </si>
  <si>
    <t>(注4)</t>
    <rPh sb="1" eb="2">
      <t>チュウ</t>
    </rPh>
    <phoneticPr fontId="1"/>
  </si>
  <si>
    <t>(注5)</t>
    <rPh sb="1" eb="2">
      <t>チュウ</t>
    </rPh>
    <phoneticPr fontId="1"/>
  </si>
  <si>
    <t>(注6)</t>
    <rPh sb="1" eb="2">
      <t>チュウ</t>
    </rPh>
    <phoneticPr fontId="1"/>
  </si>
  <si>
    <t>(注7)</t>
    <rPh sb="1" eb="2">
      <t>チュウ</t>
    </rPh>
    <phoneticPr fontId="1"/>
  </si>
  <si>
    <t>洗濯廃液処理設備は1.2号共用設備であり､原則として1号放水路から排出</t>
  </si>
  <si>
    <t>原子炉設置許可申請書記載の被ばく線量算定に用いる前提条件は年間7.4x1012Bqである。</t>
  </si>
  <si>
    <t>昭和62年度以前は、１Ci=3.7*10^10Bqで換算</t>
  </si>
  <si>
    <r>
      <t>測定下限値は2ｘ10</t>
    </r>
    <r>
      <rPr>
        <vertAlign val="superscript"/>
        <sz val="9"/>
        <rFont val="Meiryo UI"/>
        <family val="3"/>
        <charset val="128"/>
      </rPr>
      <t>-2</t>
    </r>
    <r>
      <rPr>
        <sz val="9"/>
        <rFont val="Meiryo UI"/>
        <family val="3"/>
        <charset val="128"/>
      </rPr>
      <t>Bq/cm</t>
    </r>
    <r>
      <rPr>
        <vertAlign val="superscript"/>
        <sz val="9"/>
        <rFont val="Meiryo UI"/>
        <family val="3"/>
        <charset val="128"/>
      </rPr>
      <t>3</t>
    </r>
    <r>
      <rPr>
        <sz val="9"/>
        <rFont val="Meiryo UI"/>
        <family val="3"/>
        <charset val="128"/>
      </rPr>
      <t xml:space="preserve"> (5x10</t>
    </r>
    <r>
      <rPr>
        <vertAlign val="superscript"/>
        <sz val="9"/>
        <rFont val="Meiryo UI"/>
        <family val="3"/>
        <charset val="128"/>
      </rPr>
      <t>-7</t>
    </r>
    <r>
      <rPr>
        <sz val="9"/>
        <rFont val="Meiryo UI"/>
        <family val="3"/>
        <charset val="128"/>
      </rPr>
      <t>μCi/cm</t>
    </r>
    <r>
      <rPr>
        <vertAlign val="superscript"/>
        <sz val="9"/>
        <rFont val="Meiryo UI"/>
        <family val="3"/>
        <charset val="128"/>
      </rPr>
      <t>3</t>
    </r>
    <r>
      <rPr>
        <sz val="9"/>
        <rFont val="Meiryo UI"/>
        <family val="3"/>
        <charset val="128"/>
      </rPr>
      <t>)（</t>
    </r>
    <r>
      <rPr>
        <vertAlign val="superscript"/>
        <sz val="9"/>
        <rFont val="Meiryo UI"/>
        <family val="3"/>
        <charset val="128"/>
      </rPr>
      <t>60</t>
    </r>
    <r>
      <rPr>
        <sz val="9"/>
        <rFont val="Meiryo UI"/>
        <family val="3"/>
        <charset val="128"/>
      </rPr>
      <t>Coで代表）</t>
    </r>
    <rPh sb="0" eb="2">
      <t>ソクテイ</t>
    </rPh>
    <rPh sb="2" eb="4">
      <t>カゲン</t>
    </rPh>
    <rPh sb="4" eb="5">
      <t>チ</t>
    </rPh>
    <rPh sb="40" eb="42">
      <t>ダイヒョウ</t>
    </rPh>
    <phoneticPr fontId="1"/>
  </si>
  <si>
    <t>電力量(発電端)(百万kwh)</t>
    <phoneticPr fontId="1"/>
  </si>
  <si>
    <t>１号機</t>
    <rPh sb="1" eb="2">
      <t>ゴウ</t>
    </rPh>
    <rPh sb="2" eb="3">
      <t>キ</t>
    </rPh>
    <phoneticPr fontId="1"/>
  </si>
  <si>
    <t>２号機</t>
    <rPh sb="1" eb="2">
      <t>ゴウ</t>
    </rPh>
    <rPh sb="2" eb="3">
      <t>キ</t>
    </rPh>
    <phoneticPr fontId="1"/>
  </si>
  <si>
    <t>３号機</t>
    <rPh sb="1" eb="2">
      <t>ゴウ</t>
    </rPh>
    <rPh sb="2" eb="3">
      <t>キ</t>
    </rPh>
    <phoneticPr fontId="1"/>
  </si>
  <si>
    <t>トリチウム排出量(液体廃棄物)</t>
    <rPh sb="5" eb="7">
      <t>ハイシュツ</t>
    </rPh>
    <rPh sb="7" eb="8">
      <t>リョウ</t>
    </rPh>
    <rPh sb="9" eb="11">
      <t>エキタイ</t>
    </rPh>
    <rPh sb="11" eb="14">
      <t>ハイキブツ</t>
    </rPh>
    <phoneticPr fontId="1"/>
  </si>
  <si>
    <t>出力：1号機52.4万kw､2,3号機82.5kw／冷却水量：1号機39m3/s､2,3号機60m3/s</t>
    <rPh sb="0" eb="2">
      <t>シュツリョク</t>
    </rPh>
    <rPh sb="4" eb="5">
      <t>ゴウ</t>
    </rPh>
    <rPh sb="5" eb="6">
      <t>キ</t>
    </rPh>
    <rPh sb="10" eb="11">
      <t>マン</t>
    </rPh>
    <rPh sb="17" eb="19">
      <t>ゴウキ</t>
    </rPh>
    <rPh sb="26" eb="28">
      <t>レイキャク</t>
    </rPh>
    <rPh sb="28" eb="30">
      <t>スイリョウ</t>
    </rPh>
    <rPh sb="32" eb="33">
      <t>ゴウ</t>
    </rPh>
    <rPh sb="33" eb="34">
      <t>キ</t>
    </rPh>
    <rPh sb="44" eb="46">
      <t>ゴウキ</t>
    </rPh>
    <phoneticPr fontId="1"/>
  </si>
  <si>
    <t>推定排水量(千m3)</t>
    <rPh sb="0" eb="2">
      <t>スイテイ</t>
    </rPh>
    <rPh sb="2" eb="4">
      <t>ハイスイ</t>
    </rPh>
    <rPh sb="4" eb="5">
      <t>リョウ</t>
    </rPh>
    <rPh sb="6" eb="7">
      <t>セン</t>
    </rPh>
    <phoneticPr fontId="1"/>
  </si>
  <si>
    <t>推定トリチウム濃度Bq/m3</t>
    <rPh sb="0" eb="2">
      <t>スイテイ</t>
    </rPh>
    <rPh sb="7" eb="9">
      <t>ノウド</t>
    </rPh>
    <phoneticPr fontId="1"/>
  </si>
  <si>
    <t>推定トリチウム濃度Bq/ℓ</t>
    <rPh sb="0" eb="2">
      <t>スイテイ</t>
    </rPh>
    <rPh sb="7" eb="9">
      <t>ノウド</t>
    </rPh>
    <phoneticPr fontId="1"/>
  </si>
  <si>
    <t>ND</t>
  </si>
  <si>
    <r>
      <t>原子炉設置許可申請書記載の被ばく線量算定に用いる前提条件は年間7.4x10</t>
    </r>
    <r>
      <rPr>
        <vertAlign val="superscript"/>
        <sz val="9"/>
        <rFont val="Meiryo UI"/>
        <family val="3"/>
        <charset val="128"/>
      </rPr>
      <t>12</t>
    </r>
    <r>
      <rPr>
        <sz val="9"/>
        <rFont val="Meiryo UI"/>
        <family val="3"/>
        <charset val="128"/>
      </rPr>
      <t>Bq→年間1.11x10</t>
    </r>
    <r>
      <rPr>
        <vertAlign val="superscript"/>
        <sz val="9"/>
        <rFont val="Meiryo UI"/>
        <family val="3"/>
        <charset val="128"/>
      </rPr>
      <t>13</t>
    </r>
    <r>
      <rPr>
        <sz val="9"/>
        <rFont val="Meiryo UI"/>
        <family val="3"/>
        <charset val="128"/>
      </rPr>
      <t>Bqである。</t>
    </r>
    <phoneticPr fontId="1"/>
  </si>
  <si>
    <t>(注8)</t>
    <rPh sb="1" eb="2">
      <t>チュウ</t>
    </rPh>
    <phoneticPr fontId="1"/>
  </si>
  <si>
    <t>平成22,23年度の放射性希ガス及び放射性よう素の排出は､福島第一原子力発電所の事故による影響と推測される。</t>
    <rPh sb="0" eb="2">
      <t>ヘイセイ</t>
    </rPh>
    <rPh sb="7" eb="9">
      <t>ネンド</t>
    </rPh>
    <rPh sb="10" eb="13">
      <t>ホウシャセイ</t>
    </rPh>
    <rPh sb="13" eb="14">
      <t>キ</t>
    </rPh>
    <rPh sb="16" eb="17">
      <t>オヨ</t>
    </rPh>
    <rPh sb="18" eb="21">
      <t>ホウシャセイ</t>
    </rPh>
    <rPh sb="23" eb="24">
      <t>ソ</t>
    </rPh>
    <rPh sb="25" eb="27">
      <t>ハイシュツ</t>
    </rPh>
    <rPh sb="29" eb="31">
      <t>フクシマ</t>
    </rPh>
    <rPh sb="31" eb="32">
      <t>ダイ</t>
    </rPh>
    <rPh sb="32" eb="33">
      <t>１</t>
    </rPh>
    <rPh sb="33" eb="36">
      <t>ゲンシリョク</t>
    </rPh>
    <rPh sb="36" eb="38">
      <t>ハツデン</t>
    </rPh>
    <rPh sb="38" eb="39">
      <t>ショ</t>
    </rPh>
    <rPh sb="40" eb="42">
      <t>ジコ</t>
    </rPh>
    <rPh sb="45" eb="47">
      <t>エイキョウ</t>
    </rPh>
    <rPh sb="48" eb="50">
      <t>スイソク</t>
    </rPh>
    <phoneticPr fontId="1"/>
  </si>
  <si>
    <t>H25</t>
    <phoneticPr fontId="1"/>
  </si>
  <si>
    <t>H26</t>
    <phoneticPr fontId="1"/>
  </si>
  <si>
    <t>H24</t>
    <phoneticPr fontId="1"/>
  </si>
  <si>
    <t>H26</t>
    <phoneticPr fontId="1"/>
  </si>
  <si>
    <t>(注)</t>
    <rPh sb="1" eb="2">
      <t>チュウ</t>
    </rPh>
    <phoneticPr fontId="1"/>
  </si>
  <si>
    <t>環境放射線監視センター</t>
    <rPh sb="0" eb="2">
      <t>カンキョウ</t>
    </rPh>
    <rPh sb="2" eb="5">
      <t>ホウシャセン</t>
    </rPh>
    <rPh sb="5" eb="7">
      <t>カンシ</t>
    </rPh>
    <phoneticPr fontId="16"/>
  </si>
  <si>
    <t>原子力安全対策課</t>
    <rPh sb="0" eb="3">
      <t>ゲンシリョク</t>
    </rPh>
    <rPh sb="3" eb="5">
      <t>アンゼン</t>
    </rPh>
    <rPh sb="5" eb="7">
      <t>タイサク</t>
    </rPh>
    <rPh sb="7" eb="8">
      <t>カ</t>
    </rPh>
    <phoneticPr fontId="16"/>
  </si>
  <si>
    <t>放射能情報サイトみやぎ</t>
    <rPh sb="0" eb="3">
      <t>ホウシャノウ</t>
    </rPh>
    <rPh sb="3" eb="5">
      <t>ジョウホウ</t>
    </rPh>
    <phoneticPr fontId="16"/>
  </si>
  <si>
    <t>液体廃棄物の―は､当該号機放水路からの放射性液体廃棄物の放出がなかったことを表す。</t>
    <rPh sb="0" eb="1">
      <t>エキタイ</t>
    </rPh>
    <rPh sb="1" eb="4">
      <t>ハイキブツ</t>
    </rPh>
    <phoneticPr fontId="1"/>
  </si>
  <si>
    <t>―</t>
    <phoneticPr fontId="1"/>
  </si>
  <si>
    <t>H27</t>
  </si>
  <si>
    <t>H28</t>
  </si>
  <si>
    <t>H29</t>
  </si>
  <si>
    <t>H30</t>
  </si>
  <si>
    <t>H01</t>
    <phoneticPr fontId="1"/>
  </si>
  <si>
    <t>H02</t>
  </si>
  <si>
    <t>H03</t>
  </si>
  <si>
    <t>H04</t>
  </si>
  <si>
    <t>H05</t>
    <phoneticPr fontId="1"/>
  </si>
  <si>
    <t>H06</t>
  </si>
  <si>
    <t>H07</t>
  </si>
  <si>
    <t>H08</t>
  </si>
  <si>
    <t>H09</t>
  </si>
  <si>
    <t>R01</t>
    <phoneticPr fontId="1"/>
  </si>
  <si>
    <t>R02</t>
  </si>
  <si>
    <t>R03</t>
  </si>
  <si>
    <t>H27</t>
    <phoneticPr fontId="1"/>
  </si>
  <si>
    <t>R01</t>
    <phoneticPr fontId="1"/>
  </si>
  <si>
    <t>R02</t>
    <phoneticPr fontId="1"/>
  </si>
  <si>
    <t>H01</t>
    <phoneticPr fontId="1"/>
  </si>
  <si>
    <t>H02</t>
    <phoneticPr fontId="1"/>
  </si>
  <si>
    <t>H05</t>
    <phoneticPr fontId="1"/>
  </si>
  <si>
    <t>―</t>
    <phoneticPr fontId="1"/>
  </si>
  <si>
    <t>―は当該号機放水路からの放射性廃棄物の放出がなかったことを表す。</t>
    <phoneticPr fontId="1"/>
  </si>
  <si>
    <t>トリチウム(H-3)　(注5)</t>
    <phoneticPr fontId="1"/>
  </si>
  <si>
    <t>年間放出管理目標値</t>
  </si>
  <si>
    <t>トリチウム(H-3)：原子炉施設保安規定で定める放出管理の基準値は年間1.11×10^13Bqである。(1~3号機合計)</t>
    <phoneticPr fontId="1"/>
  </si>
  <si>
    <t>―</t>
    <phoneticPr fontId="1"/>
  </si>
  <si>
    <t>トリチウム(H-3)を除く(注3)</t>
    <phoneticPr fontId="1"/>
  </si>
  <si>
    <t xml:space="preserve">
ND</t>
  </si>
  <si>
    <t>３号機</t>
  </si>
  <si>
    <t>電力量(発電端)(百万kwh)</t>
  </si>
  <si>
    <t>kmdみやぎ</t>
    <phoneticPr fontId="16"/>
  </si>
  <si>
    <r>
      <t>放射性ヨウ素(I-131)</t>
    </r>
    <r>
      <rPr>
        <sz val="8"/>
        <rFont val="Meiryo UI"/>
        <family val="3"/>
        <charset val="128"/>
      </rPr>
      <t xml:space="preserve"> (注2)</t>
    </r>
    <phoneticPr fontId="1"/>
  </si>
  <si>
    <r>
      <t>放射性希ガス</t>
    </r>
    <r>
      <rPr>
        <sz val="8"/>
        <rFont val="Meiryo UI"/>
        <family val="3"/>
        <charset val="128"/>
      </rPr>
      <t>　(注1)</t>
    </r>
    <phoneticPr fontId="1"/>
  </si>
  <si>
    <t>トリチウム(H-3)を除く　(注3)</t>
    <phoneticPr fontId="1"/>
  </si>
  <si>
    <r>
      <t>トリチウム(H-3/Bq)</t>
    </r>
    <r>
      <rPr>
        <sz val="8"/>
        <rFont val="Meiryo UI"/>
        <family val="3"/>
        <charset val="128"/>
      </rPr>
      <t>　(注5)</t>
    </r>
    <phoneticPr fontId="1"/>
  </si>
  <si>
    <r>
      <t>放射性液体廃棄物：</t>
    </r>
    <r>
      <rPr>
        <sz val="7.5"/>
        <rFont val="Meiryo UI"/>
        <family val="3"/>
        <charset val="128"/>
      </rPr>
      <t>H24･H25年度は、洗濯廃液の処理水のみである｡(1･2号機洗濯廃液処理設備は共用設備であり､洗濯廃液の処理水の排出は原則として1号機放水路から行う｡)</t>
    </r>
    <rPh sb="0" eb="3">
      <t>ホウシャセイ</t>
    </rPh>
    <rPh sb="3" eb="5">
      <t>エキタイ</t>
    </rPh>
    <rPh sb="5" eb="8">
      <t>ハイキブツ</t>
    </rPh>
    <rPh sb="16" eb="18">
      <t>ネンド</t>
    </rPh>
    <rPh sb="20" eb="22">
      <t>センタク</t>
    </rPh>
    <rPh sb="22" eb="24">
      <t>ハイエキ</t>
    </rPh>
    <rPh sb="25" eb="27">
      <t>ショリ</t>
    </rPh>
    <rPh sb="27" eb="28">
      <t>スイ</t>
    </rPh>
    <rPh sb="38" eb="40">
      <t>ゴウキ</t>
    </rPh>
    <rPh sb="40" eb="42">
      <t>センタク</t>
    </rPh>
    <rPh sb="42" eb="44">
      <t>ハイエキ</t>
    </rPh>
    <rPh sb="44" eb="46">
      <t>ショリ</t>
    </rPh>
    <rPh sb="46" eb="48">
      <t>セツビ</t>
    </rPh>
    <rPh sb="49" eb="51">
      <t>キョウヨウ</t>
    </rPh>
    <rPh sb="51" eb="53">
      <t>セツビ</t>
    </rPh>
    <rPh sb="57" eb="59">
      <t>センタク</t>
    </rPh>
    <rPh sb="59" eb="61">
      <t>ハイエキ</t>
    </rPh>
    <rPh sb="62" eb="64">
      <t>ショリ</t>
    </rPh>
    <rPh sb="64" eb="65">
      <t>スイ</t>
    </rPh>
    <rPh sb="66" eb="68">
      <t>ハイシュツ</t>
    </rPh>
    <rPh sb="69" eb="71">
      <t>ゲンソク</t>
    </rPh>
    <rPh sb="75" eb="77">
      <t>ゴウキ</t>
    </rPh>
    <rPh sb="77" eb="80">
      <t>ホウスイロ</t>
    </rPh>
    <rPh sb="82" eb="83">
      <t>オコナ</t>
    </rPh>
    <phoneticPr fontId="1"/>
  </si>
  <si>
    <t>年間放出管理目標値は原子炉設置変更許可申請書において設定した値｡また､原子炉施設保安規定で定める値である。</t>
    <rPh sb="0" eb="1">
      <t>ネンカン</t>
    </rPh>
    <rPh sb="26" eb="28">
      <t>セッテイ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</si>
</sst>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0"/>
    <numFmt numFmtId="177" formatCode="0_);[Red]\(0\)"/>
    <numFmt numFmtId="178" formatCode="0.0E+00"/>
    <numFmt numFmtId="179" formatCode="0.E+00"/>
    <numFmt numFmtId="180" formatCode="0_ "/>
    <numFmt numFmtId="181" formatCode="0.00,,,"/>
    <numFmt numFmtId="182" formatCode="0.0;&quot;△ &quot;0.0"/>
    <numFmt numFmtId="183" formatCode="[$-411]ge\.m"/>
    <numFmt numFmtId="184" formatCode="0;&quot;△ &quot;0"/>
    <numFmt numFmtId="185" formatCode="0.0_);[Red]\(0.0\)"/>
  </numFmts>
  <fonts count="19" x14ac:knownFonts="1">
    <font>
      <sz val="14"/>
      <name val="Terminal"/>
      <charset val="128"/>
    </font>
    <font>
      <sz val="7"/>
      <name val="Terminal"/>
      <charset val="128"/>
    </font>
    <font>
      <u/>
      <sz val="14"/>
      <color indexed="12"/>
      <name val="Terminal"/>
      <charset val="128"/>
    </font>
    <font>
      <b/>
      <sz val="11"/>
      <name val="Meiryo UI"/>
      <family val="3"/>
      <charset val="128"/>
    </font>
    <font>
      <sz val="9"/>
      <name val="Meiryo UI"/>
      <family val="3"/>
      <charset val="128"/>
    </font>
    <font>
      <u/>
      <sz val="10"/>
      <color indexed="12"/>
      <name val="Meiryo UI"/>
      <family val="3"/>
      <charset val="128"/>
    </font>
    <font>
      <b/>
      <sz val="10"/>
      <name val="Meiryo UI"/>
      <family val="3"/>
      <charset val="128"/>
    </font>
    <font>
      <sz val="8"/>
      <name val="Meiryo UI"/>
      <family val="3"/>
      <charset val="128"/>
    </font>
    <font>
      <vertAlign val="superscript"/>
      <sz val="9"/>
      <name val="Meiryo UI"/>
      <family val="3"/>
      <charset val="128"/>
    </font>
    <font>
      <sz val="8.5"/>
      <name val="Meiryo UI"/>
      <family val="3"/>
      <charset val="128"/>
    </font>
    <font>
      <sz val="10"/>
      <name val="Meiryo UI"/>
      <family val="3"/>
      <charset val="128"/>
    </font>
    <font>
      <sz val="11"/>
      <name val="Meiryo UI"/>
      <family val="3"/>
      <charset val="128"/>
    </font>
    <font>
      <sz val="7"/>
      <name val="Meiryo UI"/>
      <family val="3"/>
      <charset val="128"/>
    </font>
    <font>
      <sz val="16"/>
      <name val="Meiryo UI"/>
      <family val="3"/>
      <charset val="128"/>
    </font>
    <font>
      <u val="singleAccounting"/>
      <sz val="9"/>
      <name val="Meiryo UI"/>
      <family val="3"/>
      <charset val="128"/>
    </font>
    <font>
      <u val="singleAccounting"/>
      <sz val="10"/>
      <color indexed="12"/>
      <name val="Meiryo UI"/>
      <family val="3"/>
      <charset val="128"/>
    </font>
    <font>
      <sz val="7"/>
      <name val="ＭＳ 明朝"/>
      <family val="1"/>
      <charset val="128"/>
    </font>
    <font>
      <u val="singleAccounting"/>
      <sz val="9"/>
      <color indexed="12"/>
      <name val="Meiryo UI"/>
      <family val="3"/>
      <charset val="128"/>
    </font>
    <font>
      <sz val="7.5"/>
      <name val="Meiryo UI"/>
      <family val="3"/>
      <charset val="128"/>
    </font>
  </fonts>
  <fills count="6">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s>
  <borders count="39">
    <border>
      <left/>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diagonalUp="1">
      <left style="hair">
        <color indexed="64"/>
      </left>
      <right style="hair">
        <color indexed="64"/>
      </right>
      <top style="hair">
        <color indexed="64"/>
      </top>
      <bottom style="hair">
        <color indexed="64"/>
      </bottom>
      <diagonal style="hair">
        <color indexed="64"/>
      </diagonal>
    </border>
    <border>
      <left/>
      <right/>
      <top style="hair">
        <color indexed="64"/>
      </top>
      <bottom style="hair">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241">
    <xf numFmtId="0" fontId="0" fillId="0" borderId="0" xfId="0"/>
    <xf numFmtId="0" fontId="3" fillId="0" borderId="0" xfId="0" applyFont="1" applyBorder="1" applyAlignment="1">
      <alignment horizontal="left" vertical="center"/>
    </xf>
    <xf numFmtId="0" fontId="4" fillId="0" borderId="0" xfId="0" applyFont="1" applyBorder="1" applyAlignment="1">
      <alignment vertical="center"/>
    </xf>
    <xf numFmtId="0" fontId="4" fillId="0" borderId="0" xfId="0" applyNumberFormat="1" applyFont="1" applyBorder="1" applyAlignment="1">
      <alignment vertical="center"/>
    </xf>
    <xf numFmtId="0" fontId="4" fillId="0" borderId="0" xfId="0" quotePrefix="1" applyNumberFormat="1" applyFont="1" applyBorder="1" applyAlignment="1">
      <alignment horizontal="left" vertical="center"/>
    </xf>
    <xf numFmtId="177" fontId="4" fillId="0" borderId="0" xfId="0" applyNumberFormat="1" applyFont="1" applyBorder="1" applyAlignment="1">
      <alignment vertical="center"/>
    </xf>
    <xf numFmtId="0" fontId="5" fillId="0" borderId="0" xfId="1" applyFont="1" applyBorder="1" applyAlignment="1" applyProtection="1">
      <alignment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2" xfId="0" applyNumberFormat="1" applyFont="1" applyBorder="1" applyAlignment="1">
      <alignment vertical="center"/>
    </xf>
    <xf numFmtId="0" fontId="4" fillId="0" borderId="3" xfId="0" applyNumberFormat="1" applyFont="1" applyBorder="1" applyAlignment="1">
      <alignment vertical="center"/>
    </xf>
    <xf numFmtId="0" fontId="4" fillId="0" borderId="4" xfId="0" applyFont="1" applyBorder="1" applyAlignment="1">
      <alignment vertical="center" wrapText="1"/>
    </xf>
    <xf numFmtId="0" fontId="4" fillId="0" borderId="5" xfId="0" applyFont="1" applyBorder="1" applyAlignment="1">
      <alignment vertical="center" wrapText="1"/>
    </xf>
    <xf numFmtId="0" fontId="4" fillId="0" borderId="5" xfId="0" applyNumberFormat="1" applyFont="1" applyBorder="1" applyAlignment="1">
      <alignment vertical="center" wrapText="1"/>
    </xf>
    <xf numFmtId="0" fontId="4" fillId="0" borderId="0" xfId="0" applyFont="1" applyBorder="1" applyAlignment="1">
      <alignment vertical="center" wrapText="1"/>
    </xf>
    <xf numFmtId="0" fontId="4" fillId="0" borderId="0" xfId="0" applyNumberFormat="1" applyFont="1" applyBorder="1" applyAlignment="1">
      <alignment vertical="center" wrapText="1"/>
    </xf>
    <xf numFmtId="0" fontId="4" fillId="0" borderId="0" xfId="0" quotePrefix="1" applyNumberFormat="1" applyFont="1" applyBorder="1" applyAlignment="1">
      <alignment horizontal="left" vertical="center" wrapText="1"/>
    </xf>
    <xf numFmtId="177" fontId="4" fillId="0" borderId="0" xfId="0" applyNumberFormat="1" applyFont="1" applyBorder="1" applyAlignment="1">
      <alignment vertical="center" wrapText="1"/>
    </xf>
    <xf numFmtId="0" fontId="4" fillId="0" borderId="4" xfId="0" applyFont="1" applyBorder="1" applyAlignment="1">
      <alignment horizontal="center" vertical="center"/>
    </xf>
    <xf numFmtId="0" fontId="4" fillId="0" borderId="6" xfId="0" applyNumberFormat="1" applyFont="1" applyBorder="1" applyAlignment="1">
      <alignment horizontal="center" vertical="center" wrapText="1"/>
    </xf>
    <xf numFmtId="176" fontId="4" fillId="0" borderId="0" xfId="0" applyNumberFormat="1" applyFont="1" applyBorder="1" applyAlignment="1">
      <alignment vertical="center"/>
    </xf>
    <xf numFmtId="176" fontId="4" fillId="0" borderId="0" xfId="0" applyNumberFormat="1" applyFont="1" applyFill="1" applyBorder="1" applyAlignment="1">
      <alignment vertical="center"/>
    </xf>
    <xf numFmtId="177" fontId="4" fillId="0" borderId="0" xfId="0" applyNumberFormat="1" applyFont="1" applyFill="1" applyBorder="1" applyAlignment="1">
      <alignment vertical="center"/>
    </xf>
    <xf numFmtId="0" fontId="4" fillId="0" borderId="4" xfId="0" applyFont="1" applyBorder="1" applyAlignment="1">
      <alignment vertical="center"/>
    </xf>
    <xf numFmtId="0" fontId="4" fillId="0" borderId="7" xfId="0" applyFont="1" applyBorder="1" applyAlignment="1">
      <alignment vertical="center"/>
    </xf>
    <xf numFmtId="0" fontId="4" fillId="0" borderId="0" xfId="0" applyFont="1" applyBorder="1" applyAlignment="1">
      <alignment horizontal="center" vertical="center"/>
    </xf>
    <xf numFmtId="0" fontId="4" fillId="0" borderId="8" xfId="0" applyNumberFormat="1" applyFont="1" applyBorder="1" applyAlignment="1">
      <alignment vertical="center"/>
    </xf>
    <xf numFmtId="0" fontId="4" fillId="0" borderId="2" xfId="0" applyNumberFormat="1" applyFont="1" applyBorder="1" applyAlignment="1">
      <alignment vertical="center" wrapText="1"/>
    </xf>
    <xf numFmtId="0" fontId="4" fillId="0" borderId="3" xfId="0" applyNumberFormat="1" applyFont="1" applyBorder="1" applyAlignment="1">
      <alignment vertical="center" wrapText="1"/>
    </xf>
    <xf numFmtId="0" fontId="4" fillId="0" borderId="6" xfId="0" applyNumberFormat="1" applyFont="1" applyBorder="1" applyAlignment="1">
      <alignment vertical="center" wrapText="1"/>
    </xf>
    <xf numFmtId="0" fontId="4" fillId="0" borderId="9" xfId="0" applyNumberFormat="1" applyFont="1" applyBorder="1" applyAlignment="1">
      <alignment vertical="center"/>
    </xf>
    <xf numFmtId="0" fontId="4" fillId="0" borderId="2" xfId="0" applyNumberFormat="1" applyFont="1" applyFill="1" applyBorder="1" applyAlignment="1">
      <alignment vertical="center" wrapText="1"/>
    </xf>
    <xf numFmtId="0" fontId="4" fillId="0" borderId="9" xfId="0" applyNumberFormat="1" applyFont="1" applyFill="1" applyBorder="1" applyAlignment="1">
      <alignment vertical="center"/>
    </xf>
    <xf numFmtId="0" fontId="4" fillId="0" borderId="10" xfId="0" applyNumberFormat="1" applyFont="1" applyBorder="1" applyAlignment="1">
      <alignment vertical="center" wrapText="1"/>
    </xf>
    <xf numFmtId="0" fontId="4" fillId="0" borderId="0" xfId="0" quotePrefix="1" applyNumberFormat="1" applyFont="1" applyBorder="1" applyAlignment="1">
      <alignment vertical="center"/>
    </xf>
    <xf numFmtId="0" fontId="10" fillId="0" borderId="0" xfId="0" applyFont="1" applyBorder="1" applyAlignment="1">
      <alignment horizontal="left" vertical="center"/>
    </xf>
    <xf numFmtId="0" fontId="4" fillId="0" borderId="8" xfId="0" applyFont="1" applyBorder="1" applyAlignment="1">
      <alignment vertical="center"/>
    </xf>
    <xf numFmtId="0" fontId="4" fillId="0" borderId="9" xfId="0" applyFont="1" applyBorder="1" applyAlignment="1">
      <alignment vertical="center"/>
    </xf>
    <xf numFmtId="0" fontId="6" fillId="0" borderId="11" xfId="0" applyFont="1" applyBorder="1" applyAlignment="1">
      <alignment horizontal="center" vertical="center"/>
    </xf>
    <xf numFmtId="0" fontId="6" fillId="0" borderId="5" xfId="0" applyFont="1" applyBorder="1" applyAlignment="1">
      <alignment horizontal="center" vertical="center" wrapText="1"/>
    </xf>
    <xf numFmtId="0" fontId="6" fillId="0" borderId="3" xfId="0" applyFont="1" applyBorder="1" applyAlignment="1">
      <alignment horizontal="center" vertical="center"/>
    </xf>
    <xf numFmtId="0" fontId="4" fillId="0" borderId="4" xfId="0" applyFont="1" applyFill="1" applyBorder="1" applyAlignment="1">
      <alignment vertical="center"/>
    </xf>
    <xf numFmtId="178" fontId="4" fillId="0" borderId="5" xfId="0" applyNumberFormat="1" applyFont="1" applyFill="1" applyBorder="1" applyAlignment="1">
      <alignment horizontal="center" vertical="center" shrinkToFit="1"/>
    </xf>
    <xf numFmtId="176" fontId="4" fillId="0" borderId="5" xfId="0" applyNumberFormat="1" applyFont="1" applyFill="1" applyBorder="1" applyAlignment="1">
      <alignment horizontal="center" vertical="center" shrinkToFit="1"/>
    </xf>
    <xf numFmtId="0" fontId="4" fillId="0" borderId="0" xfId="0" applyNumberFormat="1" applyFont="1" applyFill="1" applyBorder="1" applyAlignment="1">
      <alignment vertical="center"/>
    </xf>
    <xf numFmtId="0" fontId="4" fillId="0" borderId="7" xfId="0" applyFont="1" applyFill="1" applyBorder="1" applyAlignment="1">
      <alignment vertical="center"/>
    </xf>
    <xf numFmtId="0" fontId="4" fillId="0" borderId="4" xfId="0" applyFont="1" applyFill="1" applyBorder="1" applyAlignment="1">
      <alignment horizontal="center" vertical="center"/>
    </xf>
    <xf numFmtId="0" fontId="4" fillId="0" borderId="10" xfId="0" applyNumberFormat="1" applyFont="1" applyBorder="1" applyAlignment="1">
      <alignment vertical="center"/>
    </xf>
    <xf numFmtId="178" fontId="4" fillId="0" borderId="12" xfId="0" applyNumberFormat="1" applyFont="1" applyBorder="1" applyAlignment="1">
      <alignment horizontal="center" vertical="center" shrinkToFit="1"/>
    </xf>
    <xf numFmtId="178" fontId="4" fillId="0" borderId="13" xfId="0" applyNumberFormat="1" applyFont="1" applyBorder="1" applyAlignment="1">
      <alignment horizontal="center" vertical="center" shrinkToFit="1"/>
    </xf>
    <xf numFmtId="176" fontId="4" fillId="0" borderId="13" xfId="0" applyNumberFormat="1" applyFont="1" applyFill="1" applyBorder="1" applyAlignment="1">
      <alignment horizontal="center" vertical="center" shrinkToFit="1"/>
    </xf>
    <xf numFmtId="178" fontId="4" fillId="0" borderId="12" xfId="0" applyNumberFormat="1" applyFont="1" applyFill="1" applyBorder="1" applyAlignment="1">
      <alignment horizontal="center" vertical="center" shrinkToFit="1"/>
    </xf>
    <xf numFmtId="178" fontId="4" fillId="0" borderId="13" xfId="0" applyNumberFormat="1" applyFont="1" applyFill="1" applyBorder="1" applyAlignment="1">
      <alignment horizontal="center" vertical="center" shrinkToFit="1"/>
    </xf>
    <xf numFmtId="178" fontId="4" fillId="0" borderId="14" xfId="0" applyNumberFormat="1" applyFont="1" applyFill="1" applyBorder="1" applyAlignment="1">
      <alignment horizontal="center" vertical="center" shrinkToFit="1"/>
    </xf>
    <xf numFmtId="178" fontId="4" fillId="0" borderId="15" xfId="0" applyNumberFormat="1" applyFont="1" applyBorder="1" applyAlignment="1">
      <alignment horizontal="center" vertical="center" shrinkToFit="1"/>
    </xf>
    <xf numFmtId="178" fontId="4" fillId="0" borderId="16" xfId="0" applyNumberFormat="1" applyFont="1" applyBorder="1" applyAlignment="1">
      <alignment horizontal="center" vertical="center" shrinkToFit="1"/>
    </xf>
    <xf numFmtId="178" fontId="4" fillId="0" borderId="17" xfId="0" applyNumberFormat="1" applyFont="1" applyFill="1" applyBorder="1" applyAlignment="1">
      <alignment horizontal="center" vertical="center" shrinkToFit="1"/>
    </xf>
    <xf numFmtId="178" fontId="4" fillId="0" borderId="15" xfId="0" applyNumberFormat="1" applyFont="1" applyFill="1" applyBorder="1" applyAlignment="1">
      <alignment horizontal="center" vertical="center" shrinkToFit="1"/>
    </xf>
    <xf numFmtId="176" fontId="4" fillId="0" borderId="16" xfId="0" applyNumberFormat="1" applyFont="1" applyFill="1" applyBorder="1" applyAlignment="1">
      <alignment horizontal="center" vertical="center" shrinkToFit="1"/>
    </xf>
    <xf numFmtId="176" fontId="4" fillId="0" borderId="17" xfId="0" applyNumberFormat="1" applyFont="1" applyFill="1" applyBorder="1" applyAlignment="1">
      <alignment horizontal="center" vertical="center" shrinkToFit="1"/>
    </xf>
    <xf numFmtId="178" fontId="4" fillId="0" borderId="16" xfId="0" applyNumberFormat="1" applyFont="1" applyFill="1" applyBorder="1" applyAlignment="1">
      <alignment horizontal="center" vertical="center" shrinkToFit="1"/>
    </xf>
    <xf numFmtId="178" fontId="4" fillId="0" borderId="18" xfId="0" applyNumberFormat="1" applyFont="1" applyFill="1" applyBorder="1" applyAlignment="1">
      <alignment horizontal="center" vertical="center" shrinkToFit="1"/>
    </xf>
    <xf numFmtId="178" fontId="4" fillId="0" borderId="19" xfId="0" applyNumberFormat="1" applyFont="1" applyBorder="1" applyAlignment="1">
      <alignment horizontal="center" vertical="center" shrinkToFit="1"/>
    </xf>
    <xf numFmtId="178" fontId="4" fillId="0" borderId="20" xfId="0" applyNumberFormat="1" applyFont="1" applyBorder="1" applyAlignment="1">
      <alignment horizontal="center" vertical="center" shrinkToFit="1"/>
    </xf>
    <xf numFmtId="178" fontId="4" fillId="0" borderId="21" xfId="0" applyNumberFormat="1" applyFont="1" applyFill="1" applyBorder="1" applyAlignment="1">
      <alignment horizontal="center" vertical="center" shrinkToFit="1"/>
    </xf>
    <xf numFmtId="178" fontId="4" fillId="0" borderId="19" xfId="0" applyNumberFormat="1" applyFont="1" applyFill="1" applyBorder="1" applyAlignment="1">
      <alignment horizontal="center" vertical="center" shrinkToFit="1"/>
    </xf>
    <xf numFmtId="176" fontId="4" fillId="0" borderId="20" xfId="0" applyNumberFormat="1" applyFont="1" applyFill="1" applyBorder="1" applyAlignment="1">
      <alignment horizontal="center" vertical="center" shrinkToFit="1"/>
    </xf>
    <xf numFmtId="176" fontId="4" fillId="0" borderId="21" xfId="0" applyNumberFormat="1" applyFont="1" applyFill="1" applyBorder="1" applyAlignment="1">
      <alignment horizontal="center" vertical="center" shrinkToFit="1"/>
    </xf>
    <xf numFmtId="178" fontId="4" fillId="0" borderId="20" xfId="0" applyNumberFormat="1" applyFont="1" applyFill="1" applyBorder="1" applyAlignment="1">
      <alignment horizontal="center" vertical="center" shrinkToFit="1"/>
    </xf>
    <xf numFmtId="178" fontId="4" fillId="0" borderId="22" xfId="0" applyNumberFormat="1" applyFont="1" applyFill="1" applyBorder="1" applyAlignment="1">
      <alignment horizontal="center" vertical="center" shrinkToFit="1"/>
    </xf>
    <xf numFmtId="0" fontId="4" fillId="0" borderId="23" xfId="0" applyNumberFormat="1" applyFont="1" applyBorder="1" applyAlignment="1">
      <alignment horizontal="center" vertical="center" wrapText="1"/>
    </xf>
    <xf numFmtId="0" fontId="4" fillId="0" borderId="24" xfId="0" applyNumberFormat="1" applyFont="1" applyBorder="1" applyAlignment="1">
      <alignment horizontal="center" vertical="center" wrapText="1"/>
    </xf>
    <xf numFmtId="0" fontId="4" fillId="0" borderId="25" xfId="0" applyFont="1" applyBorder="1" applyAlignment="1">
      <alignment vertical="center"/>
    </xf>
    <xf numFmtId="0" fontId="12" fillId="0" borderId="23" xfId="0" quotePrefix="1" applyNumberFormat="1" applyFont="1" applyBorder="1" applyAlignment="1">
      <alignment horizontal="center" vertical="center" shrinkToFit="1"/>
    </xf>
    <xf numFmtId="0" fontId="12" fillId="0" borderId="24" xfId="0" quotePrefix="1" applyNumberFormat="1" applyFont="1" applyBorder="1" applyAlignment="1">
      <alignment horizontal="center" vertical="center" shrinkToFit="1"/>
    </xf>
    <xf numFmtId="0" fontId="12" fillId="0" borderId="6" xfId="0" quotePrefix="1" applyNumberFormat="1" applyFont="1" applyBorder="1" applyAlignment="1">
      <alignment horizontal="center" vertical="center" shrinkToFit="1"/>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3" xfId="0" applyFont="1" applyBorder="1" applyAlignment="1">
      <alignment horizontal="center" vertical="center"/>
    </xf>
    <xf numFmtId="178" fontId="12" fillId="0" borderId="16" xfId="0" applyNumberFormat="1" applyFont="1" applyFill="1" applyBorder="1" applyAlignment="1">
      <alignment horizontal="left" vertical="center"/>
    </xf>
    <xf numFmtId="176" fontId="4" fillId="0" borderId="0" xfId="0" applyNumberFormat="1" applyFont="1" applyBorder="1" applyAlignment="1">
      <alignment horizontal="center" vertical="center"/>
    </xf>
    <xf numFmtId="0" fontId="11" fillId="0" borderId="0" xfId="0" applyFont="1" applyFill="1" applyBorder="1" applyAlignment="1">
      <alignment vertical="center"/>
    </xf>
    <xf numFmtId="0" fontId="4" fillId="0" borderId="0" xfId="0" applyFont="1" applyFill="1" applyBorder="1" applyAlignment="1">
      <alignment vertical="center"/>
    </xf>
    <xf numFmtId="182" fontId="4" fillId="0" borderId="0" xfId="0" applyNumberFormat="1" applyFont="1" applyFill="1" applyBorder="1" applyAlignment="1">
      <alignment vertical="center"/>
    </xf>
    <xf numFmtId="0" fontId="13" fillId="0" borderId="0" xfId="0" applyFont="1" applyBorder="1" applyAlignment="1">
      <alignment horizontal="left" vertical="center"/>
    </xf>
    <xf numFmtId="0" fontId="4" fillId="0" borderId="5" xfId="0" applyNumberFormat="1" applyFont="1" applyBorder="1" applyAlignment="1">
      <alignment vertical="top" wrapText="1"/>
    </xf>
    <xf numFmtId="0" fontId="7" fillId="0" borderId="5" xfId="0" applyNumberFormat="1" applyFont="1" applyBorder="1" applyAlignment="1">
      <alignment vertical="top" wrapText="1"/>
    </xf>
    <xf numFmtId="0" fontId="4" fillId="2" borderId="5" xfId="0" applyNumberFormat="1" applyFont="1" applyFill="1" applyBorder="1" applyAlignment="1">
      <alignment vertical="top" wrapText="1"/>
    </xf>
    <xf numFmtId="0" fontId="9" fillId="0" borderId="5" xfId="0" applyNumberFormat="1" applyFont="1" applyBorder="1" applyAlignment="1">
      <alignment vertical="top" wrapText="1"/>
    </xf>
    <xf numFmtId="182" fontId="4" fillId="0" borderId="20" xfId="0" applyNumberFormat="1" applyFont="1" applyFill="1" applyBorder="1" applyAlignment="1">
      <alignment vertical="center" shrinkToFit="1"/>
    </xf>
    <xf numFmtId="0" fontId="4" fillId="0" borderId="20" xfId="0" applyFont="1" applyBorder="1" applyAlignment="1">
      <alignment vertical="center"/>
    </xf>
    <xf numFmtId="0" fontId="4" fillId="0" borderId="20" xfId="0" applyNumberFormat="1" applyFont="1" applyBorder="1" applyAlignment="1">
      <alignment vertical="center"/>
    </xf>
    <xf numFmtId="182" fontId="4" fillId="0" borderId="20" xfId="0" quotePrefix="1" applyNumberFormat="1" applyFont="1" applyFill="1" applyBorder="1" applyAlignment="1">
      <alignment vertical="center" shrinkToFit="1"/>
    </xf>
    <xf numFmtId="182" fontId="4" fillId="0" borderId="28" xfId="0" applyNumberFormat="1" applyFont="1" applyFill="1" applyBorder="1" applyAlignment="1">
      <alignment vertical="center" shrinkToFit="1"/>
    </xf>
    <xf numFmtId="0" fontId="4" fillId="0" borderId="28" xfId="0" applyNumberFormat="1" applyFont="1" applyBorder="1" applyAlignment="1">
      <alignment vertical="center"/>
    </xf>
    <xf numFmtId="0" fontId="4" fillId="0" borderId="28" xfId="0" applyFont="1" applyBorder="1" applyAlignment="1">
      <alignment vertical="center"/>
    </xf>
    <xf numFmtId="182" fontId="4" fillId="0" borderId="22" xfId="0" applyNumberFormat="1" applyFont="1" applyFill="1" applyBorder="1" applyAlignment="1">
      <alignment vertical="center" shrinkToFit="1"/>
    </xf>
    <xf numFmtId="182" fontId="4" fillId="0" borderId="22" xfId="0" quotePrefix="1" applyNumberFormat="1" applyFont="1" applyFill="1" applyBorder="1" applyAlignment="1">
      <alignment vertical="center" shrinkToFit="1"/>
    </xf>
    <xf numFmtId="0" fontId="4" fillId="0" borderId="22" xfId="0" applyNumberFormat="1" applyFont="1" applyBorder="1" applyAlignment="1">
      <alignment vertical="center"/>
    </xf>
    <xf numFmtId="0" fontId="4" fillId="0" borderId="22" xfId="0" applyFont="1" applyBorder="1" applyAlignment="1">
      <alignment vertical="center"/>
    </xf>
    <xf numFmtId="183" fontId="4" fillId="3" borderId="15" xfId="0" applyNumberFormat="1" applyFont="1" applyFill="1" applyBorder="1" applyAlignment="1">
      <alignment vertical="center" shrinkToFit="1"/>
    </xf>
    <xf numFmtId="182" fontId="4" fillId="3" borderId="16" xfId="0" applyNumberFormat="1" applyFont="1" applyFill="1" applyBorder="1" applyAlignment="1">
      <alignment horizontal="left" vertical="center" wrapText="1"/>
    </xf>
    <xf numFmtId="182" fontId="4" fillId="3" borderId="18" xfId="0" applyNumberFormat="1" applyFont="1" applyFill="1" applyBorder="1" applyAlignment="1">
      <alignment horizontal="left" vertical="center" wrapText="1"/>
    </xf>
    <xf numFmtId="182" fontId="4" fillId="3" borderId="29" xfId="0" applyNumberFormat="1" applyFont="1" applyFill="1" applyBorder="1" applyAlignment="1">
      <alignment horizontal="left" vertical="center" wrapText="1"/>
    </xf>
    <xf numFmtId="183" fontId="4" fillId="2" borderId="19" xfId="0" applyNumberFormat="1" applyFont="1" applyFill="1" applyBorder="1" applyAlignment="1">
      <alignment vertical="center" shrinkToFit="1"/>
    </xf>
    <xf numFmtId="183" fontId="4" fillId="4" borderId="19" xfId="0" applyNumberFormat="1" applyFont="1" applyFill="1" applyBorder="1" applyAlignment="1">
      <alignment vertical="center" shrinkToFit="1"/>
    </xf>
    <xf numFmtId="0" fontId="10" fillId="0" borderId="0" xfId="0" quotePrefix="1" applyFont="1" applyFill="1" applyBorder="1" applyAlignment="1">
      <alignment vertical="center"/>
    </xf>
    <xf numFmtId="182" fontId="10" fillId="0" borderId="0" xfId="0" applyNumberFormat="1" applyFont="1" applyFill="1" applyBorder="1" applyAlignment="1">
      <alignment vertical="center"/>
    </xf>
    <xf numFmtId="0" fontId="10" fillId="0" borderId="0" xfId="0" applyFont="1" applyFill="1" applyBorder="1" applyAlignment="1">
      <alignment vertical="center"/>
    </xf>
    <xf numFmtId="0" fontId="10" fillId="0" borderId="0" xfId="0" applyNumberFormat="1" applyFont="1" applyBorder="1" applyAlignment="1">
      <alignment vertical="center"/>
    </xf>
    <xf numFmtId="0" fontId="10" fillId="0" borderId="0" xfId="0" applyFont="1" applyFill="1" applyBorder="1" applyAlignment="1"/>
    <xf numFmtId="0" fontId="4" fillId="3" borderId="16" xfId="0" applyFont="1" applyFill="1" applyBorder="1" applyAlignment="1">
      <alignment horizontal="center" vertical="center"/>
    </xf>
    <xf numFmtId="184" fontId="4" fillId="0" borderId="28" xfId="0" applyNumberFormat="1" applyFont="1" applyFill="1" applyBorder="1" applyAlignment="1">
      <alignment vertical="center" shrinkToFit="1"/>
    </xf>
    <xf numFmtId="180" fontId="4" fillId="0" borderId="22" xfId="0" applyNumberFormat="1" applyFont="1" applyFill="1" applyBorder="1" applyAlignment="1">
      <alignment vertical="center" shrinkToFit="1"/>
    </xf>
    <xf numFmtId="178" fontId="4" fillId="3" borderId="20" xfId="0" applyNumberFormat="1" applyFont="1" applyFill="1" applyBorder="1" applyAlignment="1">
      <alignment horizontal="center" vertical="center" shrinkToFit="1"/>
    </xf>
    <xf numFmtId="178" fontId="4" fillId="5" borderId="20" xfId="0" applyNumberFormat="1" applyFont="1" applyFill="1" applyBorder="1" applyAlignment="1">
      <alignment horizontal="center" vertical="center" shrinkToFit="1"/>
    </xf>
    <xf numFmtId="182" fontId="4" fillId="3" borderId="27" xfId="0" applyNumberFormat="1" applyFont="1" applyFill="1" applyBorder="1" applyAlignment="1">
      <alignment horizontal="left" vertical="center" wrapText="1"/>
    </xf>
    <xf numFmtId="182" fontId="4" fillId="3" borderId="30" xfId="0" applyNumberFormat="1" applyFont="1" applyFill="1" applyBorder="1" applyAlignment="1">
      <alignment horizontal="left" vertical="center" wrapText="1"/>
    </xf>
    <xf numFmtId="0" fontId="4" fillId="3" borderId="27" xfId="0" applyFont="1" applyFill="1" applyBorder="1" applyAlignment="1">
      <alignment horizontal="center" vertical="center"/>
    </xf>
    <xf numFmtId="0" fontId="10" fillId="0" borderId="0" xfId="0" applyNumberFormat="1" applyFont="1" applyFill="1" applyBorder="1" applyAlignment="1">
      <alignment vertical="center"/>
    </xf>
    <xf numFmtId="0" fontId="4" fillId="0" borderId="16"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30" xfId="0" applyFont="1" applyFill="1" applyBorder="1" applyAlignment="1">
      <alignment horizontal="center" vertical="center"/>
    </xf>
    <xf numFmtId="178" fontId="4" fillId="0" borderId="22" xfId="0" applyNumberFormat="1" applyFont="1" applyFill="1" applyBorder="1" applyAlignment="1">
      <alignment vertical="center" shrinkToFit="1"/>
    </xf>
    <xf numFmtId="178" fontId="4" fillId="0" borderId="22" xfId="0" quotePrefix="1" applyNumberFormat="1" applyFont="1" applyFill="1" applyBorder="1" applyAlignment="1">
      <alignment horizontal="center" vertical="center" shrinkToFit="1"/>
    </xf>
    <xf numFmtId="178" fontId="4" fillId="3" borderId="28" xfId="0" applyNumberFormat="1" applyFont="1" applyFill="1" applyBorder="1" applyAlignment="1">
      <alignment horizontal="center" vertical="center" shrinkToFit="1"/>
    </xf>
    <xf numFmtId="178" fontId="4" fillId="5" borderId="28" xfId="0" applyNumberFormat="1" applyFont="1" applyFill="1" applyBorder="1" applyAlignment="1">
      <alignment horizontal="center" vertical="center" shrinkToFit="1"/>
    </xf>
    <xf numFmtId="178" fontId="4" fillId="0" borderId="22" xfId="0" applyNumberFormat="1" applyFont="1" applyBorder="1" applyAlignment="1">
      <alignment vertical="center" shrinkToFit="1"/>
    </xf>
    <xf numFmtId="0" fontId="4" fillId="0" borderId="0" xfId="0" applyNumberFormat="1" applyFont="1" applyBorder="1" applyAlignment="1">
      <alignment horizontal="left" vertical="center"/>
    </xf>
    <xf numFmtId="0" fontId="14" fillId="0" borderId="0" xfId="0" applyFont="1" applyAlignment="1">
      <alignment vertical="center"/>
    </xf>
    <xf numFmtId="0" fontId="15" fillId="0" borderId="0" xfId="1" applyFont="1" applyAlignment="1" applyProtection="1">
      <alignment horizontal="left" vertical="center"/>
    </xf>
    <xf numFmtId="0" fontId="4" fillId="0" borderId="0" xfId="0" applyFont="1" applyAlignment="1">
      <alignment vertical="center"/>
    </xf>
    <xf numFmtId="185" fontId="4" fillId="0" borderId="0" xfId="0" applyNumberFormat="1" applyFont="1" applyAlignment="1">
      <alignment vertical="center"/>
    </xf>
    <xf numFmtId="0" fontId="17" fillId="0" borderId="0" xfId="1" applyFont="1" applyAlignment="1" applyProtection="1">
      <alignment horizontal="left" vertical="center"/>
    </xf>
    <xf numFmtId="0" fontId="14" fillId="0" borderId="0" xfId="0" applyFont="1" applyBorder="1" applyAlignment="1">
      <alignment horizontal="left" vertical="center"/>
    </xf>
    <xf numFmtId="0" fontId="4" fillId="0" borderId="20" xfId="0" applyNumberFormat="1" applyFont="1" applyBorder="1" applyAlignment="1">
      <alignment vertical="center" shrinkToFit="1"/>
    </xf>
    <xf numFmtId="0" fontId="12" fillId="0" borderId="0" xfId="0" quotePrefix="1" applyNumberFormat="1" applyFont="1" applyBorder="1" applyAlignment="1">
      <alignment horizontal="center" vertical="center" shrinkToFit="1"/>
    </xf>
    <xf numFmtId="0" fontId="4" fillId="0" borderId="10" xfId="0" applyNumberFormat="1" applyFont="1" applyBorder="1" applyAlignment="1">
      <alignment horizontal="center" vertical="center" wrapText="1"/>
    </xf>
    <xf numFmtId="178" fontId="4" fillId="0" borderId="0" xfId="0" applyNumberFormat="1" applyFont="1" applyBorder="1" applyAlignment="1">
      <alignment vertical="center" shrinkToFit="1"/>
    </xf>
    <xf numFmtId="178" fontId="4" fillId="0" borderId="32" xfId="0" applyNumberFormat="1" applyFont="1" applyFill="1" applyBorder="1" applyAlignment="1">
      <alignment horizontal="center" vertical="center" shrinkToFit="1"/>
    </xf>
    <xf numFmtId="178" fontId="4" fillId="0" borderId="33" xfId="0" applyNumberFormat="1" applyFont="1" applyFill="1" applyBorder="1" applyAlignment="1">
      <alignment horizontal="center" vertical="center" shrinkToFit="1"/>
    </xf>
    <xf numFmtId="0" fontId="4" fillId="0" borderId="11" xfId="0" applyNumberFormat="1" applyFont="1" applyBorder="1" applyAlignment="1">
      <alignment vertical="center" wrapText="1"/>
    </xf>
    <xf numFmtId="0" fontId="7" fillId="2" borderId="11" xfId="0" applyNumberFormat="1" applyFont="1" applyFill="1" applyBorder="1" applyAlignment="1">
      <alignment vertical="top" wrapText="1"/>
    </xf>
    <xf numFmtId="0" fontId="12" fillId="0" borderId="11" xfId="0" applyNumberFormat="1" applyFont="1" applyBorder="1" applyAlignment="1">
      <alignment vertical="top" wrapText="1"/>
    </xf>
    <xf numFmtId="0" fontId="4" fillId="0" borderId="25" xfId="0" applyNumberFormat="1" applyFont="1" applyBorder="1" applyAlignment="1">
      <alignment vertical="center"/>
    </xf>
    <xf numFmtId="0" fontId="4" fillId="0" borderId="20" xfId="0" applyNumberFormat="1" applyFont="1" applyBorder="1" applyAlignment="1">
      <alignment horizontal="center" vertical="center" shrinkToFit="1"/>
    </xf>
    <xf numFmtId="178" fontId="4" fillId="2" borderId="20" xfId="0" applyNumberFormat="1" applyFont="1" applyFill="1" applyBorder="1" applyAlignment="1">
      <alignment horizontal="center" vertical="center" shrinkToFit="1"/>
    </xf>
    <xf numFmtId="181" fontId="4" fillId="0" borderId="20" xfId="0" applyNumberFormat="1" applyFont="1" applyBorder="1" applyAlignment="1">
      <alignment horizontal="center" vertical="center" shrinkToFit="1"/>
    </xf>
    <xf numFmtId="181" fontId="4" fillId="2" borderId="20" xfId="0" applyNumberFormat="1" applyFont="1" applyFill="1" applyBorder="1" applyAlignment="1">
      <alignment horizontal="center" vertical="center" shrinkToFit="1"/>
    </xf>
    <xf numFmtId="178" fontId="4" fillId="0" borderId="20" xfId="0" quotePrefix="1" applyNumberFormat="1" applyFont="1" applyFill="1" applyBorder="1" applyAlignment="1">
      <alignment horizontal="center" vertical="center" shrinkToFit="1"/>
    </xf>
    <xf numFmtId="181" fontId="4" fillId="0" borderId="20" xfId="0" applyNumberFormat="1" applyFont="1" applyFill="1" applyBorder="1" applyAlignment="1">
      <alignment horizontal="center" vertical="center" shrinkToFit="1"/>
    </xf>
    <xf numFmtId="178" fontId="4" fillId="3" borderId="20" xfId="0" applyNumberFormat="1" applyFont="1" applyFill="1" applyBorder="1" applyAlignment="1">
      <alignment vertical="center" shrinkToFit="1"/>
    </xf>
    <xf numFmtId="178" fontId="4" fillId="0" borderId="20" xfId="0" applyNumberFormat="1" applyFont="1" applyBorder="1" applyAlignment="1">
      <alignment vertical="center" shrinkToFit="1"/>
    </xf>
    <xf numFmtId="1" fontId="4" fillId="0" borderId="20" xfId="0" applyNumberFormat="1" applyFont="1" applyBorder="1" applyAlignment="1">
      <alignment vertical="center" shrinkToFit="1"/>
    </xf>
    <xf numFmtId="1" fontId="4" fillId="2" borderId="20" xfId="0" applyNumberFormat="1" applyFont="1" applyFill="1" applyBorder="1" applyAlignment="1">
      <alignment vertical="center" shrinkToFit="1"/>
    </xf>
    <xf numFmtId="0" fontId="12" fillId="0" borderId="20" xfId="0" applyNumberFormat="1" applyFont="1" applyBorder="1" applyAlignment="1">
      <alignment horizontal="left" vertical="center"/>
    </xf>
    <xf numFmtId="0" fontId="4" fillId="0" borderId="20" xfId="0" applyNumberFormat="1" applyFont="1" applyBorder="1" applyAlignment="1">
      <alignment horizontal="left" vertical="center" shrinkToFit="1"/>
    </xf>
    <xf numFmtId="1" fontId="4" fillId="0" borderId="20" xfId="0" applyNumberFormat="1" applyFont="1" applyFill="1" applyBorder="1" applyAlignment="1">
      <alignment vertical="center" shrinkToFit="1"/>
    </xf>
    <xf numFmtId="181" fontId="4" fillId="0" borderId="20" xfId="0" applyNumberFormat="1" applyFont="1" applyBorder="1" applyAlignment="1">
      <alignment vertical="center" shrinkToFit="1"/>
    </xf>
    <xf numFmtId="181" fontId="4" fillId="0" borderId="20" xfId="0" applyNumberFormat="1" applyFont="1" applyFill="1" applyBorder="1" applyAlignment="1">
      <alignment vertical="center" shrinkToFit="1"/>
    </xf>
    <xf numFmtId="181" fontId="4" fillId="0" borderId="20" xfId="0" quotePrefix="1" applyNumberFormat="1" applyFont="1" applyBorder="1" applyAlignment="1">
      <alignment horizontal="center" vertical="center" shrinkToFit="1"/>
    </xf>
    <xf numFmtId="181" fontId="4" fillId="0" borderId="20" xfId="0" quotePrefix="1" applyNumberFormat="1" applyFont="1" applyFill="1" applyBorder="1" applyAlignment="1">
      <alignment horizontal="center" vertical="center" shrinkToFit="1"/>
    </xf>
    <xf numFmtId="178" fontId="4" fillId="0" borderId="20" xfId="0" applyNumberFormat="1" applyFont="1" applyFill="1" applyBorder="1" applyAlignment="1">
      <alignment vertical="center" shrinkToFit="1"/>
    </xf>
    <xf numFmtId="179" fontId="4" fillId="0" borderId="20" xfId="0" applyNumberFormat="1" applyFont="1" applyBorder="1" applyAlignment="1">
      <alignment vertical="center" shrinkToFit="1"/>
    </xf>
    <xf numFmtId="0" fontId="4" fillId="0" borderId="20" xfId="0" applyNumberFormat="1" applyFont="1" applyBorder="1" applyAlignment="1">
      <alignment horizontal="center" vertical="center"/>
    </xf>
    <xf numFmtId="0" fontId="4" fillId="0" borderId="16" xfId="0" applyNumberFormat="1" applyFont="1" applyBorder="1" applyAlignment="1">
      <alignment horizontal="center" vertical="center" shrinkToFit="1"/>
    </xf>
    <xf numFmtId="178" fontId="4" fillId="2" borderId="16" xfId="0" applyNumberFormat="1" applyFont="1" applyFill="1" applyBorder="1" applyAlignment="1">
      <alignment horizontal="center" vertical="center" shrinkToFit="1"/>
    </xf>
    <xf numFmtId="181" fontId="4" fillId="0" borderId="16" xfId="0" applyNumberFormat="1" applyFont="1" applyBorder="1" applyAlignment="1">
      <alignment horizontal="center" vertical="center" shrinkToFit="1"/>
    </xf>
    <xf numFmtId="181" fontId="4" fillId="2" borderId="16" xfId="0" applyNumberFormat="1" applyFont="1" applyFill="1" applyBorder="1" applyAlignment="1">
      <alignment horizontal="center" vertical="center" shrinkToFit="1"/>
    </xf>
    <xf numFmtId="181" fontId="4" fillId="0" borderId="16" xfId="0" applyNumberFormat="1" applyFont="1" applyFill="1" applyBorder="1" applyAlignment="1">
      <alignment horizontal="center" vertical="center" shrinkToFit="1"/>
    </xf>
    <xf numFmtId="178" fontId="4" fillId="3" borderId="16" xfId="0" applyNumberFormat="1" applyFont="1" applyFill="1" applyBorder="1" applyAlignment="1">
      <alignment vertical="center" shrinkToFit="1"/>
    </xf>
    <xf numFmtId="1" fontId="4" fillId="0" borderId="16" xfId="0" applyNumberFormat="1" applyFont="1" applyBorder="1" applyAlignment="1">
      <alignment vertical="center" shrinkToFit="1"/>
    </xf>
    <xf numFmtId="1" fontId="4" fillId="2" borderId="16" xfId="0" applyNumberFormat="1" applyFont="1" applyFill="1" applyBorder="1" applyAlignment="1">
      <alignment vertical="center" shrinkToFit="1"/>
    </xf>
    <xf numFmtId="177" fontId="4" fillId="0" borderId="18" xfId="0" applyNumberFormat="1" applyFont="1" applyBorder="1" applyAlignment="1">
      <alignment horizontal="center" vertical="center" shrinkToFit="1"/>
    </xf>
    <xf numFmtId="177" fontId="4" fillId="0" borderId="22" xfId="0" applyNumberFormat="1" applyFont="1" applyBorder="1" applyAlignment="1">
      <alignment horizontal="center" vertical="center" shrinkToFit="1"/>
    </xf>
    <xf numFmtId="0" fontId="4" fillId="0" borderId="32" xfId="0" applyNumberFormat="1" applyFont="1" applyBorder="1" applyAlignment="1">
      <alignment horizontal="center" vertical="center" shrinkToFit="1"/>
    </xf>
    <xf numFmtId="178" fontId="4" fillId="3" borderId="32" xfId="0" applyNumberFormat="1" applyFont="1" applyFill="1" applyBorder="1" applyAlignment="1">
      <alignment vertical="center" shrinkToFit="1"/>
    </xf>
    <xf numFmtId="178" fontId="4" fillId="0" borderId="32" xfId="0" applyNumberFormat="1" applyFont="1" applyBorder="1" applyAlignment="1">
      <alignment vertical="center" shrinkToFit="1"/>
    </xf>
    <xf numFmtId="181" fontId="4" fillId="0" borderId="32" xfId="0" applyNumberFormat="1" applyFont="1" applyBorder="1" applyAlignment="1">
      <alignment horizontal="center" vertical="center" shrinkToFit="1"/>
    </xf>
    <xf numFmtId="181" fontId="4" fillId="2" borderId="32" xfId="0" applyNumberFormat="1" applyFont="1" applyFill="1" applyBorder="1" applyAlignment="1">
      <alignment horizontal="center" vertical="center" shrinkToFit="1"/>
    </xf>
    <xf numFmtId="1" fontId="4" fillId="0" borderId="32" xfId="0" applyNumberFormat="1" applyFont="1" applyBorder="1" applyAlignment="1">
      <alignment vertical="center" shrinkToFit="1"/>
    </xf>
    <xf numFmtId="1" fontId="4" fillId="2" borderId="32" xfId="0" applyNumberFormat="1" applyFont="1" applyFill="1" applyBorder="1" applyAlignment="1">
      <alignment vertical="center" shrinkToFit="1"/>
    </xf>
    <xf numFmtId="177" fontId="4" fillId="0" borderId="33" xfId="0" applyNumberFormat="1" applyFont="1" applyBorder="1" applyAlignment="1">
      <alignment horizontal="center" vertical="center" shrinkToFit="1"/>
    </xf>
    <xf numFmtId="0" fontId="4" fillId="0" borderId="29" xfId="0" applyNumberFormat="1" applyFont="1" applyBorder="1" applyAlignment="1">
      <alignment horizontal="center" vertical="center" shrinkToFit="1"/>
    </xf>
    <xf numFmtId="0" fontId="4" fillId="0" borderId="28" xfId="0" applyNumberFormat="1" applyFont="1" applyBorder="1" applyAlignment="1">
      <alignment horizontal="center" vertical="center" shrinkToFit="1"/>
    </xf>
    <xf numFmtId="0" fontId="4" fillId="0" borderId="28" xfId="0" applyNumberFormat="1" applyFont="1" applyBorder="1" applyAlignment="1">
      <alignment vertical="center" shrinkToFit="1"/>
    </xf>
    <xf numFmtId="0" fontId="4" fillId="0" borderId="34" xfId="0" applyNumberFormat="1" applyFont="1" applyBorder="1" applyAlignment="1">
      <alignment horizontal="center" vertical="center" shrinkToFit="1"/>
    </xf>
    <xf numFmtId="179" fontId="4" fillId="0" borderId="28" xfId="0" applyNumberFormat="1" applyFont="1" applyBorder="1" applyAlignment="1">
      <alignment vertical="center" shrinkToFit="1"/>
    </xf>
    <xf numFmtId="181" fontId="4" fillId="0" borderId="29" xfId="0" applyNumberFormat="1" applyFont="1" applyBorder="1" applyAlignment="1">
      <alignment horizontal="center" vertical="center" shrinkToFit="1"/>
    </xf>
    <xf numFmtId="181" fontId="4" fillId="0" borderId="28" xfId="0" applyNumberFormat="1" applyFont="1" applyBorder="1" applyAlignment="1">
      <alignment horizontal="center" vertical="center" shrinkToFit="1"/>
    </xf>
    <xf numFmtId="181" fontId="4" fillId="0" borderId="28" xfId="0" quotePrefix="1" applyNumberFormat="1" applyFont="1" applyBorder="1" applyAlignment="1">
      <alignment horizontal="center" vertical="center" shrinkToFit="1"/>
    </xf>
    <xf numFmtId="181" fontId="4" fillId="0" borderId="34" xfId="0" quotePrefix="1" applyNumberFormat="1" applyFont="1" applyBorder="1" applyAlignment="1">
      <alignment horizontal="center" vertical="center" shrinkToFit="1"/>
    </xf>
    <xf numFmtId="178" fontId="4" fillId="0" borderId="29" xfId="0" quotePrefix="1" applyNumberFormat="1" applyFont="1" applyFill="1" applyBorder="1" applyAlignment="1">
      <alignment horizontal="center" vertical="center" shrinkToFit="1"/>
    </xf>
    <xf numFmtId="178" fontId="4" fillId="0" borderId="28" xfId="0" quotePrefix="1" applyNumberFormat="1" applyFont="1" applyFill="1" applyBorder="1" applyAlignment="1">
      <alignment horizontal="center" vertical="center" shrinkToFit="1"/>
    </xf>
    <xf numFmtId="178" fontId="4" fillId="0" borderId="28" xfId="0" applyNumberFormat="1" applyFont="1" applyFill="1" applyBorder="1" applyAlignment="1">
      <alignment vertical="center" shrinkToFit="1"/>
    </xf>
    <xf numFmtId="178" fontId="4" fillId="0" borderId="28" xfId="0" applyNumberFormat="1" applyFont="1" applyBorder="1" applyAlignment="1">
      <alignment vertical="center" shrinkToFit="1"/>
    </xf>
    <xf numFmtId="0" fontId="4" fillId="0" borderId="28" xfId="0" applyNumberFormat="1" applyFont="1" applyBorder="1" applyAlignment="1">
      <alignment horizontal="center" vertical="center"/>
    </xf>
    <xf numFmtId="1" fontId="4" fillId="0" borderId="29" xfId="0" applyNumberFormat="1" applyFont="1" applyBorder="1" applyAlignment="1">
      <alignment vertical="center" shrinkToFit="1"/>
    </xf>
    <xf numFmtId="1" fontId="4" fillId="0" borderId="28" xfId="0" applyNumberFormat="1" applyFont="1" applyBorder="1" applyAlignment="1">
      <alignment vertical="center" shrinkToFit="1"/>
    </xf>
    <xf numFmtId="1" fontId="4" fillId="0" borderId="34" xfId="0" applyNumberFormat="1" applyFont="1" applyBorder="1" applyAlignment="1">
      <alignment vertical="center" shrinkToFit="1"/>
    </xf>
    <xf numFmtId="0" fontId="4" fillId="0" borderId="35" xfId="0" applyNumberFormat="1" applyFont="1" applyBorder="1" applyAlignment="1">
      <alignment vertical="center" wrapText="1"/>
    </xf>
    <xf numFmtId="176" fontId="4" fillId="0" borderId="23"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36" xfId="0" applyNumberFormat="1" applyFont="1" applyBorder="1" applyAlignment="1">
      <alignment horizontal="center" vertical="center"/>
    </xf>
    <xf numFmtId="178" fontId="4" fillId="0" borderId="18" xfId="0" applyNumberFormat="1" applyFont="1" applyBorder="1" applyAlignment="1">
      <alignment horizontal="center" vertical="center" shrinkToFit="1"/>
    </xf>
    <xf numFmtId="178" fontId="4" fillId="0" borderId="22" xfId="0" applyNumberFormat="1" applyFont="1" applyBorder="1" applyAlignment="1">
      <alignment horizontal="center" vertical="center" shrinkToFit="1"/>
    </xf>
    <xf numFmtId="178" fontId="4" fillId="0" borderId="33" xfId="0" applyNumberFormat="1" applyFont="1" applyBorder="1" applyAlignment="1">
      <alignment vertical="center" shrinkToFit="1"/>
    </xf>
    <xf numFmtId="178" fontId="4" fillId="0" borderId="33" xfId="0" applyNumberFormat="1" applyFont="1" applyBorder="1" applyAlignment="1">
      <alignment horizontal="center" vertical="center" shrinkToFit="1"/>
    </xf>
    <xf numFmtId="178" fontId="4" fillId="0" borderId="18" xfId="0" applyNumberFormat="1" applyFont="1" applyBorder="1" applyAlignment="1">
      <alignment vertical="center" shrinkToFit="1"/>
    </xf>
    <xf numFmtId="176" fontId="4" fillId="0" borderId="5" xfId="0" applyNumberFormat="1" applyFont="1" applyFill="1" applyBorder="1" applyAlignment="1">
      <alignment horizontal="center" vertical="center" wrapText="1" shrinkToFit="1"/>
    </xf>
    <xf numFmtId="0" fontId="4" fillId="0" borderId="28" xfId="0" applyFont="1" applyBorder="1" applyAlignment="1">
      <alignment horizontal="center" vertical="center"/>
    </xf>
    <xf numFmtId="178" fontId="4" fillId="3" borderId="32" xfId="0" applyNumberFormat="1" applyFont="1" applyFill="1" applyBorder="1" applyAlignment="1">
      <alignment horizontal="center" vertical="center" shrinkToFit="1"/>
    </xf>
    <xf numFmtId="179" fontId="4" fillId="0" borderId="28" xfId="0" applyNumberFormat="1" applyFont="1" applyBorder="1" applyAlignment="1">
      <alignment horizontal="center" vertical="center" shrinkToFit="1"/>
    </xf>
    <xf numFmtId="179" fontId="4" fillId="0" borderId="20" xfId="0" applyNumberFormat="1" applyFont="1" applyBorder="1" applyAlignment="1">
      <alignment horizontal="center" vertical="center" shrinkToFit="1"/>
    </xf>
    <xf numFmtId="179" fontId="4" fillId="0" borderId="34" xfId="0" applyNumberFormat="1" applyFont="1" applyBorder="1" applyAlignment="1">
      <alignment horizontal="center" vertical="center" shrinkToFit="1"/>
    </xf>
    <xf numFmtId="179" fontId="4" fillId="0" borderId="32" xfId="0" applyNumberFormat="1" applyFont="1" applyBorder="1" applyAlignment="1">
      <alignment horizontal="center" vertical="center" shrinkToFit="1"/>
    </xf>
    <xf numFmtId="0" fontId="4" fillId="0" borderId="20" xfId="0" applyFont="1" applyBorder="1" applyAlignment="1">
      <alignment horizontal="center" vertical="center" shrinkToFit="1"/>
    </xf>
    <xf numFmtId="0" fontId="4" fillId="0" borderId="20" xfId="0" applyFont="1" applyFill="1" applyBorder="1" applyAlignment="1">
      <alignment horizontal="center" vertical="center" shrinkToFit="1"/>
    </xf>
    <xf numFmtId="0" fontId="4" fillId="0" borderId="22" xfId="0" applyFont="1" applyFill="1" applyBorder="1" applyAlignment="1">
      <alignment horizontal="center" vertical="center" shrinkToFit="1"/>
    </xf>
    <xf numFmtId="0" fontId="4" fillId="0" borderId="20" xfId="0" applyFont="1" applyBorder="1" applyAlignment="1">
      <alignment vertical="center" shrinkToFit="1"/>
    </xf>
    <xf numFmtId="0" fontId="4" fillId="0" borderId="20" xfId="0" applyFont="1" applyFill="1" applyBorder="1" applyAlignment="1">
      <alignment vertical="center" shrinkToFit="1"/>
    </xf>
    <xf numFmtId="0" fontId="4" fillId="0" borderId="22" xfId="0" applyFont="1" applyFill="1" applyBorder="1" applyAlignment="1">
      <alignment vertical="center" shrinkToFit="1"/>
    </xf>
    <xf numFmtId="0" fontId="4" fillId="0" borderId="20" xfId="0" applyNumberFormat="1" applyFont="1" applyFill="1" applyBorder="1" applyAlignment="1">
      <alignment vertical="center" shrinkToFit="1"/>
    </xf>
    <xf numFmtId="0" fontId="4" fillId="0" borderId="22" xfId="0" applyNumberFormat="1" applyFont="1" applyFill="1" applyBorder="1" applyAlignment="1">
      <alignment vertical="center" shrinkToFit="1"/>
    </xf>
    <xf numFmtId="0" fontId="4" fillId="0" borderId="19" xfId="0" applyNumberFormat="1" applyFont="1" applyBorder="1" applyAlignment="1">
      <alignment vertical="center" shrinkToFit="1"/>
    </xf>
    <xf numFmtId="0" fontId="4" fillId="0" borderId="22" xfId="0" applyNumberFormat="1" applyFont="1" applyBorder="1" applyAlignment="1">
      <alignment vertical="center" shrinkToFit="1"/>
    </xf>
    <xf numFmtId="0" fontId="4" fillId="0" borderId="22" xfId="0" applyNumberFormat="1" applyFont="1" applyBorder="1" applyAlignment="1">
      <alignment horizontal="center" vertical="center" shrinkToFit="1"/>
    </xf>
    <xf numFmtId="1" fontId="4" fillId="0" borderId="37" xfId="0" applyNumberFormat="1" applyFont="1" applyBorder="1" applyAlignment="1">
      <alignment vertical="center" shrinkToFit="1"/>
    </xf>
    <xf numFmtId="0" fontId="4" fillId="0" borderId="37" xfId="0" applyNumberFormat="1" applyFont="1" applyBorder="1" applyAlignment="1">
      <alignment vertical="center"/>
    </xf>
    <xf numFmtId="0" fontId="4" fillId="0" borderId="19" xfId="0" applyNumberFormat="1" applyFont="1" applyBorder="1" applyAlignment="1">
      <alignment horizontal="center" vertical="center" shrinkToFit="1"/>
    </xf>
    <xf numFmtId="0" fontId="4" fillId="0" borderId="38" xfId="0" applyNumberFormat="1" applyFont="1" applyBorder="1" applyAlignment="1">
      <alignment vertical="center"/>
    </xf>
    <xf numFmtId="0" fontId="4" fillId="0" borderId="38" xfId="0" applyNumberFormat="1" applyFont="1" applyBorder="1" applyAlignment="1">
      <alignment horizontal="center" vertical="center"/>
    </xf>
    <xf numFmtId="183" fontId="4" fillId="3" borderId="26" xfId="0" applyNumberFormat="1" applyFont="1" applyFill="1" applyBorder="1" applyAlignment="1">
      <alignment vertical="center"/>
    </xf>
    <xf numFmtId="182" fontId="4" fillId="3" borderId="27" xfId="0" applyNumberFormat="1" applyFont="1" applyFill="1" applyBorder="1" applyAlignment="1">
      <alignment vertical="center"/>
    </xf>
    <xf numFmtId="182" fontId="4" fillId="3" borderId="30" xfId="0" applyNumberFormat="1" applyFont="1" applyFill="1" applyBorder="1" applyAlignment="1">
      <alignment vertical="center"/>
    </xf>
    <xf numFmtId="182" fontId="4" fillId="3" borderId="31" xfId="0" applyNumberFormat="1" applyFont="1" applyFill="1" applyBorder="1" applyAlignment="1">
      <alignment vertical="center"/>
    </xf>
    <xf numFmtId="178" fontId="4" fillId="0" borderId="9" xfId="0" applyNumberFormat="1"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7" fillId="0" borderId="9" xfId="0" applyNumberFormat="1" applyFont="1" applyBorder="1" applyAlignment="1">
      <alignment vertical="center"/>
    </xf>
  </cellXfs>
  <cellStyles count="2">
    <cellStyle name="ハイパーリンク" xfId="1" builtinId="8"/>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900" b="1" i="0" u="none" strike="noStrike" baseline="0">
                <a:solidFill>
                  <a:srgbClr val="000000"/>
                </a:solidFill>
                <a:latin typeface="標準ゴシック"/>
                <a:ea typeface="標準ゴシック"/>
              </a:rPr>
              <a:t>空間γ線線量率の推移(ＭＳ､ＮａＩ線量計)</a:t>
            </a:r>
          </a:p>
        </c:rich>
      </c:tx>
      <c:overlay val="0"/>
      <c:spPr>
        <a:noFill/>
        <a:ln w="25400">
          <a:noFill/>
        </a:ln>
      </c:spPr>
    </c:title>
    <c:autoTitleDeleted val="0"/>
    <c:plotArea>
      <c:layout/>
      <c:lineChart>
        <c:grouping val="standard"/>
        <c:varyColors val="0"/>
        <c:ser>
          <c:idx val="1"/>
          <c:order val="0"/>
          <c:tx>
            <c:strRef>
              <c:f>女発放廃!#REF!</c:f>
              <c:strCache>
                <c:ptCount val="1"/>
                <c:pt idx="0">
                  <c:v>#REF!</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numRef>
              <c:f>女発放廃!#REF!</c:f>
              <c:numCache>
                <c:formatCode>General</c:formatCode>
                <c:ptCount val="1"/>
                <c:pt idx="0">
                  <c:v>1</c:v>
                </c:pt>
              </c:numCache>
            </c:numRef>
          </c:cat>
          <c:val>
            <c:numRef>
              <c:f>女発放廃!#REF!</c:f>
              <c:numCache>
                <c:formatCode>General</c:formatCode>
                <c:ptCount val="1"/>
                <c:pt idx="0">
                  <c:v>1</c:v>
                </c:pt>
              </c:numCache>
            </c:numRef>
          </c:val>
          <c:smooth val="0"/>
        </c:ser>
        <c:ser>
          <c:idx val="2"/>
          <c:order val="1"/>
          <c:tx>
            <c:strRef>
              <c:f>女発放廃!#REF!</c:f>
              <c:strCache>
                <c:ptCount val="1"/>
                <c:pt idx="0">
                  <c:v>#REF!</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numRef>
              <c:f>女発放廃!#REF!</c:f>
              <c:numCache>
                <c:formatCode>General</c:formatCode>
                <c:ptCount val="1"/>
                <c:pt idx="0">
                  <c:v>1</c:v>
                </c:pt>
              </c:numCache>
            </c:numRef>
          </c:cat>
          <c:val>
            <c:numRef>
              <c:f>女発放廃!#REF!</c:f>
              <c:numCache>
                <c:formatCode>General</c:formatCode>
                <c:ptCount val="1"/>
                <c:pt idx="0">
                  <c:v>1</c:v>
                </c:pt>
              </c:numCache>
            </c:numRef>
          </c:val>
          <c:smooth val="0"/>
        </c:ser>
        <c:ser>
          <c:idx val="3"/>
          <c:order val="2"/>
          <c:tx>
            <c:strRef>
              <c:f>女発放廃!#REF!</c:f>
              <c:strCache>
                <c:ptCount val="1"/>
                <c:pt idx="0">
                  <c:v>#REF!</c:v>
                </c:pt>
              </c:strCache>
            </c:strRef>
          </c:tx>
          <c:spPr>
            <a:ln w="12700">
              <a:solidFill>
                <a:srgbClr val="008000"/>
              </a:solidFill>
              <a:prstDash val="solid"/>
            </a:ln>
          </c:spPr>
          <c:marker>
            <c:symbol val="triangle"/>
            <c:size val="5"/>
            <c:spPr>
              <a:solidFill>
                <a:srgbClr val="008000"/>
              </a:solidFill>
              <a:ln>
                <a:solidFill>
                  <a:srgbClr val="008000"/>
                </a:solidFill>
                <a:prstDash val="solid"/>
              </a:ln>
            </c:spPr>
          </c:marker>
          <c:cat>
            <c:numRef>
              <c:f>女発放廃!#REF!</c:f>
              <c:numCache>
                <c:formatCode>General</c:formatCode>
                <c:ptCount val="1"/>
                <c:pt idx="0">
                  <c:v>1</c:v>
                </c:pt>
              </c:numCache>
            </c:numRef>
          </c:cat>
          <c:val>
            <c:numRef>
              <c:f>女発放廃!#REF!</c:f>
              <c:numCache>
                <c:formatCode>General</c:formatCode>
                <c:ptCount val="1"/>
                <c:pt idx="0">
                  <c:v>1</c:v>
                </c:pt>
              </c:numCache>
            </c:numRef>
          </c:val>
          <c:smooth val="0"/>
        </c:ser>
        <c:ser>
          <c:idx val="4"/>
          <c:order val="3"/>
          <c:tx>
            <c:strRef>
              <c:f>女発放廃!#REF!</c:f>
              <c:strCache>
                <c:ptCount val="1"/>
                <c:pt idx="0">
                  <c:v>#REF!</c:v>
                </c:pt>
              </c:strCache>
            </c:strRef>
          </c:tx>
          <c:spPr>
            <a:ln w="12700">
              <a:solidFill>
                <a:srgbClr val="FF0000"/>
              </a:solidFill>
              <a:prstDash val="solid"/>
            </a:ln>
          </c:spPr>
          <c:marker>
            <c:symbol val="x"/>
            <c:size val="5"/>
            <c:spPr>
              <a:noFill/>
              <a:ln>
                <a:solidFill>
                  <a:srgbClr val="FF0000"/>
                </a:solidFill>
                <a:prstDash val="solid"/>
              </a:ln>
            </c:spPr>
          </c:marker>
          <c:cat>
            <c:numRef>
              <c:f>女発放廃!#REF!</c:f>
              <c:numCache>
                <c:formatCode>General</c:formatCode>
                <c:ptCount val="1"/>
                <c:pt idx="0">
                  <c:v>1</c:v>
                </c:pt>
              </c:numCache>
            </c:numRef>
          </c:cat>
          <c:val>
            <c:numRef>
              <c:f>女発放廃!#REF!</c:f>
              <c:numCache>
                <c:formatCode>General</c:formatCode>
                <c:ptCount val="1"/>
                <c:pt idx="0">
                  <c:v>1</c:v>
                </c:pt>
              </c:numCache>
            </c:numRef>
          </c:val>
          <c:smooth val="0"/>
        </c:ser>
        <c:ser>
          <c:idx val="0"/>
          <c:order val="4"/>
          <c:tx>
            <c:strRef>
              <c:f>女発放廃!#REF!</c:f>
              <c:strCache>
                <c:ptCount val="1"/>
                <c:pt idx="0">
                  <c:v>#REF!</c:v>
                </c:pt>
              </c:strCache>
            </c:strRef>
          </c:tx>
          <c:spPr>
            <a:ln w="38100">
              <a:pattFill prst="pct50">
                <a:fgClr>
                  <a:srgbClr val="800080"/>
                </a:fgClr>
                <a:bgClr>
                  <a:srgbClr val="FFFFFF"/>
                </a:bgClr>
              </a:pattFill>
              <a:prstDash val="solid"/>
            </a:ln>
          </c:spPr>
          <c:marker>
            <c:symbol val="none"/>
          </c:marker>
          <c:cat>
            <c:numRef>
              <c:f>女発放廃!#REF!</c:f>
              <c:numCache>
                <c:formatCode>General</c:formatCode>
                <c:ptCount val="1"/>
                <c:pt idx="0">
                  <c:v>1</c:v>
                </c:pt>
              </c:numCache>
            </c:numRef>
          </c:cat>
          <c:val>
            <c:numRef>
              <c:f>女発放廃!#REF!</c:f>
              <c:numCache>
                <c:formatCode>General</c:formatCode>
                <c:ptCount val="1"/>
                <c:pt idx="0">
                  <c:v>1</c:v>
                </c:pt>
              </c:numCache>
            </c:numRef>
          </c:val>
          <c:smooth val="0"/>
        </c:ser>
        <c:ser>
          <c:idx val="5"/>
          <c:order val="5"/>
          <c:tx>
            <c:strRef>
              <c:f>女発放廃!#REF!</c:f>
              <c:strCache>
                <c:ptCount val="1"/>
                <c:pt idx="0">
                  <c:v>#REF!</c:v>
                </c:pt>
              </c:strCache>
            </c:strRef>
          </c:tx>
          <c:spPr>
            <a:ln w="12700">
              <a:solidFill>
                <a:srgbClr val="800000"/>
              </a:solidFill>
              <a:prstDash val="solid"/>
            </a:ln>
          </c:spPr>
          <c:marker>
            <c:symbol val="circle"/>
            <c:size val="5"/>
            <c:spPr>
              <a:solidFill>
                <a:srgbClr val="800000"/>
              </a:solidFill>
              <a:ln>
                <a:solidFill>
                  <a:srgbClr val="800000"/>
                </a:solidFill>
                <a:prstDash val="solid"/>
              </a:ln>
            </c:spPr>
          </c:marker>
          <c:cat>
            <c:numRef>
              <c:f>女発放廃!#REF!</c:f>
              <c:numCache>
                <c:formatCode>General</c:formatCode>
                <c:ptCount val="1"/>
                <c:pt idx="0">
                  <c:v>1</c:v>
                </c:pt>
              </c:numCache>
            </c:numRef>
          </c:cat>
          <c:val>
            <c:numRef>
              <c:f>女発放廃!#REF!</c:f>
              <c:numCache>
                <c:formatCode>General</c:formatCode>
                <c:ptCount val="1"/>
                <c:pt idx="0">
                  <c:v>1</c:v>
                </c:pt>
              </c:numCache>
            </c:numRef>
          </c:val>
          <c:smooth val="0"/>
        </c:ser>
        <c:ser>
          <c:idx val="6"/>
          <c:order val="6"/>
          <c:tx>
            <c:strRef>
              <c:f>女発放廃!#REF!</c:f>
              <c:strCache>
                <c:ptCount val="1"/>
                <c:pt idx="0">
                  <c:v>#REF!</c:v>
                </c:pt>
              </c:strCache>
            </c:strRef>
          </c:tx>
          <c:spPr>
            <a:ln w="12700">
              <a:solidFill>
                <a:srgbClr val="008080"/>
              </a:solidFill>
              <a:prstDash val="solid"/>
            </a:ln>
          </c:spPr>
          <c:marker>
            <c:symbol val="plus"/>
            <c:size val="5"/>
            <c:spPr>
              <a:noFill/>
              <a:ln>
                <a:solidFill>
                  <a:srgbClr val="008080"/>
                </a:solidFill>
                <a:prstDash val="solid"/>
              </a:ln>
            </c:spPr>
          </c:marker>
          <c:cat>
            <c:numRef>
              <c:f>女発放廃!#REF!</c:f>
              <c:numCache>
                <c:formatCode>General</c:formatCode>
                <c:ptCount val="1"/>
                <c:pt idx="0">
                  <c:v>1</c:v>
                </c:pt>
              </c:numCache>
            </c:numRef>
          </c:cat>
          <c:val>
            <c:numRef>
              <c:f>女発放廃!#REF!</c:f>
              <c:numCache>
                <c:formatCode>General</c:formatCode>
                <c:ptCount val="1"/>
                <c:pt idx="0">
                  <c:v>1</c:v>
                </c:pt>
              </c:numCache>
            </c:numRef>
          </c:val>
          <c:smooth val="0"/>
        </c:ser>
        <c:ser>
          <c:idx val="7"/>
          <c:order val="7"/>
          <c:tx>
            <c:strRef>
              <c:f>女発放廃!#REF!</c:f>
              <c:strCache>
                <c:ptCount val="1"/>
                <c:pt idx="0">
                  <c:v>#REF!</c:v>
                </c:pt>
              </c:strCache>
            </c:strRef>
          </c:tx>
          <c:spPr>
            <a:ln w="12700">
              <a:solidFill>
                <a:srgbClr val="0000FF"/>
              </a:solidFill>
              <a:prstDash val="solid"/>
            </a:ln>
          </c:spPr>
          <c:marker>
            <c:symbol val="dot"/>
            <c:size val="5"/>
            <c:spPr>
              <a:noFill/>
              <a:ln>
                <a:solidFill>
                  <a:srgbClr val="0000FF"/>
                </a:solidFill>
                <a:prstDash val="solid"/>
              </a:ln>
            </c:spPr>
          </c:marker>
          <c:cat>
            <c:numRef>
              <c:f>女発放廃!#REF!</c:f>
              <c:numCache>
                <c:formatCode>General</c:formatCode>
                <c:ptCount val="1"/>
                <c:pt idx="0">
                  <c:v>1</c:v>
                </c:pt>
              </c:numCache>
            </c:numRef>
          </c:cat>
          <c:val>
            <c:numRef>
              <c:f>女発放廃!#REF!</c:f>
              <c:numCache>
                <c:formatCode>General</c:formatCode>
                <c:ptCount val="1"/>
                <c:pt idx="0">
                  <c:v>1</c:v>
                </c:pt>
              </c:numCache>
            </c:numRef>
          </c:val>
          <c:smooth val="0"/>
        </c:ser>
        <c:ser>
          <c:idx val="8"/>
          <c:order val="8"/>
          <c:tx>
            <c:strRef>
              <c:f>女発放廃!#REF!</c:f>
              <c:strCache>
                <c:ptCount val="1"/>
                <c:pt idx="0">
                  <c:v>#REF!</c:v>
                </c:pt>
              </c:strCache>
            </c:strRef>
          </c:tx>
          <c:spPr>
            <a:ln w="12700">
              <a:solidFill>
                <a:srgbClr val="00CCFF"/>
              </a:solidFill>
              <a:prstDash val="solid"/>
            </a:ln>
          </c:spPr>
          <c:marker>
            <c:symbol val="dash"/>
            <c:size val="5"/>
            <c:spPr>
              <a:noFill/>
              <a:ln>
                <a:solidFill>
                  <a:srgbClr val="00CCFF"/>
                </a:solidFill>
                <a:prstDash val="solid"/>
              </a:ln>
            </c:spPr>
          </c:marker>
          <c:cat>
            <c:numRef>
              <c:f>女発放廃!#REF!</c:f>
              <c:numCache>
                <c:formatCode>General</c:formatCode>
                <c:ptCount val="1"/>
                <c:pt idx="0">
                  <c:v>1</c:v>
                </c:pt>
              </c:numCache>
            </c:numRef>
          </c:cat>
          <c:val>
            <c:numRef>
              <c:f>女発放廃!#REF!</c:f>
              <c:numCache>
                <c:formatCode>General</c:formatCode>
                <c:ptCount val="1"/>
                <c:pt idx="0">
                  <c:v>1</c:v>
                </c:pt>
              </c:numCache>
            </c:numRef>
          </c:val>
          <c:smooth val="0"/>
        </c:ser>
        <c:ser>
          <c:idx val="9"/>
          <c:order val="9"/>
          <c:tx>
            <c:strRef>
              <c:f>女発放廃!#REF!</c:f>
              <c:strCache>
                <c:ptCount val="1"/>
                <c:pt idx="0">
                  <c:v>#REF!</c:v>
                </c:pt>
              </c:strCache>
            </c:strRef>
          </c:tx>
          <c:spPr>
            <a:ln w="12700">
              <a:solidFill>
                <a:srgbClr val="69FFFF"/>
              </a:solidFill>
              <a:prstDash val="solid"/>
            </a:ln>
          </c:spPr>
          <c:marker>
            <c:symbol val="diamond"/>
            <c:size val="5"/>
            <c:spPr>
              <a:solidFill>
                <a:srgbClr val="69FFFF"/>
              </a:solidFill>
              <a:ln>
                <a:solidFill>
                  <a:srgbClr val="69FFFF"/>
                </a:solidFill>
                <a:prstDash val="solid"/>
              </a:ln>
            </c:spPr>
          </c:marker>
          <c:cat>
            <c:numRef>
              <c:f>女発放廃!#REF!</c:f>
              <c:numCache>
                <c:formatCode>General</c:formatCode>
                <c:ptCount val="1"/>
                <c:pt idx="0">
                  <c:v>1</c:v>
                </c:pt>
              </c:numCache>
            </c:numRef>
          </c:cat>
          <c:val>
            <c:numRef>
              <c:f>女発放廃!#REF!</c:f>
              <c:numCache>
                <c:formatCode>General</c:formatCode>
                <c:ptCount val="1"/>
                <c:pt idx="0">
                  <c:v>1</c:v>
                </c:pt>
              </c:numCache>
            </c:numRef>
          </c:val>
          <c:smooth val="0"/>
        </c:ser>
        <c:dLbls>
          <c:showLegendKey val="0"/>
          <c:showVal val="0"/>
          <c:showCatName val="0"/>
          <c:showSerName val="0"/>
          <c:showPercent val="0"/>
          <c:showBubbleSize val="0"/>
        </c:dLbls>
        <c:marker val="1"/>
        <c:smooth val="0"/>
        <c:axId val="246343552"/>
        <c:axId val="246395264"/>
      </c:lineChart>
      <c:catAx>
        <c:axId val="246343552"/>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明朝"/>
                <a:ea typeface="明朝"/>
                <a:cs typeface="明朝"/>
              </a:defRPr>
            </a:pPr>
            <a:endParaRPr lang="ja-JP"/>
          </a:p>
        </c:txPr>
        <c:crossAx val="246395264"/>
        <c:crosses val="autoZero"/>
        <c:auto val="0"/>
        <c:lblAlgn val="ctr"/>
        <c:lblOffset val="100"/>
        <c:tickLblSkip val="6"/>
        <c:tickMarkSkip val="2"/>
        <c:noMultiLvlLbl val="0"/>
      </c:catAx>
      <c:valAx>
        <c:axId val="246395264"/>
        <c:scaling>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25">
                <a:fgClr>
                  <a:srgbClr val="000000"/>
                </a:fgClr>
                <a:bgClr>
                  <a:srgbClr val="FFFFFF"/>
                </a:bgClr>
              </a:pattFill>
              <a:prstDash val="solid"/>
            </a:ln>
          </c:spPr>
        </c:minorGridlines>
        <c:title>
          <c:tx>
            <c:rich>
              <a:bodyPr rot="0" vert="horz"/>
              <a:lstStyle/>
              <a:p>
                <a:pPr algn="ctr">
                  <a:defRPr sz="800" b="0" i="0" u="none" strike="noStrike" baseline="0">
                    <a:solidFill>
                      <a:srgbClr val="000000"/>
                    </a:solidFill>
                    <a:latin typeface="明朝"/>
                    <a:ea typeface="明朝"/>
                    <a:cs typeface="明朝"/>
                  </a:defRPr>
                </a:pPr>
                <a:r>
                  <a:rPr altLang="en-US"/>
                  <a:t>nG/h</a:t>
                </a:r>
              </a:p>
            </c:rich>
          </c:tx>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明朝"/>
                <a:ea typeface="明朝"/>
                <a:cs typeface="明朝"/>
              </a:defRPr>
            </a:pPr>
            <a:endParaRPr lang="ja-JP"/>
          </a:p>
        </c:txPr>
        <c:crossAx val="246343552"/>
        <c:crosses val="autoZero"/>
        <c:crossBetween val="midCat"/>
      </c:valAx>
      <c:spPr>
        <a:solidFill>
          <a:srgbClr val="FFFFFF"/>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明朝"/>
              <a:ea typeface="明朝"/>
              <a:cs typeface="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oddHeader>&amp;A</c:oddHeader>
      <c:oddFooter>- &amp;P -</c:oddFooter>
    </c:headerFooter>
    <c:pageMargins b="1" l="0.75" r="0.75" t="1" header="0.5" footer="0.5"/>
    <c:pageSetup paperSize="9" orientation="landscape" horizontalDpi="180" verticalDpi="18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400" b="0" i="0" u="none" strike="noStrike" baseline="0">
                <a:solidFill>
                  <a:srgbClr val="000000"/>
                </a:solidFill>
                <a:latin typeface="Meiryo UI"/>
                <a:ea typeface="Meiryo UI"/>
              </a:rPr>
              <a:t>液体廃棄物(トリチウム)の</a:t>
            </a:r>
          </a:p>
          <a:p>
            <a:pPr>
              <a:defRPr sz="1100" b="0" i="0" u="none" strike="noStrike" baseline="0">
                <a:solidFill>
                  <a:srgbClr val="000000"/>
                </a:solidFill>
                <a:latin typeface="明朝"/>
                <a:ea typeface="明朝"/>
                <a:cs typeface="明朝"/>
              </a:defRPr>
            </a:pPr>
            <a:r>
              <a:rPr lang="ja-JP" altLang="en-US" sz="1400" b="0" i="0" u="none" strike="noStrike" baseline="0">
                <a:solidFill>
                  <a:srgbClr val="000000"/>
                </a:solidFill>
                <a:latin typeface="Meiryo UI"/>
                <a:ea typeface="Meiryo UI"/>
              </a:rPr>
              <a:t>四半期毎排出状況</a:t>
            </a:r>
            <a:endParaRPr lang="ja-JP" altLang="en-US" sz="1200" b="0" i="0" u="none" strike="noStrike" baseline="0">
              <a:solidFill>
                <a:srgbClr val="000000"/>
              </a:solidFill>
              <a:latin typeface="Meiryo UI"/>
              <a:ea typeface="Meiryo UI"/>
            </a:endParaRPr>
          </a:p>
          <a:p>
            <a:pPr>
              <a:defRPr sz="1100" b="0" i="0" u="none" strike="noStrike" baseline="0">
                <a:solidFill>
                  <a:srgbClr val="000000"/>
                </a:solidFill>
                <a:latin typeface="明朝"/>
                <a:ea typeface="明朝"/>
                <a:cs typeface="明朝"/>
              </a:defRPr>
            </a:pPr>
            <a:r>
              <a:rPr lang="ja-JP" altLang="en-US" sz="1200" b="0" i="0" u="none" strike="noStrike" baseline="0">
                <a:solidFill>
                  <a:srgbClr val="000000"/>
                </a:solidFill>
                <a:latin typeface="Meiryo UI"/>
                <a:ea typeface="Meiryo UI"/>
              </a:rPr>
              <a:t>(女川原発)</a:t>
            </a:r>
          </a:p>
        </c:rich>
      </c:tx>
      <c:layout>
        <c:manualLayout>
          <c:xMode val="edge"/>
          <c:yMode val="edge"/>
          <c:x val="0.20590714824614534"/>
          <c:y val="0.53333395090319591"/>
        </c:manualLayout>
      </c:layout>
      <c:overlay val="0"/>
      <c:spPr>
        <a:solidFill>
          <a:srgbClr val="FFFFFF"/>
        </a:solidFill>
        <a:ln w="25400">
          <a:noFill/>
        </a:ln>
      </c:spPr>
    </c:title>
    <c:autoTitleDeleted val="0"/>
    <c:plotArea>
      <c:layout>
        <c:manualLayout>
          <c:layoutTarget val="inner"/>
          <c:xMode val="edge"/>
          <c:yMode val="edge"/>
          <c:x val="5.378977386232766E-2"/>
          <c:y val="4.7058891111688754E-2"/>
          <c:w val="0.93887605286971909"/>
          <c:h val="0.77647170334286442"/>
        </c:manualLayout>
      </c:layout>
      <c:lineChart>
        <c:grouping val="standard"/>
        <c:varyColors val="0"/>
        <c:ser>
          <c:idx val="1"/>
          <c:order val="0"/>
          <c:tx>
            <c:strRef>
              <c:f>女発放廃!$M$213</c:f>
              <c:strCache>
                <c:ptCount val="1"/>
                <c:pt idx="0">
                  <c:v>１号機</c:v>
                </c:pt>
              </c:strCache>
            </c:strRef>
          </c:tx>
          <c:spPr>
            <a:ln w="12700">
              <a:solidFill>
                <a:srgbClr val="0000FF"/>
              </a:solidFill>
              <a:prstDash val="solid"/>
            </a:ln>
          </c:spPr>
          <c:marker>
            <c:symbol val="circle"/>
            <c:size val="8"/>
            <c:spPr>
              <a:solidFill>
                <a:schemeClr val="bg1"/>
              </a:solidFill>
              <a:ln>
                <a:solidFill>
                  <a:srgbClr val="000080"/>
                </a:solidFill>
                <a:prstDash val="solid"/>
              </a:ln>
            </c:spPr>
          </c:marker>
          <c:cat>
            <c:multiLvlStrRef>
              <c:f>女発放廃!$A$214:$B$365</c:f>
              <c:multiLvlStrCache>
                <c:ptCount val="15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pt idx="24">
                    <c:v>1</c:v>
                  </c:pt>
                  <c:pt idx="25">
                    <c:v>2</c:v>
                  </c:pt>
                  <c:pt idx="26">
                    <c:v>3</c:v>
                  </c:pt>
                  <c:pt idx="27">
                    <c:v>4</c:v>
                  </c:pt>
                  <c:pt idx="28">
                    <c:v>1</c:v>
                  </c:pt>
                  <c:pt idx="29">
                    <c:v>2</c:v>
                  </c:pt>
                  <c:pt idx="30">
                    <c:v>3</c:v>
                  </c:pt>
                  <c:pt idx="31">
                    <c:v>4</c:v>
                  </c:pt>
                  <c:pt idx="32">
                    <c:v>1</c:v>
                  </c:pt>
                  <c:pt idx="33">
                    <c:v>2</c:v>
                  </c:pt>
                  <c:pt idx="34">
                    <c:v>3</c:v>
                  </c:pt>
                  <c:pt idx="35">
                    <c:v>4</c:v>
                  </c:pt>
                  <c:pt idx="36">
                    <c:v>1</c:v>
                  </c:pt>
                  <c:pt idx="37">
                    <c:v>2</c:v>
                  </c:pt>
                  <c:pt idx="38">
                    <c:v>3</c:v>
                  </c:pt>
                  <c:pt idx="39">
                    <c:v>4</c:v>
                  </c:pt>
                  <c:pt idx="40">
                    <c:v>1</c:v>
                  </c:pt>
                  <c:pt idx="41">
                    <c:v>2</c:v>
                  </c:pt>
                  <c:pt idx="42">
                    <c:v>3</c:v>
                  </c:pt>
                  <c:pt idx="43">
                    <c:v>4</c:v>
                  </c:pt>
                  <c:pt idx="44">
                    <c:v>1</c:v>
                  </c:pt>
                  <c:pt idx="45">
                    <c:v>2</c:v>
                  </c:pt>
                  <c:pt idx="46">
                    <c:v>3</c:v>
                  </c:pt>
                  <c:pt idx="47">
                    <c:v>4</c:v>
                  </c:pt>
                  <c:pt idx="48">
                    <c:v>1</c:v>
                  </c:pt>
                  <c:pt idx="49">
                    <c:v>2</c:v>
                  </c:pt>
                  <c:pt idx="50">
                    <c:v>3</c:v>
                  </c:pt>
                  <c:pt idx="51">
                    <c:v>4</c:v>
                  </c:pt>
                  <c:pt idx="52">
                    <c:v>1</c:v>
                  </c:pt>
                  <c:pt idx="53">
                    <c:v>2</c:v>
                  </c:pt>
                  <c:pt idx="54">
                    <c:v>3</c:v>
                  </c:pt>
                  <c:pt idx="55">
                    <c:v>4</c:v>
                  </c:pt>
                  <c:pt idx="56">
                    <c:v>1</c:v>
                  </c:pt>
                  <c:pt idx="57">
                    <c:v>2</c:v>
                  </c:pt>
                  <c:pt idx="58">
                    <c:v>3</c:v>
                  </c:pt>
                  <c:pt idx="59">
                    <c:v>4</c:v>
                  </c:pt>
                  <c:pt idx="60">
                    <c:v>1</c:v>
                  </c:pt>
                  <c:pt idx="61">
                    <c:v>2</c:v>
                  </c:pt>
                  <c:pt idx="62">
                    <c:v>3</c:v>
                  </c:pt>
                  <c:pt idx="63">
                    <c:v>4</c:v>
                  </c:pt>
                  <c:pt idx="64">
                    <c:v>1</c:v>
                  </c:pt>
                  <c:pt idx="65">
                    <c:v>2</c:v>
                  </c:pt>
                  <c:pt idx="66">
                    <c:v>3</c:v>
                  </c:pt>
                  <c:pt idx="67">
                    <c:v>4</c:v>
                  </c:pt>
                  <c:pt idx="68">
                    <c:v>1</c:v>
                  </c:pt>
                  <c:pt idx="69">
                    <c:v>2</c:v>
                  </c:pt>
                  <c:pt idx="70">
                    <c:v>3</c:v>
                  </c:pt>
                  <c:pt idx="71">
                    <c:v>4</c:v>
                  </c:pt>
                  <c:pt idx="72">
                    <c:v>1</c:v>
                  </c:pt>
                  <c:pt idx="73">
                    <c:v>2</c:v>
                  </c:pt>
                  <c:pt idx="74">
                    <c:v>3</c:v>
                  </c:pt>
                  <c:pt idx="75">
                    <c:v>4</c:v>
                  </c:pt>
                  <c:pt idx="76">
                    <c:v>1</c:v>
                  </c:pt>
                  <c:pt idx="77">
                    <c:v>2</c:v>
                  </c:pt>
                  <c:pt idx="78">
                    <c:v>3</c:v>
                  </c:pt>
                  <c:pt idx="79">
                    <c:v>4</c:v>
                  </c:pt>
                  <c:pt idx="80">
                    <c:v>1</c:v>
                  </c:pt>
                  <c:pt idx="81">
                    <c:v>2</c:v>
                  </c:pt>
                  <c:pt idx="82">
                    <c:v>3</c:v>
                  </c:pt>
                  <c:pt idx="83">
                    <c:v>4</c:v>
                  </c:pt>
                  <c:pt idx="84">
                    <c:v>1</c:v>
                  </c:pt>
                  <c:pt idx="85">
                    <c:v>2</c:v>
                  </c:pt>
                  <c:pt idx="86">
                    <c:v>3</c:v>
                  </c:pt>
                  <c:pt idx="87">
                    <c:v>4</c:v>
                  </c:pt>
                  <c:pt idx="88">
                    <c:v>1</c:v>
                  </c:pt>
                  <c:pt idx="89">
                    <c:v>2</c:v>
                  </c:pt>
                  <c:pt idx="90">
                    <c:v>3</c:v>
                  </c:pt>
                  <c:pt idx="91">
                    <c:v>4</c:v>
                  </c:pt>
                  <c:pt idx="92">
                    <c:v>1</c:v>
                  </c:pt>
                  <c:pt idx="93">
                    <c:v>2</c:v>
                  </c:pt>
                  <c:pt idx="94">
                    <c:v>3</c:v>
                  </c:pt>
                  <c:pt idx="95">
                    <c:v>4</c:v>
                  </c:pt>
                  <c:pt idx="96">
                    <c:v>1</c:v>
                  </c:pt>
                  <c:pt idx="97">
                    <c:v>2</c:v>
                  </c:pt>
                  <c:pt idx="98">
                    <c:v>3</c:v>
                  </c:pt>
                  <c:pt idx="99">
                    <c:v>4</c:v>
                  </c:pt>
                  <c:pt idx="100">
                    <c:v>1</c:v>
                  </c:pt>
                  <c:pt idx="101">
                    <c:v>2</c:v>
                  </c:pt>
                  <c:pt idx="102">
                    <c:v>3</c:v>
                  </c:pt>
                  <c:pt idx="103">
                    <c:v>4</c:v>
                  </c:pt>
                  <c:pt idx="104">
                    <c:v>1</c:v>
                  </c:pt>
                  <c:pt idx="105">
                    <c:v>2</c:v>
                  </c:pt>
                  <c:pt idx="106">
                    <c:v>3</c:v>
                  </c:pt>
                  <c:pt idx="107">
                    <c:v>4</c:v>
                  </c:pt>
                  <c:pt idx="108">
                    <c:v>1</c:v>
                  </c:pt>
                  <c:pt idx="109">
                    <c:v>2</c:v>
                  </c:pt>
                  <c:pt idx="110">
                    <c:v>3</c:v>
                  </c:pt>
                  <c:pt idx="111">
                    <c:v>4</c:v>
                  </c:pt>
                  <c:pt idx="112">
                    <c:v>1</c:v>
                  </c:pt>
                  <c:pt idx="113">
                    <c:v>2</c:v>
                  </c:pt>
                  <c:pt idx="114">
                    <c:v>3</c:v>
                  </c:pt>
                  <c:pt idx="115">
                    <c:v>4</c:v>
                  </c:pt>
                  <c:pt idx="116">
                    <c:v>1</c:v>
                  </c:pt>
                  <c:pt idx="117">
                    <c:v>2</c:v>
                  </c:pt>
                  <c:pt idx="118">
                    <c:v>3</c:v>
                  </c:pt>
                  <c:pt idx="119">
                    <c:v>4</c:v>
                  </c:pt>
                  <c:pt idx="120">
                    <c:v>1</c:v>
                  </c:pt>
                  <c:pt idx="121">
                    <c:v>2</c:v>
                  </c:pt>
                  <c:pt idx="122">
                    <c:v>3</c:v>
                  </c:pt>
                  <c:pt idx="123">
                    <c:v>4</c:v>
                  </c:pt>
                  <c:pt idx="124">
                    <c:v>1</c:v>
                  </c:pt>
                  <c:pt idx="125">
                    <c:v>2</c:v>
                  </c:pt>
                  <c:pt idx="126">
                    <c:v>3</c:v>
                  </c:pt>
                  <c:pt idx="127">
                    <c:v>4</c:v>
                  </c:pt>
                  <c:pt idx="128">
                    <c:v>1</c:v>
                  </c:pt>
                  <c:pt idx="129">
                    <c:v>2</c:v>
                  </c:pt>
                  <c:pt idx="130">
                    <c:v>3</c:v>
                  </c:pt>
                  <c:pt idx="131">
                    <c:v>4</c:v>
                  </c:pt>
                  <c:pt idx="132">
                    <c:v>1</c:v>
                  </c:pt>
                  <c:pt idx="133">
                    <c:v>2</c:v>
                  </c:pt>
                  <c:pt idx="134">
                    <c:v>3</c:v>
                  </c:pt>
                  <c:pt idx="135">
                    <c:v>4</c:v>
                  </c:pt>
                  <c:pt idx="136">
                    <c:v>1</c:v>
                  </c:pt>
                  <c:pt idx="137">
                    <c:v>2</c:v>
                  </c:pt>
                  <c:pt idx="138">
                    <c:v>3</c:v>
                  </c:pt>
                  <c:pt idx="139">
                    <c:v>4</c:v>
                  </c:pt>
                  <c:pt idx="140">
                    <c:v>1</c:v>
                  </c:pt>
                  <c:pt idx="141">
                    <c:v>2</c:v>
                  </c:pt>
                  <c:pt idx="142">
                    <c:v>3</c:v>
                  </c:pt>
                  <c:pt idx="143">
                    <c:v>4</c:v>
                  </c:pt>
                  <c:pt idx="144">
                    <c:v>1</c:v>
                  </c:pt>
                  <c:pt idx="145">
                    <c:v>2</c:v>
                  </c:pt>
                  <c:pt idx="146">
                    <c:v>3</c:v>
                  </c:pt>
                  <c:pt idx="147">
                    <c:v>4</c:v>
                  </c:pt>
                  <c:pt idx="148">
                    <c:v>1</c:v>
                  </c:pt>
                  <c:pt idx="149">
                    <c:v>2</c:v>
                  </c:pt>
                  <c:pt idx="150">
                    <c:v>3</c:v>
                  </c:pt>
                  <c:pt idx="151">
                    <c:v>4</c:v>
                  </c:pt>
                </c:lvl>
                <c:lvl>
                  <c:pt idx="0">
                    <c:v>S58</c:v>
                  </c:pt>
                  <c:pt idx="4">
                    <c:v>S59</c:v>
                  </c:pt>
                  <c:pt idx="8">
                    <c:v>S60</c:v>
                  </c:pt>
                  <c:pt idx="12">
                    <c:v>S61</c:v>
                  </c:pt>
                  <c:pt idx="16">
                    <c:v>S62</c:v>
                  </c:pt>
                  <c:pt idx="20">
                    <c:v>S63</c:v>
                  </c:pt>
                  <c:pt idx="24">
                    <c:v>H01</c:v>
                  </c:pt>
                  <c:pt idx="28">
                    <c:v>H02</c:v>
                  </c:pt>
                  <c:pt idx="32">
                    <c:v>H03</c:v>
                  </c:pt>
                  <c:pt idx="36">
                    <c:v>H04</c:v>
                  </c:pt>
                  <c:pt idx="40">
                    <c:v>H05</c:v>
                  </c:pt>
                  <c:pt idx="44">
                    <c:v>H06</c:v>
                  </c:pt>
                  <c:pt idx="48">
                    <c:v>H07</c:v>
                  </c:pt>
                  <c:pt idx="52">
                    <c:v>H08</c:v>
                  </c:pt>
                  <c:pt idx="56">
                    <c:v>H09</c:v>
                  </c:pt>
                  <c:pt idx="60">
                    <c:v>H10</c:v>
                  </c:pt>
                  <c:pt idx="64">
                    <c:v>H11</c:v>
                  </c:pt>
                  <c:pt idx="68">
                    <c:v>H12</c:v>
                  </c:pt>
                  <c:pt idx="72">
                    <c:v>H13</c:v>
                  </c:pt>
                  <c:pt idx="76">
                    <c:v>H14</c:v>
                  </c:pt>
                  <c:pt idx="80">
                    <c:v>H15</c:v>
                  </c:pt>
                  <c:pt idx="84">
                    <c:v>H16</c:v>
                  </c:pt>
                  <c:pt idx="88">
                    <c:v>H17</c:v>
                  </c:pt>
                  <c:pt idx="92">
                    <c:v>H18</c:v>
                  </c:pt>
                  <c:pt idx="96">
                    <c:v>H19</c:v>
                  </c:pt>
                  <c:pt idx="100">
                    <c:v>H20</c:v>
                  </c:pt>
                  <c:pt idx="104">
                    <c:v>H21</c:v>
                  </c:pt>
                  <c:pt idx="108">
                    <c:v>H22</c:v>
                  </c:pt>
                  <c:pt idx="112">
                    <c:v>H23</c:v>
                  </c:pt>
                  <c:pt idx="116">
                    <c:v>H24</c:v>
                  </c:pt>
                  <c:pt idx="120">
                    <c:v>H25</c:v>
                  </c:pt>
                  <c:pt idx="124">
                    <c:v>H26</c:v>
                  </c:pt>
                  <c:pt idx="128">
                    <c:v>H27</c:v>
                  </c:pt>
                  <c:pt idx="132">
                    <c:v>H28</c:v>
                  </c:pt>
                  <c:pt idx="136">
                    <c:v>H29</c:v>
                  </c:pt>
                  <c:pt idx="140">
                    <c:v>H30</c:v>
                  </c:pt>
                  <c:pt idx="144">
                    <c:v>R01</c:v>
                  </c:pt>
                  <c:pt idx="148">
                    <c:v>R02</c:v>
                  </c:pt>
                </c:lvl>
              </c:multiLvlStrCache>
            </c:multiLvlStrRef>
          </c:cat>
          <c:val>
            <c:numRef>
              <c:f>女発放廃!$M$214:$M$365</c:f>
              <c:numCache>
                <c:formatCode>0.0E+00</c:formatCode>
                <c:ptCount val="152"/>
                <c:pt idx="8">
                  <c:v>8880000000</c:v>
                </c:pt>
                <c:pt idx="9">
                  <c:v>1072999999.9999999</c:v>
                </c:pt>
                <c:pt idx="10">
                  <c:v>1813000000.0000002</c:v>
                </c:pt>
                <c:pt idx="11">
                  <c:v>11840000000.000004</c:v>
                </c:pt>
                <c:pt idx="12">
                  <c:v>12950000000.000002</c:v>
                </c:pt>
                <c:pt idx="13">
                  <c:v>310800000.00000006</c:v>
                </c:pt>
                <c:pt idx="14">
                  <c:v>21830000000.000004</c:v>
                </c:pt>
                <c:pt idx="15">
                  <c:v>3700000000.0000005</c:v>
                </c:pt>
                <c:pt idx="16">
                  <c:v>7030000000.000001</c:v>
                </c:pt>
                <c:pt idx="17">
                  <c:v>2664000000.0000005</c:v>
                </c:pt>
                <c:pt idx="18">
                  <c:v>17390000000</c:v>
                </c:pt>
                <c:pt idx="19">
                  <c:v>37000000000</c:v>
                </c:pt>
                <c:pt idx="20">
                  <c:v>28000000000</c:v>
                </c:pt>
                <c:pt idx="21">
                  <c:v>9300000000</c:v>
                </c:pt>
                <c:pt idx="22">
                  <c:v>15000000000</c:v>
                </c:pt>
                <c:pt idx="23">
                  <c:v>56000000000</c:v>
                </c:pt>
                <c:pt idx="24">
                  <c:v>22000000000</c:v>
                </c:pt>
                <c:pt idx="25">
                  <c:v>33000000000</c:v>
                </c:pt>
                <c:pt idx="26">
                  <c:v>7700000000</c:v>
                </c:pt>
                <c:pt idx="27">
                  <c:v>12000000000</c:v>
                </c:pt>
                <c:pt idx="28">
                  <c:v>46000000000</c:v>
                </c:pt>
                <c:pt idx="29">
                  <c:v>9400000000</c:v>
                </c:pt>
                <c:pt idx="30">
                  <c:v>11000000000</c:v>
                </c:pt>
                <c:pt idx="31">
                  <c:v>950000000</c:v>
                </c:pt>
                <c:pt idx="32">
                  <c:v>2100000000</c:v>
                </c:pt>
                <c:pt idx="33">
                  <c:v>21000000000</c:v>
                </c:pt>
                <c:pt idx="34">
                  <c:v>5000000000</c:v>
                </c:pt>
                <c:pt idx="35">
                  <c:v>30000000000</c:v>
                </c:pt>
                <c:pt idx="36">
                  <c:v>1800000000</c:v>
                </c:pt>
                <c:pt idx="37">
                  <c:v>2600000000</c:v>
                </c:pt>
                <c:pt idx="38">
                  <c:v>27000000000</c:v>
                </c:pt>
                <c:pt idx="39">
                  <c:v>6200000000</c:v>
                </c:pt>
                <c:pt idx="40">
                  <c:v>10000000000</c:v>
                </c:pt>
                <c:pt idx="41">
                  <c:v>35000000000</c:v>
                </c:pt>
                <c:pt idx="42">
                  <c:v>21000000000</c:v>
                </c:pt>
                <c:pt idx="43">
                  <c:v>25000000000</c:v>
                </c:pt>
                <c:pt idx="44">
                  <c:v>6000000000</c:v>
                </c:pt>
                <c:pt idx="45">
                  <c:v>5200000000</c:v>
                </c:pt>
                <c:pt idx="46">
                  <c:v>1800000000</c:v>
                </c:pt>
                <c:pt idx="47">
                  <c:v>1800000000</c:v>
                </c:pt>
                <c:pt idx="48">
                  <c:v>3200000000</c:v>
                </c:pt>
                <c:pt idx="49">
                  <c:v>1950000000</c:v>
                </c:pt>
                <c:pt idx="50">
                  <c:v>1600000000</c:v>
                </c:pt>
                <c:pt idx="51">
                  <c:v>980000000.00000012</c:v>
                </c:pt>
                <c:pt idx="52">
                  <c:v>12000000000</c:v>
                </c:pt>
                <c:pt idx="53">
                  <c:v>4800000000</c:v>
                </c:pt>
                <c:pt idx="54">
                  <c:v>4500000000</c:v>
                </c:pt>
                <c:pt idx="55">
                  <c:v>0</c:v>
                </c:pt>
                <c:pt idx="56">
                  <c:v>7400000000</c:v>
                </c:pt>
                <c:pt idx="57">
                  <c:v>2200000000</c:v>
                </c:pt>
                <c:pt idx="58">
                  <c:v>23000000000</c:v>
                </c:pt>
                <c:pt idx="59">
                  <c:v>7100000000</c:v>
                </c:pt>
                <c:pt idx="60">
                  <c:v>3100000000</c:v>
                </c:pt>
                <c:pt idx="61">
                  <c:v>5100000000</c:v>
                </c:pt>
                <c:pt idx="62">
                  <c:v>2300000000</c:v>
                </c:pt>
                <c:pt idx="63">
                  <c:v>1200000000</c:v>
                </c:pt>
                <c:pt idx="64">
                  <c:v>41000000000</c:v>
                </c:pt>
                <c:pt idx="65">
                  <c:v>980000000.00000012</c:v>
                </c:pt>
                <c:pt idx="66">
                  <c:v>11000000000</c:v>
                </c:pt>
                <c:pt idx="67">
                  <c:v>4700000000</c:v>
                </c:pt>
                <c:pt idx="68">
                  <c:v>54000000000</c:v>
                </c:pt>
                <c:pt idx="69">
                  <c:v>3100000000</c:v>
                </c:pt>
                <c:pt idx="70">
                  <c:v>25000000000</c:v>
                </c:pt>
                <c:pt idx="71">
                  <c:v>7800000000</c:v>
                </c:pt>
                <c:pt idx="72">
                  <c:v>2500000000</c:v>
                </c:pt>
                <c:pt idx="73">
                  <c:v>1500000000</c:v>
                </c:pt>
                <c:pt idx="74">
                  <c:v>37000000000</c:v>
                </c:pt>
                <c:pt idx="75">
                  <c:v>7700000000</c:v>
                </c:pt>
                <c:pt idx="76">
                  <c:v>840000000</c:v>
                </c:pt>
                <c:pt idx="77">
                  <c:v>43000000000</c:v>
                </c:pt>
                <c:pt idx="78">
                  <c:v>0</c:v>
                </c:pt>
                <c:pt idx="79">
                  <c:v>20000000000</c:v>
                </c:pt>
                <c:pt idx="80">
                  <c:v>4400000000</c:v>
                </c:pt>
                <c:pt idx="81">
                  <c:v>960000000</c:v>
                </c:pt>
                <c:pt idx="82">
                  <c:v>0</c:v>
                </c:pt>
                <c:pt idx="83">
                  <c:v>310000000</c:v>
                </c:pt>
                <c:pt idx="84">
                  <c:v>0</c:v>
                </c:pt>
                <c:pt idx="85">
                  <c:v>780000000</c:v>
                </c:pt>
                <c:pt idx="86">
                  <c:v>0</c:v>
                </c:pt>
                <c:pt idx="87">
                  <c:v>0</c:v>
                </c:pt>
                <c:pt idx="88">
                  <c:v>620000000</c:v>
                </c:pt>
                <c:pt idx="89">
                  <c:v>0</c:v>
                </c:pt>
                <c:pt idx="90">
                  <c:v>590000000</c:v>
                </c:pt>
                <c:pt idx="91">
                  <c:v>0</c:v>
                </c:pt>
                <c:pt idx="92">
                  <c:v>0</c:v>
                </c:pt>
                <c:pt idx="93">
                  <c:v>780000000</c:v>
                </c:pt>
                <c:pt idx="94">
                  <c:v>530000000</c:v>
                </c:pt>
                <c:pt idx="95">
                  <c:v>0</c:v>
                </c:pt>
                <c:pt idx="96">
                  <c:v>420000000</c:v>
                </c:pt>
                <c:pt idx="97">
                  <c:v>2000000000</c:v>
                </c:pt>
                <c:pt idx="98">
                  <c:v>1700000000</c:v>
                </c:pt>
                <c:pt idx="99">
                  <c:v>560000000</c:v>
                </c:pt>
                <c:pt idx="100">
                  <c:v>86000000</c:v>
                </c:pt>
                <c:pt idx="101">
                  <c:v>0</c:v>
                </c:pt>
                <c:pt idx="102">
                  <c:v>450000000</c:v>
                </c:pt>
                <c:pt idx="103">
                  <c:v>2200000000</c:v>
                </c:pt>
                <c:pt idx="104">
                  <c:v>2100000000</c:v>
                </c:pt>
                <c:pt idx="105">
                  <c:v>12000000000</c:v>
                </c:pt>
                <c:pt idx="106">
                  <c:v>48000000000</c:v>
                </c:pt>
                <c:pt idx="107">
                  <c:v>1300000000</c:v>
                </c:pt>
                <c:pt idx="108">
                  <c:v>1800000000</c:v>
                </c:pt>
                <c:pt idx="109">
                  <c:v>4700000000</c:v>
                </c:pt>
                <c:pt idx="110">
                  <c:v>13000000000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numCache>
            </c:numRef>
          </c:val>
          <c:smooth val="0"/>
        </c:ser>
        <c:ser>
          <c:idx val="3"/>
          <c:order val="1"/>
          <c:tx>
            <c:strRef>
              <c:f>女発放廃!$N$213</c:f>
              <c:strCache>
                <c:ptCount val="1"/>
                <c:pt idx="0">
                  <c:v>２号機</c:v>
                </c:pt>
              </c:strCache>
            </c:strRef>
          </c:tx>
          <c:spPr>
            <a:ln w="12700">
              <a:solidFill>
                <a:srgbClr val="00B050"/>
              </a:solidFill>
              <a:prstDash val="solid"/>
            </a:ln>
          </c:spPr>
          <c:marker>
            <c:symbol val="square"/>
            <c:size val="7"/>
            <c:spPr>
              <a:solidFill>
                <a:schemeClr val="bg1"/>
              </a:solidFill>
              <a:ln>
                <a:solidFill>
                  <a:srgbClr val="00B050"/>
                </a:solidFill>
                <a:prstDash val="solid"/>
              </a:ln>
            </c:spPr>
          </c:marker>
          <c:cat>
            <c:multiLvlStrRef>
              <c:f>女発放廃!$A$214:$B$365</c:f>
              <c:multiLvlStrCache>
                <c:ptCount val="15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pt idx="24">
                    <c:v>1</c:v>
                  </c:pt>
                  <c:pt idx="25">
                    <c:v>2</c:v>
                  </c:pt>
                  <c:pt idx="26">
                    <c:v>3</c:v>
                  </c:pt>
                  <c:pt idx="27">
                    <c:v>4</c:v>
                  </c:pt>
                  <c:pt idx="28">
                    <c:v>1</c:v>
                  </c:pt>
                  <c:pt idx="29">
                    <c:v>2</c:v>
                  </c:pt>
                  <c:pt idx="30">
                    <c:v>3</c:v>
                  </c:pt>
                  <c:pt idx="31">
                    <c:v>4</c:v>
                  </c:pt>
                  <c:pt idx="32">
                    <c:v>1</c:v>
                  </c:pt>
                  <c:pt idx="33">
                    <c:v>2</c:v>
                  </c:pt>
                  <c:pt idx="34">
                    <c:v>3</c:v>
                  </c:pt>
                  <c:pt idx="35">
                    <c:v>4</c:v>
                  </c:pt>
                  <c:pt idx="36">
                    <c:v>1</c:v>
                  </c:pt>
                  <c:pt idx="37">
                    <c:v>2</c:v>
                  </c:pt>
                  <c:pt idx="38">
                    <c:v>3</c:v>
                  </c:pt>
                  <c:pt idx="39">
                    <c:v>4</c:v>
                  </c:pt>
                  <c:pt idx="40">
                    <c:v>1</c:v>
                  </c:pt>
                  <c:pt idx="41">
                    <c:v>2</c:v>
                  </c:pt>
                  <c:pt idx="42">
                    <c:v>3</c:v>
                  </c:pt>
                  <c:pt idx="43">
                    <c:v>4</c:v>
                  </c:pt>
                  <c:pt idx="44">
                    <c:v>1</c:v>
                  </c:pt>
                  <c:pt idx="45">
                    <c:v>2</c:v>
                  </c:pt>
                  <c:pt idx="46">
                    <c:v>3</c:v>
                  </c:pt>
                  <c:pt idx="47">
                    <c:v>4</c:v>
                  </c:pt>
                  <c:pt idx="48">
                    <c:v>1</c:v>
                  </c:pt>
                  <c:pt idx="49">
                    <c:v>2</c:v>
                  </c:pt>
                  <c:pt idx="50">
                    <c:v>3</c:v>
                  </c:pt>
                  <c:pt idx="51">
                    <c:v>4</c:v>
                  </c:pt>
                  <c:pt idx="52">
                    <c:v>1</c:v>
                  </c:pt>
                  <c:pt idx="53">
                    <c:v>2</c:v>
                  </c:pt>
                  <c:pt idx="54">
                    <c:v>3</c:v>
                  </c:pt>
                  <c:pt idx="55">
                    <c:v>4</c:v>
                  </c:pt>
                  <c:pt idx="56">
                    <c:v>1</c:v>
                  </c:pt>
                  <c:pt idx="57">
                    <c:v>2</c:v>
                  </c:pt>
                  <c:pt idx="58">
                    <c:v>3</c:v>
                  </c:pt>
                  <c:pt idx="59">
                    <c:v>4</c:v>
                  </c:pt>
                  <c:pt idx="60">
                    <c:v>1</c:v>
                  </c:pt>
                  <c:pt idx="61">
                    <c:v>2</c:v>
                  </c:pt>
                  <c:pt idx="62">
                    <c:v>3</c:v>
                  </c:pt>
                  <c:pt idx="63">
                    <c:v>4</c:v>
                  </c:pt>
                  <c:pt idx="64">
                    <c:v>1</c:v>
                  </c:pt>
                  <c:pt idx="65">
                    <c:v>2</c:v>
                  </c:pt>
                  <c:pt idx="66">
                    <c:v>3</c:v>
                  </c:pt>
                  <c:pt idx="67">
                    <c:v>4</c:v>
                  </c:pt>
                  <c:pt idx="68">
                    <c:v>1</c:v>
                  </c:pt>
                  <c:pt idx="69">
                    <c:v>2</c:v>
                  </c:pt>
                  <c:pt idx="70">
                    <c:v>3</c:v>
                  </c:pt>
                  <c:pt idx="71">
                    <c:v>4</c:v>
                  </c:pt>
                  <c:pt idx="72">
                    <c:v>1</c:v>
                  </c:pt>
                  <c:pt idx="73">
                    <c:v>2</c:v>
                  </c:pt>
                  <c:pt idx="74">
                    <c:v>3</c:v>
                  </c:pt>
                  <c:pt idx="75">
                    <c:v>4</c:v>
                  </c:pt>
                  <c:pt idx="76">
                    <c:v>1</c:v>
                  </c:pt>
                  <c:pt idx="77">
                    <c:v>2</c:v>
                  </c:pt>
                  <c:pt idx="78">
                    <c:v>3</c:v>
                  </c:pt>
                  <c:pt idx="79">
                    <c:v>4</c:v>
                  </c:pt>
                  <c:pt idx="80">
                    <c:v>1</c:v>
                  </c:pt>
                  <c:pt idx="81">
                    <c:v>2</c:v>
                  </c:pt>
                  <c:pt idx="82">
                    <c:v>3</c:v>
                  </c:pt>
                  <c:pt idx="83">
                    <c:v>4</c:v>
                  </c:pt>
                  <c:pt idx="84">
                    <c:v>1</c:v>
                  </c:pt>
                  <c:pt idx="85">
                    <c:v>2</c:v>
                  </c:pt>
                  <c:pt idx="86">
                    <c:v>3</c:v>
                  </c:pt>
                  <c:pt idx="87">
                    <c:v>4</c:v>
                  </c:pt>
                  <c:pt idx="88">
                    <c:v>1</c:v>
                  </c:pt>
                  <c:pt idx="89">
                    <c:v>2</c:v>
                  </c:pt>
                  <c:pt idx="90">
                    <c:v>3</c:v>
                  </c:pt>
                  <c:pt idx="91">
                    <c:v>4</c:v>
                  </c:pt>
                  <c:pt idx="92">
                    <c:v>1</c:v>
                  </c:pt>
                  <c:pt idx="93">
                    <c:v>2</c:v>
                  </c:pt>
                  <c:pt idx="94">
                    <c:v>3</c:v>
                  </c:pt>
                  <c:pt idx="95">
                    <c:v>4</c:v>
                  </c:pt>
                  <c:pt idx="96">
                    <c:v>1</c:v>
                  </c:pt>
                  <c:pt idx="97">
                    <c:v>2</c:v>
                  </c:pt>
                  <c:pt idx="98">
                    <c:v>3</c:v>
                  </c:pt>
                  <c:pt idx="99">
                    <c:v>4</c:v>
                  </c:pt>
                  <c:pt idx="100">
                    <c:v>1</c:v>
                  </c:pt>
                  <c:pt idx="101">
                    <c:v>2</c:v>
                  </c:pt>
                  <c:pt idx="102">
                    <c:v>3</c:v>
                  </c:pt>
                  <c:pt idx="103">
                    <c:v>4</c:v>
                  </c:pt>
                  <c:pt idx="104">
                    <c:v>1</c:v>
                  </c:pt>
                  <c:pt idx="105">
                    <c:v>2</c:v>
                  </c:pt>
                  <c:pt idx="106">
                    <c:v>3</c:v>
                  </c:pt>
                  <c:pt idx="107">
                    <c:v>4</c:v>
                  </c:pt>
                  <c:pt idx="108">
                    <c:v>1</c:v>
                  </c:pt>
                  <c:pt idx="109">
                    <c:v>2</c:v>
                  </c:pt>
                  <c:pt idx="110">
                    <c:v>3</c:v>
                  </c:pt>
                  <c:pt idx="111">
                    <c:v>4</c:v>
                  </c:pt>
                  <c:pt idx="112">
                    <c:v>1</c:v>
                  </c:pt>
                  <c:pt idx="113">
                    <c:v>2</c:v>
                  </c:pt>
                  <c:pt idx="114">
                    <c:v>3</c:v>
                  </c:pt>
                  <c:pt idx="115">
                    <c:v>4</c:v>
                  </c:pt>
                  <c:pt idx="116">
                    <c:v>1</c:v>
                  </c:pt>
                  <c:pt idx="117">
                    <c:v>2</c:v>
                  </c:pt>
                  <c:pt idx="118">
                    <c:v>3</c:v>
                  </c:pt>
                  <c:pt idx="119">
                    <c:v>4</c:v>
                  </c:pt>
                  <c:pt idx="120">
                    <c:v>1</c:v>
                  </c:pt>
                  <c:pt idx="121">
                    <c:v>2</c:v>
                  </c:pt>
                  <c:pt idx="122">
                    <c:v>3</c:v>
                  </c:pt>
                  <c:pt idx="123">
                    <c:v>4</c:v>
                  </c:pt>
                  <c:pt idx="124">
                    <c:v>1</c:v>
                  </c:pt>
                  <c:pt idx="125">
                    <c:v>2</c:v>
                  </c:pt>
                  <c:pt idx="126">
                    <c:v>3</c:v>
                  </c:pt>
                  <c:pt idx="127">
                    <c:v>4</c:v>
                  </c:pt>
                  <c:pt idx="128">
                    <c:v>1</c:v>
                  </c:pt>
                  <c:pt idx="129">
                    <c:v>2</c:v>
                  </c:pt>
                  <c:pt idx="130">
                    <c:v>3</c:v>
                  </c:pt>
                  <c:pt idx="131">
                    <c:v>4</c:v>
                  </c:pt>
                  <c:pt idx="132">
                    <c:v>1</c:v>
                  </c:pt>
                  <c:pt idx="133">
                    <c:v>2</c:v>
                  </c:pt>
                  <c:pt idx="134">
                    <c:v>3</c:v>
                  </c:pt>
                  <c:pt idx="135">
                    <c:v>4</c:v>
                  </c:pt>
                  <c:pt idx="136">
                    <c:v>1</c:v>
                  </c:pt>
                  <c:pt idx="137">
                    <c:v>2</c:v>
                  </c:pt>
                  <c:pt idx="138">
                    <c:v>3</c:v>
                  </c:pt>
                  <c:pt idx="139">
                    <c:v>4</c:v>
                  </c:pt>
                  <c:pt idx="140">
                    <c:v>1</c:v>
                  </c:pt>
                  <c:pt idx="141">
                    <c:v>2</c:v>
                  </c:pt>
                  <c:pt idx="142">
                    <c:v>3</c:v>
                  </c:pt>
                  <c:pt idx="143">
                    <c:v>4</c:v>
                  </c:pt>
                  <c:pt idx="144">
                    <c:v>1</c:v>
                  </c:pt>
                  <c:pt idx="145">
                    <c:v>2</c:v>
                  </c:pt>
                  <c:pt idx="146">
                    <c:v>3</c:v>
                  </c:pt>
                  <c:pt idx="147">
                    <c:v>4</c:v>
                  </c:pt>
                  <c:pt idx="148">
                    <c:v>1</c:v>
                  </c:pt>
                  <c:pt idx="149">
                    <c:v>2</c:v>
                  </c:pt>
                  <c:pt idx="150">
                    <c:v>3</c:v>
                  </c:pt>
                  <c:pt idx="151">
                    <c:v>4</c:v>
                  </c:pt>
                </c:lvl>
                <c:lvl>
                  <c:pt idx="0">
                    <c:v>S58</c:v>
                  </c:pt>
                  <c:pt idx="4">
                    <c:v>S59</c:v>
                  </c:pt>
                  <c:pt idx="8">
                    <c:v>S60</c:v>
                  </c:pt>
                  <c:pt idx="12">
                    <c:v>S61</c:v>
                  </c:pt>
                  <c:pt idx="16">
                    <c:v>S62</c:v>
                  </c:pt>
                  <c:pt idx="20">
                    <c:v>S63</c:v>
                  </c:pt>
                  <c:pt idx="24">
                    <c:v>H01</c:v>
                  </c:pt>
                  <c:pt idx="28">
                    <c:v>H02</c:v>
                  </c:pt>
                  <c:pt idx="32">
                    <c:v>H03</c:v>
                  </c:pt>
                  <c:pt idx="36">
                    <c:v>H04</c:v>
                  </c:pt>
                  <c:pt idx="40">
                    <c:v>H05</c:v>
                  </c:pt>
                  <c:pt idx="44">
                    <c:v>H06</c:v>
                  </c:pt>
                  <c:pt idx="48">
                    <c:v>H07</c:v>
                  </c:pt>
                  <c:pt idx="52">
                    <c:v>H08</c:v>
                  </c:pt>
                  <c:pt idx="56">
                    <c:v>H09</c:v>
                  </c:pt>
                  <c:pt idx="60">
                    <c:v>H10</c:v>
                  </c:pt>
                  <c:pt idx="64">
                    <c:v>H11</c:v>
                  </c:pt>
                  <c:pt idx="68">
                    <c:v>H12</c:v>
                  </c:pt>
                  <c:pt idx="72">
                    <c:v>H13</c:v>
                  </c:pt>
                  <c:pt idx="76">
                    <c:v>H14</c:v>
                  </c:pt>
                  <c:pt idx="80">
                    <c:v>H15</c:v>
                  </c:pt>
                  <c:pt idx="84">
                    <c:v>H16</c:v>
                  </c:pt>
                  <c:pt idx="88">
                    <c:v>H17</c:v>
                  </c:pt>
                  <c:pt idx="92">
                    <c:v>H18</c:v>
                  </c:pt>
                  <c:pt idx="96">
                    <c:v>H19</c:v>
                  </c:pt>
                  <c:pt idx="100">
                    <c:v>H20</c:v>
                  </c:pt>
                  <c:pt idx="104">
                    <c:v>H21</c:v>
                  </c:pt>
                  <c:pt idx="108">
                    <c:v>H22</c:v>
                  </c:pt>
                  <c:pt idx="112">
                    <c:v>H23</c:v>
                  </c:pt>
                  <c:pt idx="116">
                    <c:v>H24</c:v>
                  </c:pt>
                  <c:pt idx="120">
                    <c:v>H25</c:v>
                  </c:pt>
                  <c:pt idx="124">
                    <c:v>H26</c:v>
                  </c:pt>
                  <c:pt idx="128">
                    <c:v>H27</c:v>
                  </c:pt>
                  <c:pt idx="132">
                    <c:v>H28</c:v>
                  </c:pt>
                  <c:pt idx="136">
                    <c:v>H29</c:v>
                  </c:pt>
                  <c:pt idx="140">
                    <c:v>H30</c:v>
                  </c:pt>
                  <c:pt idx="144">
                    <c:v>R01</c:v>
                  </c:pt>
                  <c:pt idx="148">
                    <c:v>R02</c:v>
                  </c:pt>
                </c:lvl>
              </c:multiLvlStrCache>
            </c:multiLvlStrRef>
          </c:cat>
          <c:val>
            <c:numRef>
              <c:f>女発放廃!$N$214:$N$365</c:f>
              <c:numCache>
                <c:formatCode>0.0E+00</c:formatCode>
                <c:ptCount val="152"/>
                <c:pt idx="46">
                  <c:v>0</c:v>
                </c:pt>
                <c:pt idx="47">
                  <c:v>0</c:v>
                </c:pt>
                <c:pt idx="48">
                  <c:v>160000000</c:v>
                </c:pt>
                <c:pt idx="49">
                  <c:v>0</c:v>
                </c:pt>
                <c:pt idx="50">
                  <c:v>620000000</c:v>
                </c:pt>
                <c:pt idx="51">
                  <c:v>0</c:v>
                </c:pt>
                <c:pt idx="52">
                  <c:v>0</c:v>
                </c:pt>
                <c:pt idx="53">
                  <c:v>0</c:v>
                </c:pt>
                <c:pt idx="54">
                  <c:v>0</c:v>
                </c:pt>
                <c:pt idx="55">
                  <c:v>0</c:v>
                </c:pt>
                <c:pt idx="56">
                  <c:v>3500000000</c:v>
                </c:pt>
                <c:pt idx="57">
                  <c:v>780000000</c:v>
                </c:pt>
                <c:pt idx="58">
                  <c:v>0</c:v>
                </c:pt>
                <c:pt idx="59">
                  <c:v>0</c:v>
                </c:pt>
                <c:pt idx="60">
                  <c:v>0</c:v>
                </c:pt>
                <c:pt idx="61">
                  <c:v>0</c:v>
                </c:pt>
                <c:pt idx="62">
                  <c:v>2500000000</c:v>
                </c:pt>
                <c:pt idx="63">
                  <c:v>0</c:v>
                </c:pt>
                <c:pt idx="64">
                  <c:v>0</c:v>
                </c:pt>
                <c:pt idx="65">
                  <c:v>0</c:v>
                </c:pt>
                <c:pt idx="66">
                  <c:v>0</c:v>
                </c:pt>
                <c:pt idx="67">
                  <c:v>3500000000</c:v>
                </c:pt>
                <c:pt idx="68">
                  <c:v>0</c:v>
                </c:pt>
                <c:pt idx="69">
                  <c:v>0</c:v>
                </c:pt>
                <c:pt idx="70">
                  <c:v>0</c:v>
                </c:pt>
                <c:pt idx="71">
                  <c:v>0</c:v>
                </c:pt>
                <c:pt idx="72">
                  <c:v>4300000000</c:v>
                </c:pt>
                <c:pt idx="73">
                  <c:v>250000000</c:v>
                </c:pt>
                <c:pt idx="74">
                  <c:v>7600000000</c:v>
                </c:pt>
                <c:pt idx="75">
                  <c:v>0</c:v>
                </c:pt>
                <c:pt idx="76">
                  <c:v>0</c:v>
                </c:pt>
                <c:pt idx="77">
                  <c:v>5000000000</c:v>
                </c:pt>
                <c:pt idx="78">
                  <c:v>5300000000</c:v>
                </c:pt>
                <c:pt idx="79">
                  <c:v>5300000000</c:v>
                </c:pt>
                <c:pt idx="80">
                  <c:v>0</c:v>
                </c:pt>
                <c:pt idx="81">
                  <c:v>0</c:v>
                </c:pt>
                <c:pt idx="82">
                  <c:v>0</c:v>
                </c:pt>
                <c:pt idx="83">
                  <c:v>0</c:v>
                </c:pt>
                <c:pt idx="84">
                  <c:v>0</c:v>
                </c:pt>
                <c:pt idx="85">
                  <c:v>0</c:v>
                </c:pt>
                <c:pt idx="86">
                  <c:v>0</c:v>
                </c:pt>
                <c:pt idx="87">
                  <c:v>0</c:v>
                </c:pt>
                <c:pt idx="88">
                  <c:v>0</c:v>
                </c:pt>
                <c:pt idx="89">
                  <c:v>0</c:v>
                </c:pt>
                <c:pt idx="90">
                  <c:v>0</c:v>
                </c:pt>
                <c:pt idx="91">
                  <c:v>800000000</c:v>
                </c:pt>
                <c:pt idx="92">
                  <c:v>3300000000</c:v>
                </c:pt>
                <c:pt idx="93">
                  <c:v>0</c:v>
                </c:pt>
                <c:pt idx="94">
                  <c:v>0</c:v>
                </c:pt>
                <c:pt idx="95">
                  <c:v>670000000</c:v>
                </c:pt>
                <c:pt idx="96">
                  <c:v>0</c:v>
                </c:pt>
                <c:pt idx="97">
                  <c:v>180000000</c:v>
                </c:pt>
                <c:pt idx="98">
                  <c:v>110000000.00000001</c:v>
                </c:pt>
                <c:pt idx="99">
                  <c:v>71000000</c:v>
                </c:pt>
                <c:pt idx="100">
                  <c:v>1100000000</c:v>
                </c:pt>
                <c:pt idx="101">
                  <c:v>1400000000</c:v>
                </c:pt>
                <c:pt idx="102">
                  <c:v>1500000000</c:v>
                </c:pt>
                <c:pt idx="103">
                  <c:v>0</c:v>
                </c:pt>
                <c:pt idx="104">
                  <c:v>0</c:v>
                </c:pt>
                <c:pt idx="105">
                  <c:v>0</c:v>
                </c:pt>
                <c:pt idx="106">
                  <c:v>2800000000</c:v>
                </c:pt>
                <c:pt idx="107">
                  <c:v>0</c:v>
                </c:pt>
                <c:pt idx="108">
                  <c:v>1000000000</c:v>
                </c:pt>
                <c:pt idx="109">
                  <c:v>240000000</c:v>
                </c:pt>
                <c:pt idx="110">
                  <c:v>0</c:v>
                </c:pt>
                <c:pt idx="111">
                  <c:v>0</c:v>
                </c:pt>
                <c:pt idx="112">
                  <c:v>0</c:v>
                </c:pt>
                <c:pt idx="113">
                  <c:v>0</c:v>
                </c:pt>
                <c:pt idx="114">
                  <c:v>6100000000</c:v>
                </c:pt>
                <c:pt idx="115">
                  <c:v>2200000000</c:v>
                </c:pt>
                <c:pt idx="116">
                  <c:v>5100000000</c:v>
                </c:pt>
                <c:pt idx="117">
                  <c:v>2900000000</c:v>
                </c:pt>
                <c:pt idx="118">
                  <c:v>7800000000</c:v>
                </c:pt>
                <c:pt idx="119">
                  <c:v>1200000000</c:v>
                </c:pt>
                <c:pt idx="120">
                  <c:v>2700000000</c:v>
                </c:pt>
                <c:pt idx="121">
                  <c:v>1900000000</c:v>
                </c:pt>
                <c:pt idx="122">
                  <c:v>1600000000</c:v>
                </c:pt>
                <c:pt idx="123">
                  <c:v>6700000000</c:v>
                </c:pt>
                <c:pt idx="124">
                  <c:v>6300000000</c:v>
                </c:pt>
                <c:pt idx="125">
                  <c:v>4400000000</c:v>
                </c:pt>
                <c:pt idx="126">
                  <c:v>580000000</c:v>
                </c:pt>
                <c:pt idx="127">
                  <c:v>2900000000</c:v>
                </c:pt>
                <c:pt idx="128">
                  <c:v>1100000000</c:v>
                </c:pt>
                <c:pt idx="129">
                  <c:v>520000000</c:v>
                </c:pt>
                <c:pt idx="130">
                  <c:v>0</c:v>
                </c:pt>
                <c:pt idx="131">
                  <c:v>1300000000</c:v>
                </c:pt>
                <c:pt idx="132">
                  <c:v>3000000000</c:v>
                </c:pt>
                <c:pt idx="133">
                  <c:v>0</c:v>
                </c:pt>
                <c:pt idx="134">
                  <c:v>0</c:v>
                </c:pt>
                <c:pt idx="135">
                  <c:v>0</c:v>
                </c:pt>
                <c:pt idx="136">
                  <c:v>0</c:v>
                </c:pt>
                <c:pt idx="137">
                  <c:v>0</c:v>
                </c:pt>
                <c:pt idx="138">
                  <c:v>120000000</c:v>
                </c:pt>
                <c:pt idx="139">
                  <c:v>250000000</c:v>
                </c:pt>
                <c:pt idx="140">
                  <c:v>120000000</c:v>
                </c:pt>
                <c:pt idx="141">
                  <c:v>530000000</c:v>
                </c:pt>
                <c:pt idx="142">
                  <c:v>550000000</c:v>
                </c:pt>
                <c:pt idx="143">
                  <c:v>770000000</c:v>
                </c:pt>
              </c:numCache>
            </c:numRef>
          </c:val>
          <c:smooth val="0"/>
        </c:ser>
        <c:ser>
          <c:idx val="0"/>
          <c:order val="2"/>
          <c:tx>
            <c:strRef>
              <c:f>女発放廃!$O$213</c:f>
              <c:strCache>
                <c:ptCount val="1"/>
                <c:pt idx="0">
                  <c:v>３号機</c:v>
                </c:pt>
              </c:strCache>
            </c:strRef>
          </c:tx>
          <c:spPr>
            <a:ln w="12700">
              <a:solidFill>
                <a:srgbClr val="FF0000"/>
              </a:solidFill>
              <a:prstDash val="solid"/>
            </a:ln>
          </c:spPr>
          <c:marker>
            <c:symbol val="triangle"/>
            <c:size val="7"/>
            <c:spPr>
              <a:solidFill>
                <a:schemeClr val="bg1"/>
              </a:solidFill>
              <a:ln>
                <a:solidFill>
                  <a:srgbClr val="FF0000"/>
                </a:solidFill>
                <a:prstDash val="solid"/>
              </a:ln>
            </c:spPr>
          </c:marker>
          <c:cat>
            <c:multiLvlStrRef>
              <c:f>女発放廃!$A$214:$B$365</c:f>
              <c:multiLvlStrCache>
                <c:ptCount val="15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pt idx="24">
                    <c:v>1</c:v>
                  </c:pt>
                  <c:pt idx="25">
                    <c:v>2</c:v>
                  </c:pt>
                  <c:pt idx="26">
                    <c:v>3</c:v>
                  </c:pt>
                  <c:pt idx="27">
                    <c:v>4</c:v>
                  </c:pt>
                  <c:pt idx="28">
                    <c:v>1</c:v>
                  </c:pt>
                  <c:pt idx="29">
                    <c:v>2</c:v>
                  </c:pt>
                  <c:pt idx="30">
                    <c:v>3</c:v>
                  </c:pt>
                  <c:pt idx="31">
                    <c:v>4</c:v>
                  </c:pt>
                  <c:pt idx="32">
                    <c:v>1</c:v>
                  </c:pt>
                  <c:pt idx="33">
                    <c:v>2</c:v>
                  </c:pt>
                  <c:pt idx="34">
                    <c:v>3</c:v>
                  </c:pt>
                  <c:pt idx="35">
                    <c:v>4</c:v>
                  </c:pt>
                  <c:pt idx="36">
                    <c:v>1</c:v>
                  </c:pt>
                  <c:pt idx="37">
                    <c:v>2</c:v>
                  </c:pt>
                  <c:pt idx="38">
                    <c:v>3</c:v>
                  </c:pt>
                  <c:pt idx="39">
                    <c:v>4</c:v>
                  </c:pt>
                  <c:pt idx="40">
                    <c:v>1</c:v>
                  </c:pt>
                  <c:pt idx="41">
                    <c:v>2</c:v>
                  </c:pt>
                  <c:pt idx="42">
                    <c:v>3</c:v>
                  </c:pt>
                  <c:pt idx="43">
                    <c:v>4</c:v>
                  </c:pt>
                  <c:pt idx="44">
                    <c:v>1</c:v>
                  </c:pt>
                  <c:pt idx="45">
                    <c:v>2</c:v>
                  </c:pt>
                  <c:pt idx="46">
                    <c:v>3</c:v>
                  </c:pt>
                  <c:pt idx="47">
                    <c:v>4</c:v>
                  </c:pt>
                  <c:pt idx="48">
                    <c:v>1</c:v>
                  </c:pt>
                  <c:pt idx="49">
                    <c:v>2</c:v>
                  </c:pt>
                  <c:pt idx="50">
                    <c:v>3</c:v>
                  </c:pt>
                  <c:pt idx="51">
                    <c:v>4</c:v>
                  </c:pt>
                  <c:pt idx="52">
                    <c:v>1</c:v>
                  </c:pt>
                  <c:pt idx="53">
                    <c:v>2</c:v>
                  </c:pt>
                  <c:pt idx="54">
                    <c:v>3</c:v>
                  </c:pt>
                  <c:pt idx="55">
                    <c:v>4</c:v>
                  </c:pt>
                  <c:pt idx="56">
                    <c:v>1</c:v>
                  </c:pt>
                  <c:pt idx="57">
                    <c:v>2</c:v>
                  </c:pt>
                  <c:pt idx="58">
                    <c:v>3</c:v>
                  </c:pt>
                  <c:pt idx="59">
                    <c:v>4</c:v>
                  </c:pt>
                  <c:pt idx="60">
                    <c:v>1</c:v>
                  </c:pt>
                  <c:pt idx="61">
                    <c:v>2</c:v>
                  </c:pt>
                  <c:pt idx="62">
                    <c:v>3</c:v>
                  </c:pt>
                  <c:pt idx="63">
                    <c:v>4</c:v>
                  </c:pt>
                  <c:pt idx="64">
                    <c:v>1</c:v>
                  </c:pt>
                  <c:pt idx="65">
                    <c:v>2</c:v>
                  </c:pt>
                  <c:pt idx="66">
                    <c:v>3</c:v>
                  </c:pt>
                  <c:pt idx="67">
                    <c:v>4</c:v>
                  </c:pt>
                  <c:pt idx="68">
                    <c:v>1</c:v>
                  </c:pt>
                  <c:pt idx="69">
                    <c:v>2</c:v>
                  </c:pt>
                  <c:pt idx="70">
                    <c:v>3</c:v>
                  </c:pt>
                  <c:pt idx="71">
                    <c:v>4</c:v>
                  </c:pt>
                  <c:pt idx="72">
                    <c:v>1</c:v>
                  </c:pt>
                  <c:pt idx="73">
                    <c:v>2</c:v>
                  </c:pt>
                  <c:pt idx="74">
                    <c:v>3</c:v>
                  </c:pt>
                  <c:pt idx="75">
                    <c:v>4</c:v>
                  </c:pt>
                  <c:pt idx="76">
                    <c:v>1</c:v>
                  </c:pt>
                  <c:pt idx="77">
                    <c:v>2</c:v>
                  </c:pt>
                  <c:pt idx="78">
                    <c:v>3</c:v>
                  </c:pt>
                  <c:pt idx="79">
                    <c:v>4</c:v>
                  </c:pt>
                  <c:pt idx="80">
                    <c:v>1</c:v>
                  </c:pt>
                  <c:pt idx="81">
                    <c:v>2</c:v>
                  </c:pt>
                  <c:pt idx="82">
                    <c:v>3</c:v>
                  </c:pt>
                  <c:pt idx="83">
                    <c:v>4</c:v>
                  </c:pt>
                  <c:pt idx="84">
                    <c:v>1</c:v>
                  </c:pt>
                  <c:pt idx="85">
                    <c:v>2</c:v>
                  </c:pt>
                  <c:pt idx="86">
                    <c:v>3</c:v>
                  </c:pt>
                  <c:pt idx="87">
                    <c:v>4</c:v>
                  </c:pt>
                  <c:pt idx="88">
                    <c:v>1</c:v>
                  </c:pt>
                  <c:pt idx="89">
                    <c:v>2</c:v>
                  </c:pt>
                  <c:pt idx="90">
                    <c:v>3</c:v>
                  </c:pt>
                  <c:pt idx="91">
                    <c:v>4</c:v>
                  </c:pt>
                  <c:pt idx="92">
                    <c:v>1</c:v>
                  </c:pt>
                  <c:pt idx="93">
                    <c:v>2</c:v>
                  </c:pt>
                  <c:pt idx="94">
                    <c:v>3</c:v>
                  </c:pt>
                  <c:pt idx="95">
                    <c:v>4</c:v>
                  </c:pt>
                  <c:pt idx="96">
                    <c:v>1</c:v>
                  </c:pt>
                  <c:pt idx="97">
                    <c:v>2</c:v>
                  </c:pt>
                  <c:pt idx="98">
                    <c:v>3</c:v>
                  </c:pt>
                  <c:pt idx="99">
                    <c:v>4</c:v>
                  </c:pt>
                  <c:pt idx="100">
                    <c:v>1</c:v>
                  </c:pt>
                  <c:pt idx="101">
                    <c:v>2</c:v>
                  </c:pt>
                  <c:pt idx="102">
                    <c:v>3</c:v>
                  </c:pt>
                  <c:pt idx="103">
                    <c:v>4</c:v>
                  </c:pt>
                  <c:pt idx="104">
                    <c:v>1</c:v>
                  </c:pt>
                  <c:pt idx="105">
                    <c:v>2</c:v>
                  </c:pt>
                  <c:pt idx="106">
                    <c:v>3</c:v>
                  </c:pt>
                  <c:pt idx="107">
                    <c:v>4</c:v>
                  </c:pt>
                  <c:pt idx="108">
                    <c:v>1</c:v>
                  </c:pt>
                  <c:pt idx="109">
                    <c:v>2</c:v>
                  </c:pt>
                  <c:pt idx="110">
                    <c:v>3</c:v>
                  </c:pt>
                  <c:pt idx="111">
                    <c:v>4</c:v>
                  </c:pt>
                  <c:pt idx="112">
                    <c:v>1</c:v>
                  </c:pt>
                  <c:pt idx="113">
                    <c:v>2</c:v>
                  </c:pt>
                  <c:pt idx="114">
                    <c:v>3</c:v>
                  </c:pt>
                  <c:pt idx="115">
                    <c:v>4</c:v>
                  </c:pt>
                  <c:pt idx="116">
                    <c:v>1</c:v>
                  </c:pt>
                  <c:pt idx="117">
                    <c:v>2</c:v>
                  </c:pt>
                  <c:pt idx="118">
                    <c:v>3</c:v>
                  </c:pt>
                  <c:pt idx="119">
                    <c:v>4</c:v>
                  </c:pt>
                  <c:pt idx="120">
                    <c:v>1</c:v>
                  </c:pt>
                  <c:pt idx="121">
                    <c:v>2</c:v>
                  </c:pt>
                  <c:pt idx="122">
                    <c:v>3</c:v>
                  </c:pt>
                  <c:pt idx="123">
                    <c:v>4</c:v>
                  </c:pt>
                  <c:pt idx="124">
                    <c:v>1</c:v>
                  </c:pt>
                  <c:pt idx="125">
                    <c:v>2</c:v>
                  </c:pt>
                  <c:pt idx="126">
                    <c:v>3</c:v>
                  </c:pt>
                  <c:pt idx="127">
                    <c:v>4</c:v>
                  </c:pt>
                  <c:pt idx="128">
                    <c:v>1</c:v>
                  </c:pt>
                  <c:pt idx="129">
                    <c:v>2</c:v>
                  </c:pt>
                  <c:pt idx="130">
                    <c:v>3</c:v>
                  </c:pt>
                  <c:pt idx="131">
                    <c:v>4</c:v>
                  </c:pt>
                  <c:pt idx="132">
                    <c:v>1</c:v>
                  </c:pt>
                  <c:pt idx="133">
                    <c:v>2</c:v>
                  </c:pt>
                  <c:pt idx="134">
                    <c:v>3</c:v>
                  </c:pt>
                  <c:pt idx="135">
                    <c:v>4</c:v>
                  </c:pt>
                  <c:pt idx="136">
                    <c:v>1</c:v>
                  </c:pt>
                  <c:pt idx="137">
                    <c:v>2</c:v>
                  </c:pt>
                  <c:pt idx="138">
                    <c:v>3</c:v>
                  </c:pt>
                  <c:pt idx="139">
                    <c:v>4</c:v>
                  </c:pt>
                  <c:pt idx="140">
                    <c:v>1</c:v>
                  </c:pt>
                  <c:pt idx="141">
                    <c:v>2</c:v>
                  </c:pt>
                  <c:pt idx="142">
                    <c:v>3</c:v>
                  </c:pt>
                  <c:pt idx="143">
                    <c:v>4</c:v>
                  </c:pt>
                  <c:pt idx="144">
                    <c:v>1</c:v>
                  </c:pt>
                  <c:pt idx="145">
                    <c:v>2</c:v>
                  </c:pt>
                  <c:pt idx="146">
                    <c:v>3</c:v>
                  </c:pt>
                  <c:pt idx="147">
                    <c:v>4</c:v>
                  </c:pt>
                  <c:pt idx="148">
                    <c:v>1</c:v>
                  </c:pt>
                  <c:pt idx="149">
                    <c:v>2</c:v>
                  </c:pt>
                  <c:pt idx="150">
                    <c:v>3</c:v>
                  </c:pt>
                  <c:pt idx="151">
                    <c:v>4</c:v>
                  </c:pt>
                </c:lvl>
                <c:lvl>
                  <c:pt idx="0">
                    <c:v>S58</c:v>
                  </c:pt>
                  <c:pt idx="4">
                    <c:v>S59</c:v>
                  </c:pt>
                  <c:pt idx="8">
                    <c:v>S60</c:v>
                  </c:pt>
                  <c:pt idx="12">
                    <c:v>S61</c:v>
                  </c:pt>
                  <c:pt idx="16">
                    <c:v>S62</c:v>
                  </c:pt>
                  <c:pt idx="20">
                    <c:v>S63</c:v>
                  </c:pt>
                  <c:pt idx="24">
                    <c:v>H01</c:v>
                  </c:pt>
                  <c:pt idx="28">
                    <c:v>H02</c:v>
                  </c:pt>
                  <c:pt idx="32">
                    <c:v>H03</c:v>
                  </c:pt>
                  <c:pt idx="36">
                    <c:v>H04</c:v>
                  </c:pt>
                  <c:pt idx="40">
                    <c:v>H05</c:v>
                  </c:pt>
                  <c:pt idx="44">
                    <c:v>H06</c:v>
                  </c:pt>
                  <c:pt idx="48">
                    <c:v>H07</c:v>
                  </c:pt>
                  <c:pt idx="52">
                    <c:v>H08</c:v>
                  </c:pt>
                  <c:pt idx="56">
                    <c:v>H09</c:v>
                  </c:pt>
                  <c:pt idx="60">
                    <c:v>H10</c:v>
                  </c:pt>
                  <c:pt idx="64">
                    <c:v>H11</c:v>
                  </c:pt>
                  <c:pt idx="68">
                    <c:v>H12</c:v>
                  </c:pt>
                  <c:pt idx="72">
                    <c:v>H13</c:v>
                  </c:pt>
                  <c:pt idx="76">
                    <c:v>H14</c:v>
                  </c:pt>
                  <c:pt idx="80">
                    <c:v>H15</c:v>
                  </c:pt>
                  <c:pt idx="84">
                    <c:v>H16</c:v>
                  </c:pt>
                  <c:pt idx="88">
                    <c:v>H17</c:v>
                  </c:pt>
                  <c:pt idx="92">
                    <c:v>H18</c:v>
                  </c:pt>
                  <c:pt idx="96">
                    <c:v>H19</c:v>
                  </c:pt>
                  <c:pt idx="100">
                    <c:v>H20</c:v>
                  </c:pt>
                  <c:pt idx="104">
                    <c:v>H21</c:v>
                  </c:pt>
                  <c:pt idx="108">
                    <c:v>H22</c:v>
                  </c:pt>
                  <c:pt idx="112">
                    <c:v>H23</c:v>
                  </c:pt>
                  <c:pt idx="116">
                    <c:v>H24</c:v>
                  </c:pt>
                  <c:pt idx="120">
                    <c:v>H25</c:v>
                  </c:pt>
                  <c:pt idx="124">
                    <c:v>H26</c:v>
                  </c:pt>
                  <c:pt idx="128">
                    <c:v>H27</c:v>
                  </c:pt>
                  <c:pt idx="132">
                    <c:v>H28</c:v>
                  </c:pt>
                  <c:pt idx="136">
                    <c:v>H29</c:v>
                  </c:pt>
                  <c:pt idx="140">
                    <c:v>H30</c:v>
                  </c:pt>
                  <c:pt idx="144">
                    <c:v>R01</c:v>
                  </c:pt>
                  <c:pt idx="148">
                    <c:v>R02</c:v>
                  </c:pt>
                </c:lvl>
              </c:multiLvlStrCache>
            </c:multiLvlStrRef>
          </c:cat>
          <c:val>
            <c:numRef>
              <c:f>女発放廃!$O$214:$O$365</c:f>
              <c:numCache>
                <c:formatCode>0.0E+00</c:formatCode>
                <c:ptCount val="152"/>
                <c:pt idx="72">
                  <c:v>0</c:v>
                </c:pt>
                <c:pt idx="73">
                  <c:v>0</c:v>
                </c:pt>
                <c:pt idx="74">
                  <c:v>0</c:v>
                </c:pt>
                <c:pt idx="75">
                  <c:v>0</c:v>
                </c:pt>
                <c:pt idx="76">
                  <c:v>0</c:v>
                </c:pt>
                <c:pt idx="77">
                  <c:v>11000000</c:v>
                </c:pt>
                <c:pt idx="78">
                  <c:v>13000000</c:v>
                </c:pt>
                <c:pt idx="79">
                  <c:v>0</c:v>
                </c:pt>
                <c:pt idx="80">
                  <c:v>0</c:v>
                </c:pt>
                <c:pt idx="81">
                  <c:v>0</c:v>
                </c:pt>
                <c:pt idx="82">
                  <c:v>0</c:v>
                </c:pt>
                <c:pt idx="83">
                  <c:v>0</c:v>
                </c:pt>
                <c:pt idx="84">
                  <c:v>0</c:v>
                </c:pt>
                <c:pt idx="85">
                  <c:v>0</c:v>
                </c:pt>
                <c:pt idx="86">
                  <c:v>25000000</c:v>
                </c:pt>
                <c:pt idx="87">
                  <c:v>0</c:v>
                </c:pt>
                <c:pt idx="88">
                  <c:v>15000000</c:v>
                </c:pt>
                <c:pt idx="89">
                  <c:v>2900000</c:v>
                </c:pt>
                <c:pt idx="90">
                  <c:v>0</c:v>
                </c:pt>
                <c:pt idx="91">
                  <c:v>50000000</c:v>
                </c:pt>
                <c:pt idx="92">
                  <c:v>11000000</c:v>
                </c:pt>
                <c:pt idx="93">
                  <c:v>29000000</c:v>
                </c:pt>
                <c:pt idx="94">
                  <c:v>0</c:v>
                </c:pt>
                <c:pt idx="95">
                  <c:v>20000000</c:v>
                </c:pt>
                <c:pt idx="96">
                  <c:v>19000000</c:v>
                </c:pt>
                <c:pt idx="97">
                  <c:v>0</c:v>
                </c:pt>
                <c:pt idx="98">
                  <c:v>3700000</c:v>
                </c:pt>
                <c:pt idx="99">
                  <c:v>7100000</c:v>
                </c:pt>
                <c:pt idx="100">
                  <c:v>0</c:v>
                </c:pt>
                <c:pt idx="101">
                  <c:v>4200000</c:v>
                </c:pt>
                <c:pt idx="102">
                  <c:v>43000000</c:v>
                </c:pt>
                <c:pt idx="103">
                  <c:v>0</c:v>
                </c:pt>
                <c:pt idx="104">
                  <c:v>24000000</c:v>
                </c:pt>
                <c:pt idx="105">
                  <c:v>9000000</c:v>
                </c:pt>
                <c:pt idx="106">
                  <c:v>0</c:v>
                </c:pt>
                <c:pt idx="107">
                  <c:v>27000000</c:v>
                </c:pt>
                <c:pt idx="108">
                  <c:v>150000000</c:v>
                </c:pt>
                <c:pt idx="109">
                  <c:v>0</c:v>
                </c:pt>
                <c:pt idx="110">
                  <c:v>440000000.00000006</c:v>
                </c:pt>
                <c:pt idx="111">
                  <c:v>57000000</c:v>
                </c:pt>
                <c:pt idx="112">
                  <c:v>0</c:v>
                </c:pt>
                <c:pt idx="113">
                  <c:v>15000000</c:v>
                </c:pt>
                <c:pt idx="114">
                  <c:v>39000000</c:v>
                </c:pt>
                <c:pt idx="115">
                  <c:v>49000000</c:v>
                </c:pt>
                <c:pt idx="116">
                  <c:v>52000000</c:v>
                </c:pt>
                <c:pt idx="117">
                  <c:v>24000000</c:v>
                </c:pt>
                <c:pt idx="118">
                  <c:v>17000000</c:v>
                </c:pt>
                <c:pt idx="119">
                  <c:v>0</c:v>
                </c:pt>
                <c:pt idx="120">
                  <c:v>0</c:v>
                </c:pt>
                <c:pt idx="121">
                  <c:v>0</c:v>
                </c:pt>
                <c:pt idx="122">
                  <c:v>0</c:v>
                </c:pt>
                <c:pt idx="123">
                  <c:v>0</c:v>
                </c:pt>
                <c:pt idx="124">
                  <c:v>0</c:v>
                </c:pt>
                <c:pt idx="125">
                  <c:v>0</c:v>
                </c:pt>
                <c:pt idx="126">
                  <c:v>120000000</c:v>
                </c:pt>
                <c:pt idx="127">
                  <c:v>15000000</c:v>
                </c:pt>
                <c:pt idx="128">
                  <c:v>0</c:v>
                </c:pt>
                <c:pt idx="129">
                  <c:v>12000000</c:v>
                </c:pt>
                <c:pt idx="130">
                  <c:v>0</c:v>
                </c:pt>
                <c:pt idx="131">
                  <c:v>0</c:v>
                </c:pt>
                <c:pt idx="132">
                  <c:v>740000</c:v>
                </c:pt>
                <c:pt idx="133">
                  <c:v>0</c:v>
                </c:pt>
                <c:pt idx="134">
                  <c:v>0</c:v>
                </c:pt>
                <c:pt idx="135">
                  <c:v>0</c:v>
                </c:pt>
                <c:pt idx="136">
                  <c:v>0</c:v>
                </c:pt>
                <c:pt idx="137">
                  <c:v>0</c:v>
                </c:pt>
                <c:pt idx="138">
                  <c:v>34000000</c:v>
                </c:pt>
                <c:pt idx="139">
                  <c:v>0</c:v>
                </c:pt>
                <c:pt idx="140">
                  <c:v>0</c:v>
                </c:pt>
                <c:pt idx="141">
                  <c:v>0</c:v>
                </c:pt>
                <c:pt idx="142">
                  <c:v>0</c:v>
                </c:pt>
                <c:pt idx="143">
                  <c:v>23000000</c:v>
                </c:pt>
              </c:numCache>
            </c:numRef>
          </c:val>
          <c:smooth val="0"/>
        </c:ser>
        <c:dLbls>
          <c:showLegendKey val="0"/>
          <c:showVal val="0"/>
          <c:showCatName val="0"/>
          <c:showSerName val="0"/>
          <c:showPercent val="0"/>
          <c:showBubbleSize val="0"/>
        </c:dLbls>
        <c:marker val="1"/>
        <c:smooth val="0"/>
        <c:axId val="295260160"/>
        <c:axId val="295360384"/>
      </c:lineChart>
      <c:catAx>
        <c:axId val="295260160"/>
        <c:scaling>
          <c:orientation val="minMax"/>
        </c:scaling>
        <c:delete val="0"/>
        <c:axPos val="b"/>
        <c:majorGridlines>
          <c:spPr>
            <a:ln w="3175">
              <a:solidFill>
                <a:schemeClr val="bg1">
                  <a:lumMod val="85000"/>
                </a:schemeClr>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95360384"/>
        <c:crosses val="autoZero"/>
        <c:auto val="0"/>
        <c:lblAlgn val="ctr"/>
        <c:lblOffset val="100"/>
        <c:tickLblSkip val="4"/>
        <c:tickMarkSkip val="4"/>
        <c:noMultiLvlLbl val="0"/>
      </c:catAx>
      <c:valAx>
        <c:axId val="295360384"/>
        <c:scaling>
          <c:logBase val="10"/>
          <c:orientation val="minMax"/>
          <c:min val="100000"/>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rot="0" vert="horz"/>
              <a:lstStyle/>
              <a:p>
                <a:pPr algn="ctr">
                  <a:defRPr sz="1000" b="0" i="0" u="none" strike="noStrike" baseline="0">
                    <a:solidFill>
                      <a:srgbClr val="000000"/>
                    </a:solidFill>
                    <a:latin typeface="Meiryo UI"/>
                    <a:ea typeface="Meiryo UI"/>
                    <a:cs typeface="Meiryo UI"/>
                  </a:defRPr>
                </a:pPr>
                <a:r>
                  <a:rPr lang="en-US" altLang="en-US"/>
                  <a:t>Bq</a:t>
                </a:r>
              </a:p>
            </c:rich>
          </c:tx>
          <c:layout>
            <c:manualLayout>
              <c:xMode val="edge"/>
              <c:yMode val="edge"/>
              <c:x val="4.2573675845531532E-2"/>
              <c:y val="8.1802068859039678E-2"/>
            </c:manualLayout>
          </c:layout>
          <c:overlay val="0"/>
          <c:spPr>
            <a:solidFill>
              <a:srgbClr val="FFFFFF"/>
            </a:solidFill>
            <a:ln w="25400">
              <a:noFill/>
            </a:ln>
          </c:spPr>
        </c:title>
        <c:numFmt formatCode="0.0E+0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95260160"/>
        <c:crosses val="autoZero"/>
        <c:crossBetween val="between"/>
      </c:valAx>
      <c:spPr>
        <a:solidFill>
          <a:srgbClr val="FFFFFF"/>
        </a:solidFill>
        <a:ln w="12700">
          <a:solidFill>
            <a:srgbClr val="808080"/>
          </a:solidFill>
          <a:prstDash val="solid"/>
        </a:ln>
      </c:spPr>
    </c:plotArea>
    <c:legend>
      <c:legendPos val="r"/>
      <c:layout>
        <c:manualLayout>
          <c:xMode val="edge"/>
          <c:yMode val="edge"/>
          <c:x val="0.39382430637465865"/>
          <c:y val="0.73182522772888681"/>
          <c:w val="0.22308299482124633"/>
          <c:h val="7.4014204106839565E-2"/>
        </c:manualLayout>
      </c:layout>
      <c:overlay val="0"/>
      <c:spPr>
        <a:solidFill>
          <a:srgbClr val="FFFFFF"/>
        </a:solidFill>
        <a:ln w="25400">
          <a:noFill/>
        </a:ln>
      </c:spPr>
      <c:txPr>
        <a:bodyPr/>
        <a:lstStyle/>
        <a:p>
          <a:pPr>
            <a:defRPr sz="11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400" b="0" i="0" u="none" strike="noStrike" baseline="0">
                <a:solidFill>
                  <a:srgbClr val="000000"/>
                </a:solidFill>
                <a:latin typeface="Meiryo UI"/>
                <a:ea typeface="Meiryo UI"/>
              </a:rPr>
              <a:t>放射性固体廃棄物の状況</a:t>
            </a:r>
            <a:endParaRPr lang="ja-JP" altLang="en-US" sz="1600" b="0" i="0" u="none" strike="noStrike" baseline="0">
              <a:solidFill>
                <a:srgbClr val="000000"/>
              </a:solidFill>
              <a:latin typeface="Meiryo UI"/>
              <a:ea typeface="Meiryo UI"/>
            </a:endParaRPr>
          </a:p>
          <a:p>
            <a:pPr>
              <a:defRPr sz="1100" b="0" i="0" u="none" strike="noStrike" baseline="0">
                <a:solidFill>
                  <a:srgbClr val="000000"/>
                </a:solidFill>
                <a:latin typeface="明朝"/>
                <a:ea typeface="明朝"/>
                <a:cs typeface="明朝"/>
              </a:defRPr>
            </a:pPr>
            <a:r>
              <a:rPr lang="ja-JP" altLang="en-US" sz="1100" b="0" i="0" u="none" strike="noStrike" baseline="0">
                <a:solidFill>
                  <a:srgbClr val="000000"/>
                </a:solidFill>
                <a:latin typeface="Meiryo UI"/>
                <a:ea typeface="Meiryo UI"/>
              </a:rPr>
              <a:t>(ドラム缶換算本数/折線:左軸)</a:t>
            </a:r>
          </a:p>
        </c:rich>
      </c:tx>
      <c:layout>
        <c:manualLayout>
          <c:xMode val="edge"/>
          <c:yMode val="edge"/>
          <c:x val="0.70874904351689583"/>
          <c:y val="0.61124276366862595"/>
        </c:manualLayout>
      </c:layout>
      <c:overlay val="0"/>
      <c:spPr>
        <a:solidFill>
          <a:srgbClr val="FFFFFF"/>
        </a:solidFill>
        <a:ln w="25400">
          <a:noFill/>
        </a:ln>
      </c:spPr>
    </c:title>
    <c:autoTitleDeleted val="0"/>
    <c:plotArea>
      <c:layout>
        <c:manualLayout>
          <c:layoutTarget val="inner"/>
          <c:xMode val="edge"/>
          <c:yMode val="edge"/>
          <c:x val="5.903191124459907E-2"/>
          <c:y val="3.5398230088495575E-2"/>
          <c:w val="0.88075611576941815"/>
          <c:h val="0.87831858407079644"/>
        </c:manualLayout>
      </c:layout>
      <c:barChart>
        <c:barDir val="col"/>
        <c:grouping val="stacked"/>
        <c:varyColors val="0"/>
        <c:ser>
          <c:idx val="1"/>
          <c:order val="0"/>
          <c:tx>
            <c:strRef>
              <c:f>女発放廃!$X$162:$X$163</c:f>
              <c:strCache>
                <c:ptCount val="1"/>
                <c:pt idx="0">
                  <c:v>ﾄﾞﾗﾑ缶発生量(本) 原子炉施設合計</c:v>
                </c:pt>
              </c:strCache>
            </c:strRef>
          </c:tx>
          <c:spPr>
            <a:solidFill>
              <a:srgbClr val="FFFF99"/>
            </a:solidFill>
            <a:ln w="12700">
              <a:solidFill>
                <a:srgbClr val="000000"/>
              </a:solidFill>
              <a:prstDash val="solid"/>
            </a:ln>
          </c:spPr>
          <c:invertIfNegative val="0"/>
          <c:cat>
            <c:strRef>
              <c:f>女発放廃!$C$164:$C$202</c:f>
              <c:strCache>
                <c:ptCount val="39"/>
                <c:pt idx="0">
                  <c:v>S58</c:v>
                </c:pt>
                <c:pt idx="1">
                  <c:v>S59</c:v>
                </c:pt>
                <c:pt idx="2">
                  <c:v>S60</c:v>
                </c:pt>
                <c:pt idx="3">
                  <c:v>S61</c:v>
                </c:pt>
                <c:pt idx="4">
                  <c:v>S62</c:v>
                </c:pt>
                <c:pt idx="5">
                  <c:v>S63</c:v>
                </c:pt>
                <c:pt idx="6">
                  <c:v>H01</c:v>
                </c:pt>
                <c:pt idx="7">
                  <c:v>H02</c:v>
                </c:pt>
                <c:pt idx="8">
                  <c:v>H03</c:v>
                </c:pt>
                <c:pt idx="9">
                  <c:v>H04</c:v>
                </c:pt>
                <c:pt idx="10">
                  <c:v>H05</c:v>
                </c:pt>
                <c:pt idx="11">
                  <c:v>H06</c:v>
                </c:pt>
                <c:pt idx="12">
                  <c:v>H07</c:v>
                </c:pt>
                <c:pt idx="13">
                  <c:v>H08</c:v>
                </c:pt>
                <c:pt idx="14">
                  <c:v>H09</c:v>
                </c:pt>
                <c:pt idx="15">
                  <c:v>H10</c:v>
                </c:pt>
                <c:pt idx="16">
                  <c:v>H11</c:v>
                </c:pt>
                <c:pt idx="17">
                  <c:v>H12</c:v>
                </c:pt>
                <c:pt idx="18">
                  <c:v>H13</c:v>
                </c:pt>
                <c:pt idx="19">
                  <c:v>H14</c:v>
                </c:pt>
                <c:pt idx="20">
                  <c:v>H15</c:v>
                </c:pt>
                <c:pt idx="21">
                  <c:v>H16</c:v>
                </c:pt>
                <c:pt idx="22">
                  <c:v>H17</c:v>
                </c:pt>
                <c:pt idx="23">
                  <c:v>H18</c:v>
                </c:pt>
                <c:pt idx="24">
                  <c:v>H19</c:v>
                </c:pt>
                <c:pt idx="25">
                  <c:v>H20</c:v>
                </c:pt>
                <c:pt idx="26">
                  <c:v>H21</c:v>
                </c:pt>
                <c:pt idx="27">
                  <c:v>H22</c:v>
                </c:pt>
                <c:pt idx="28">
                  <c:v>H23</c:v>
                </c:pt>
                <c:pt idx="29">
                  <c:v>H24</c:v>
                </c:pt>
                <c:pt idx="30">
                  <c:v>H25</c:v>
                </c:pt>
                <c:pt idx="31">
                  <c:v>H26</c:v>
                </c:pt>
                <c:pt idx="32">
                  <c:v>H27</c:v>
                </c:pt>
                <c:pt idx="33">
                  <c:v>H28</c:v>
                </c:pt>
                <c:pt idx="34">
                  <c:v>H29</c:v>
                </c:pt>
                <c:pt idx="35">
                  <c:v>H30</c:v>
                </c:pt>
                <c:pt idx="36">
                  <c:v>R01</c:v>
                </c:pt>
                <c:pt idx="37">
                  <c:v>R02</c:v>
                </c:pt>
                <c:pt idx="38">
                  <c:v>R03</c:v>
                </c:pt>
              </c:strCache>
            </c:strRef>
          </c:cat>
          <c:val>
            <c:numRef>
              <c:f>女発放廃!$X$164:$X$202</c:f>
              <c:numCache>
                <c:formatCode>0</c:formatCode>
                <c:ptCount val="39"/>
                <c:pt idx="0">
                  <c:v>152</c:v>
                </c:pt>
                <c:pt idx="1">
                  <c:v>344</c:v>
                </c:pt>
                <c:pt idx="2">
                  <c:v>1180</c:v>
                </c:pt>
                <c:pt idx="3">
                  <c:v>1696</c:v>
                </c:pt>
                <c:pt idx="4">
                  <c:v>1384</c:v>
                </c:pt>
                <c:pt idx="5">
                  <c:v>1480</c:v>
                </c:pt>
                <c:pt idx="6">
                  <c:v>1844</c:v>
                </c:pt>
                <c:pt idx="7">
                  <c:v>3136</c:v>
                </c:pt>
                <c:pt idx="8">
                  <c:v>1951</c:v>
                </c:pt>
                <c:pt idx="9">
                  <c:v>2052</c:v>
                </c:pt>
                <c:pt idx="10">
                  <c:v>2048</c:v>
                </c:pt>
                <c:pt idx="11">
                  <c:v>2184</c:v>
                </c:pt>
                <c:pt idx="12">
                  <c:v>2976</c:v>
                </c:pt>
                <c:pt idx="13">
                  <c:v>1368</c:v>
                </c:pt>
                <c:pt idx="14">
                  <c:v>3368</c:v>
                </c:pt>
                <c:pt idx="15">
                  <c:v>2336</c:v>
                </c:pt>
                <c:pt idx="16">
                  <c:v>2424</c:v>
                </c:pt>
                <c:pt idx="17">
                  <c:v>2124</c:v>
                </c:pt>
                <c:pt idx="18">
                  <c:v>3720</c:v>
                </c:pt>
                <c:pt idx="19">
                  <c:v>2912</c:v>
                </c:pt>
                <c:pt idx="20">
                  <c:v>2692</c:v>
                </c:pt>
                <c:pt idx="21">
                  <c:v>3876</c:v>
                </c:pt>
                <c:pt idx="22">
                  <c:v>3116</c:v>
                </c:pt>
                <c:pt idx="23">
                  <c:v>2704</c:v>
                </c:pt>
                <c:pt idx="24">
                  <c:v>3720</c:v>
                </c:pt>
                <c:pt idx="25">
                  <c:v>5320</c:v>
                </c:pt>
                <c:pt idx="26">
                  <c:v>4532</c:v>
                </c:pt>
                <c:pt idx="27">
                  <c:v>7097</c:v>
                </c:pt>
                <c:pt idx="28">
                  <c:v>3128</c:v>
                </c:pt>
                <c:pt idx="29">
                  <c:v>6296</c:v>
                </c:pt>
                <c:pt idx="30">
                  <c:v>3100</c:v>
                </c:pt>
                <c:pt idx="31">
                  <c:v>2232</c:v>
                </c:pt>
                <c:pt idx="32" formatCode="General">
                  <c:v>2268</c:v>
                </c:pt>
                <c:pt idx="33" formatCode="General">
                  <c:v>2244</c:v>
                </c:pt>
                <c:pt idx="34" formatCode="General">
                  <c:v>3140</c:v>
                </c:pt>
              </c:numCache>
            </c:numRef>
          </c:val>
        </c:ser>
        <c:ser>
          <c:idx val="2"/>
          <c:order val="1"/>
          <c:tx>
            <c:strRef>
              <c:f>女発放廃!$Y$162:$Y$163</c:f>
              <c:strCache>
                <c:ptCount val="1"/>
                <c:pt idx="0">
                  <c:v>発電所内減量(焼却等)</c:v>
                </c:pt>
              </c:strCache>
            </c:strRef>
          </c:tx>
          <c:spPr>
            <a:solidFill>
              <a:srgbClr val="CCFFCC"/>
            </a:solidFill>
            <a:ln w="3175">
              <a:solidFill>
                <a:srgbClr val="000000"/>
              </a:solidFill>
              <a:prstDash val="solid"/>
            </a:ln>
          </c:spPr>
          <c:invertIfNegative val="0"/>
          <c:cat>
            <c:strRef>
              <c:f>女発放廃!$C$164:$C$202</c:f>
              <c:strCache>
                <c:ptCount val="39"/>
                <c:pt idx="0">
                  <c:v>S58</c:v>
                </c:pt>
                <c:pt idx="1">
                  <c:v>S59</c:v>
                </c:pt>
                <c:pt idx="2">
                  <c:v>S60</c:v>
                </c:pt>
                <c:pt idx="3">
                  <c:v>S61</c:v>
                </c:pt>
                <c:pt idx="4">
                  <c:v>S62</c:v>
                </c:pt>
                <c:pt idx="5">
                  <c:v>S63</c:v>
                </c:pt>
                <c:pt idx="6">
                  <c:v>H01</c:v>
                </c:pt>
                <c:pt idx="7">
                  <c:v>H02</c:v>
                </c:pt>
                <c:pt idx="8">
                  <c:v>H03</c:v>
                </c:pt>
                <c:pt idx="9">
                  <c:v>H04</c:v>
                </c:pt>
                <c:pt idx="10">
                  <c:v>H05</c:v>
                </c:pt>
                <c:pt idx="11">
                  <c:v>H06</c:v>
                </c:pt>
                <c:pt idx="12">
                  <c:v>H07</c:v>
                </c:pt>
                <c:pt idx="13">
                  <c:v>H08</c:v>
                </c:pt>
                <c:pt idx="14">
                  <c:v>H09</c:v>
                </c:pt>
                <c:pt idx="15">
                  <c:v>H10</c:v>
                </c:pt>
                <c:pt idx="16">
                  <c:v>H11</c:v>
                </c:pt>
                <c:pt idx="17">
                  <c:v>H12</c:v>
                </c:pt>
                <c:pt idx="18">
                  <c:v>H13</c:v>
                </c:pt>
                <c:pt idx="19">
                  <c:v>H14</c:v>
                </c:pt>
                <c:pt idx="20">
                  <c:v>H15</c:v>
                </c:pt>
                <c:pt idx="21">
                  <c:v>H16</c:v>
                </c:pt>
                <c:pt idx="22">
                  <c:v>H17</c:v>
                </c:pt>
                <c:pt idx="23">
                  <c:v>H18</c:v>
                </c:pt>
                <c:pt idx="24">
                  <c:v>H19</c:v>
                </c:pt>
                <c:pt idx="25">
                  <c:v>H20</c:v>
                </c:pt>
                <c:pt idx="26">
                  <c:v>H21</c:v>
                </c:pt>
                <c:pt idx="27">
                  <c:v>H22</c:v>
                </c:pt>
                <c:pt idx="28">
                  <c:v>H23</c:v>
                </c:pt>
                <c:pt idx="29">
                  <c:v>H24</c:v>
                </c:pt>
                <c:pt idx="30">
                  <c:v>H25</c:v>
                </c:pt>
                <c:pt idx="31">
                  <c:v>H26</c:v>
                </c:pt>
                <c:pt idx="32">
                  <c:v>H27</c:v>
                </c:pt>
                <c:pt idx="33">
                  <c:v>H28</c:v>
                </c:pt>
                <c:pt idx="34">
                  <c:v>H29</c:v>
                </c:pt>
                <c:pt idx="35">
                  <c:v>H30</c:v>
                </c:pt>
                <c:pt idx="36">
                  <c:v>R01</c:v>
                </c:pt>
                <c:pt idx="37">
                  <c:v>R02</c:v>
                </c:pt>
                <c:pt idx="38">
                  <c:v>R03</c:v>
                </c:pt>
              </c:strCache>
            </c:strRef>
          </c:cat>
          <c:val>
            <c:numRef>
              <c:f>女発放廃!$Y$164:$Y$202</c:f>
              <c:numCache>
                <c:formatCode>0</c:formatCode>
                <c:ptCount val="39"/>
                <c:pt idx="6">
                  <c:v>-1428</c:v>
                </c:pt>
                <c:pt idx="7">
                  <c:v>-1536</c:v>
                </c:pt>
                <c:pt idx="8">
                  <c:v>-1495</c:v>
                </c:pt>
                <c:pt idx="9">
                  <c:v>-1260</c:v>
                </c:pt>
                <c:pt idx="10">
                  <c:v>-760</c:v>
                </c:pt>
                <c:pt idx="11">
                  <c:v>-980</c:v>
                </c:pt>
                <c:pt idx="12">
                  <c:v>-808</c:v>
                </c:pt>
                <c:pt idx="13">
                  <c:v>-1484</c:v>
                </c:pt>
                <c:pt idx="14">
                  <c:v>-1264</c:v>
                </c:pt>
                <c:pt idx="15">
                  <c:v>-696</c:v>
                </c:pt>
                <c:pt idx="16">
                  <c:v>-800</c:v>
                </c:pt>
                <c:pt idx="17">
                  <c:v>-904</c:v>
                </c:pt>
                <c:pt idx="18">
                  <c:v>-1108</c:v>
                </c:pt>
                <c:pt idx="19">
                  <c:v>-1500</c:v>
                </c:pt>
                <c:pt idx="20">
                  <c:v>-1664</c:v>
                </c:pt>
                <c:pt idx="21">
                  <c:v>-532</c:v>
                </c:pt>
                <c:pt idx="22">
                  <c:v>-1520</c:v>
                </c:pt>
                <c:pt idx="23">
                  <c:v>-3648</c:v>
                </c:pt>
                <c:pt idx="24">
                  <c:v>-1852</c:v>
                </c:pt>
                <c:pt idx="25">
                  <c:v>-2052</c:v>
                </c:pt>
                <c:pt idx="26">
                  <c:v>-4900</c:v>
                </c:pt>
                <c:pt idx="27">
                  <c:v>-6317</c:v>
                </c:pt>
              </c:numCache>
            </c:numRef>
          </c:val>
        </c:ser>
        <c:ser>
          <c:idx val="3"/>
          <c:order val="2"/>
          <c:tx>
            <c:strRef>
              <c:f>女発放廃!$Z$162:$Z$163</c:f>
              <c:strCache>
                <c:ptCount val="1"/>
                <c:pt idx="0">
                  <c:v>発電所外減量(搬出実績)</c:v>
                </c:pt>
              </c:strCache>
            </c:strRef>
          </c:tx>
          <c:spPr>
            <a:solidFill>
              <a:srgbClr val="A0E0E0"/>
            </a:solidFill>
            <a:ln w="12700">
              <a:solidFill>
                <a:srgbClr val="000000"/>
              </a:solidFill>
              <a:prstDash val="solid"/>
            </a:ln>
          </c:spPr>
          <c:invertIfNegative val="0"/>
          <c:val>
            <c:numRef>
              <c:f>女発放廃!$Z$164:$Z$202</c:f>
              <c:numCache>
                <c:formatCode>0</c:formatCode>
                <c:ptCount val="39"/>
                <c:pt idx="11">
                  <c:v>-960</c:v>
                </c:pt>
                <c:pt idx="12">
                  <c:v>-960</c:v>
                </c:pt>
                <c:pt idx="13">
                  <c:v>-960</c:v>
                </c:pt>
                <c:pt idx="14">
                  <c:v>-456</c:v>
                </c:pt>
                <c:pt idx="15">
                  <c:v>-912</c:v>
                </c:pt>
                <c:pt idx="16">
                  <c:v>0</c:v>
                </c:pt>
                <c:pt idx="17">
                  <c:v>0</c:v>
                </c:pt>
                <c:pt idx="18">
                  <c:v>0</c:v>
                </c:pt>
                <c:pt idx="19">
                  <c:v>0</c:v>
                </c:pt>
                <c:pt idx="20">
                  <c:v>0</c:v>
                </c:pt>
                <c:pt idx="21">
                  <c:v>0</c:v>
                </c:pt>
                <c:pt idx="22">
                  <c:v>0</c:v>
                </c:pt>
                <c:pt idx="23">
                  <c:v>0</c:v>
                </c:pt>
                <c:pt idx="24">
                  <c:v>-992</c:v>
                </c:pt>
                <c:pt idx="25">
                  <c:v>-960</c:v>
                </c:pt>
                <c:pt idx="26">
                  <c:v>-640</c:v>
                </c:pt>
                <c:pt idx="27">
                  <c:v>-320</c:v>
                </c:pt>
              </c:numCache>
            </c:numRef>
          </c:val>
        </c:ser>
        <c:dLbls>
          <c:showLegendKey val="0"/>
          <c:showVal val="0"/>
          <c:showCatName val="0"/>
          <c:showSerName val="0"/>
          <c:showPercent val="0"/>
          <c:showBubbleSize val="0"/>
        </c:dLbls>
        <c:gapWidth val="50"/>
        <c:overlap val="100"/>
        <c:axId val="242044928"/>
        <c:axId val="242045696"/>
      </c:barChart>
      <c:lineChart>
        <c:grouping val="standard"/>
        <c:varyColors val="0"/>
        <c:ser>
          <c:idx val="0"/>
          <c:order val="3"/>
          <c:tx>
            <c:strRef>
              <c:f>女発放廃!$AB$162:$AB$163</c:f>
              <c:strCache>
                <c:ptCount val="1"/>
                <c:pt idx="0">
                  <c:v>ﾄﾞﾗﾑ缶累積保管量(本)</c:v>
                </c:pt>
              </c:strCache>
            </c:strRef>
          </c:tx>
          <c:spPr>
            <a:ln w="25400">
              <a:solidFill>
                <a:srgbClr val="993366"/>
              </a:solidFill>
              <a:prstDash val="solid"/>
            </a:ln>
          </c:spPr>
          <c:marker>
            <c:symbol val="triangle"/>
            <c:size val="7"/>
            <c:spPr>
              <a:solidFill>
                <a:srgbClr val="FFFFFF"/>
              </a:solidFill>
              <a:ln>
                <a:solidFill>
                  <a:srgbClr val="993366"/>
                </a:solidFill>
                <a:prstDash val="solid"/>
              </a:ln>
            </c:spPr>
          </c:marker>
          <c:cat>
            <c:strRef>
              <c:f>女発放廃!$C$164:$C$202</c:f>
              <c:strCache>
                <c:ptCount val="39"/>
                <c:pt idx="0">
                  <c:v>S58</c:v>
                </c:pt>
                <c:pt idx="1">
                  <c:v>S59</c:v>
                </c:pt>
                <c:pt idx="2">
                  <c:v>S60</c:v>
                </c:pt>
                <c:pt idx="3">
                  <c:v>S61</c:v>
                </c:pt>
                <c:pt idx="4">
                  <c:v>S62</c:v>
                </c:pt>
                <c:pt idx="5">
                  <c:v>S63</c:v>
                </c:pt>
                <c:pt idx="6">
                  <c:v>H01</c:v>
                </c:pt>
                <c:pt idx="7">
                  <c:v>H02</c:v>
                </c:pt>
                <c:pt idx="8">
                  <c:v>H03</c:v>
                </c:pt>
                <c:pt idx="9">
                  <c:v>H04</c:v>
                </c:pt>
                <c:pt idx="10">
                  <c:v>H05</c:v>
                </c:pt>
                <c:pt idx="11">
                  <c:v>H06</c:v>
                </c:pt>
                <c:pt idx="12">
                  <c:v>H07</c:v>
                </c:pt>
                <c:pt idx="13">
                  <c:v>H08</c:v>
                </c:pt>
                <c:pt idx="14">
                  <c:v>H09</c:v>
                </c:pt>
                <c:pt idx="15">
                  <c:v>H10</c:v>
                </c:pt>
                <c:pt idx="16">
                  <c:v>H11</c:v>
                </c:pt>
                <c:pt idx="17">
                  <c:v>H12</c:v>
                </c:pt>
                <c:pt idx="18">
                  <c:v>H13</c:v>
                </c:pt>
                <c:pt idx="19">
                  <c:v>H14</c:v>
                </c:pt>
                <c:pt idx="20">
                  <c:v>H15</c:v>
                </c:pt>
                <c:pt idx="21">
                  <c:v>H16</c:v>
                </c:pt>
                <c:pt idx="22">
                  <c:v>H17</c:v>
                </c:pt>
                <c:pt idx="23">
                  <c:v>H18</c:v>
                </c:pt>
                <c:pt idx="24">
                  <c:v>H19</c:v>
                </c:pt>
                <c:pt idx="25">
                  <c:v>H20</c:v>
                </c:pt>
                <c:pt idx="26">
                  <c:v>H21</c:v>
                </c:pt>
                <c:pt idx="27">
                  <c:v>H22</c:v>
                </c:pt>
                <c:pt idx="28">
                  <c:v>H23</c:v>
                </c:pt>
                <c:pt idx="29">
                  <c:v>H24</c:v>
                </c:pt>
                <c:pt idx="30">
                  <c:v>H25</c:v>
                </c:pt>
                <c:pt idx="31">
                  <c:v>H26</c:v>
                </c:pt>
                <c:pt idx="32">
                  <c:v>H27</c:v>
                </c:pt>
                <c:pt idx="33">
                  <c:v>H28</c:v>
                </c:pt>
                <c:pt idx="34">
                  <c:v>H29</c:v>
                </c:pt>
                <c:pt idx="35">
                  <c:v>H30</c:v>
                </c:pt>
                <c:pt idx="36">
                  <c:v>R01</c:v>
                </c:pt>
                <c:pt idx="37">
                  <c:v>R02</c:v>
                </c:pt>
                <c:pt idx="38">
                  <c:v>R03</c:v>
                </c:pt>
              </c:strCache>
            </c:strRef>
          </c:cat>
          <c:val>
            <c:numRef>
              <c:f>女発放廃!$AB$164:$AB$202</c:f>
              <c:numCache>
                <c:formatCode>0</c:formatCode>
                <c:ptCount val="39"/>
                <c:pt idx="0">
                  <c:v>152</c:v>
                </c:pt>
                <c:pt idx="1">
                  <c:v>496</c:v>
                </c:pt>
                <c:pt idx="2">
                  <c:v>1676</c:v>
                </c:pt>
                <c:pt idx="3">
                  <c:v>3372</c:v>
                </c:pt>
                <c:pt idx="4">
                  <c:v>4756</c:v>
                </c:pt>
                <c:pt idx="5">
                  <c:v>6236</c:v>
                </c:pt>
                <c:pt idx="6">
                  <c:v>6652</c:v>
                </c:pt>
                <c:pt idx="7">
                  <c:v>7252</c:v>
                </c:pt>
                <c:pt idx="8">
                  <c:v>7708</c:v>
                </c:pt>
                <c:pt idx="9">
                  <c:v>8500</c:v>
                </c:pt>
                <c:pt idx="10">
                  <c:v>9788</c:v>
                </c:pt>
                <c:pt idx="11">
                  <c:v>10032</c:v>
                </c:pt>
                <c:pt idx="12">
                  <c:v>11240</c:v>
                </c:pt>
                <c:pt idx="13">
                  <c:v>10164</c:v>
                </c:pt>
                <c:pt idx="14">
                  <c:v>11812</c:v>
                </c:pt>
                <c:pt idx="15">
                  <c:v>12540</c:v>
                </c:pt>
                <c:pt idx="16">
                  <c:v>14164</c:v>
                </c:pt>
                <c:pt idx="17">
                  <c:v>15384</c:v>
                </c:pt>
                <c:pt idx="18">
                  <c:v>17996</c:v>
                </c:pt>
                <c:pt idx="19">
                  <c:v>19408</c:v>
                </c:pt>
                <c:pt idx="20">
                  <c:v>20436</c:v>
                </c:pt>
                <c:pt idx="21">
                  <c:v>23780</c:v>
                </c:pt>
                <c:pt idx="22">
                  <c:v>25376</c:v>
                </c:pt>
                <c:pt idx="23">
                  <c:v>24432</c:v>
                </c:pt>
                <c:pt idx="24">
                  <c:v>25308</c:v>
                </c:pt>
                <c:pt idx="25">
                  <c:v>27616</c:v>
                </c:pt>
                <c:pt idx="26">
                  <c:v>26608</c:v>
                </c:pt>
                <c:pt idx="27">
                  <c:v>27068</c:v>
                </c:pt>
                <c:pt idx="28">
                  <c:v>26592</c:v>
                </c:pt>
                <c:pt idx="29">
                  <c:v>26844</c:v>
                </c:pt>
                <c:pt idx="30">
                  <c:v>27532</c:v>
                </c:pt>
                <c:pt idx="31">
                  <c:v>28658</c:v>
                </c:pt>
                <c:pt idx="32">
                  <c:v>30276</c:v>
                </c:pt>
                <c:pt idx="33">
                  <c:v>31764</c:v>
                </c:pt>
                <c:pt idx="34">
                  <c:v>32632</c:v>
                </c:pt>
              </c:numCache>
            </c:numRef>
          </c:val>
          <c:smooth val="0"/>
        </c:ser>
        <c:ser>
          <c:idx val="4"/>
          <c:order val="4"/>
          <c:tx>
            <c:strRef>
              <c:f>女発放廃!$AC$162:$AC$163</c:f>
              <c:strCache>
                <c:ptCount val="1"/>
                <c:pt idx="0">
                  <c:v>貯蔵能力(ﾄﾞﾗﾑ缶換算本数) 貯蔵能力</c:v>
                </c:pt>
              </c:strCache>
            </c:strRef>
          </c:tx>
          <c:spPr>
            <a:ln w="25400">
              <a:solidFill>
                <a:srgbClr val="336666"/>
              </a:solidFill>
              <a:prstDash val="solid"/>
            </a:ln>
          </c:spPr>
          <c:marker>
            <c:symbol val="diamond"/>
            <c:size val="7"/>
            <c:spPr>
              <a:solidFill>
                <a:srgbClr val="FFFFFF"/>
              </a:solidFill>
              <a:ln>
                <a:solidFill>
                  <a:srgbClr val="336666"/>
                </a:solidFill>
                <a:prstDash val="solid"/>
              </a:ln>
            </c:spPr>
          </c:marker>
          <c:cat>
            <c:strRef>
              <c:f>女発放廃!$C$164:$C$202</c:f>
              <c:strCache>
                <c:ptCount val="39"/>
                <c:pt idx="0">
                  <c:v>S58</c:v>
                </c:pt>
                <c:pt idx="1">
                  <c:v>S59</c:v>
                </c:pt>
                <c:pt idx="2">
                  <c:v>S60</c:v>
                </c:pt>
                <c:pt idx="3">
                  <c:v>S61</c:v>
                </c:pt>
                <c:pt idx="4">
                  <c:v>S62</c:v>
                </c:pt>
                <c:pt idx="5">
                  <c:v>S63</c:v>
                </c:pt>
                <c:pt idx="6">
                  <c:v>H01</c:v>
                </c:pt>
                <c:pt idx="7">
                  <c:v>H02</c:v>
                </c:pt>
                <c:pt idx="8">
                  <c:v>H03</c:v>
                </c:pt>
                <c:pt idx="9">
                  <c:v>H04</c:v>
                </c:pt>
                <c:pt idx="10">
                  <c:v>H05</c:v>
                </c:pt>
                <c:pt idx="11">
                  <c:v>H06</c:v>
                </c:pt>
                <c:pt idx="12">
                  <c:v>H07</c:v>
                </c:pt>
                <c:pt idx="13">
                  <c:v>H08</c:v>
                </c:pt>
                <c:pt idx="14">
                  <c:v>H09</c:v>
                </c:pt>
                <c:pt idx="15">
                  <c:v>H10</c:v>
                </c:pt>
                <c:pt idx="16">
                  <c:v>H11</c:v>
                </c:pt>
                <c:pt idx="17">
                  <c:v>H12</c:v>
                </c:pt>
                <c:pt idx="18">
                  <c:v>H13</c:v>
                </c:pt>
                <c:pt idx="19">
                  <c:v>H14</c:v>
                </c:pt>
                <c:pt idx="20">
                  <c:v>H15</c:v>
                </c:pt>
                <c:pt idx="21">
                  <c:v>H16</c:v>
                </c:pt>
                <c:pt idx="22">
                  <c:v>H17</c:v>
                </c:pt>
                <c:pt idx="23">
                  <c:v>H18</c:v>
                </c:pt>
                <c:pt idx="24">
                  <c:v>H19</c:v>
                </c:pt>
                <c:pt idx="25">
                  <c:v>H20</c:v>
                </c:pt>
                <c:pt idx="26">
                  <c:v>H21</c:v>
                </c:pt>
                <c:pt idx="27">
                  <c:v>H22</c:v>
                </c:pt>
                <c:pt idx="28">
                  <c:v>H23</c:v>
                </c:pt>
                <c:pt idx="29">
                  <c:v>H24</c:v>
                </c:pt>
                <c:pt idx="30">
                  <c:v>H25</c:v>
                </c:pt>
                <c:pt idx="31">
                  <c:v>H26</c:v>
                </c:pt>
                <c:pt idx="32">
                  <c:v>H27</c:v>
                </c:pt>
                <c:pt idx="33">
                  <c:v>H28</c:v>
                </c:pt>
                <c:pt idx="34">
                  <c:v>H29</c:v>
                </c:pt>
                <c:pt idx="35">
                  <c:v>H30</c:v>
                </c:pt>
                <c:pt idx="36">
                  <c:v>R01</c:v>
                </c:pt>
                <c:pt idx="37">
                  <c:v>R02</c:v>
                </c:pt>
                <c:pt idx="38">
                  <c:v>R03</c:v>
                </c:pt>
              </c:strCache>
            </c:strRef>
          </c:cat>
          <c:val>
            <c:numRef>
              <c:f>女発放廃!$AC$164:$AC$202</c:f>
              <c:numCache>
                <c:formatCode>0_);[Red]\(0\)</c:formatCode>
                <c:ptCount val="39"/>
                <c:pt idx="0">
                  <c:v>15000</c:v>
                </c:pt>
                <c:pt idx="1">
                  <c:v>15000</c:v>
                </c:pt>
                <c:pt idx="2">
                  <c:v>15000</c:v>
                </c:pt>
                <c:pt idx="3">
                  <c:v>15000</c:v>
                </c:pt>
                <c:pt idx="4">
                  <c:v>15000</c:v>
                </c:pt>
                <c:pt idx="5">
                  <c:v>15000</c:v>
                </c:pt>
                <c:pt idx="6">
                  <c:v>15000</c:v>
                </c:pt>
                <c:pt idx="7">
                  <c:v>15000</c:v>
                </c:pt>
                <c:pt idx="8">
                  <c:v>15000</c:v>
                </c:pt>
                <c:pt idx="9">
                  <c:v>15000</c:v>
                </c:pt>
                <c:pt idx="10">
                  <c:v>15000</c:v>
                </c:pt>
                <c:pt idx="11">
                  <c:v>20000</c:v>
                </c:pt>
                <c:pt idx="12">
                  <c:v>20000</c:v>
                </c:pt>
                <c:pt idx="13">
                  <c:v>20000</c:v>
                </c:pt>
                <c:pt idx="14">
                  <c:v>20000</c:v>
                </c:pt>
                <c:pt idx="15">
                  <c:v>20000</c:v>
                </c:pt>
                <c:pt idx="16">
                  <c:v>30000</c:v>
                </c:pt>
                <c:pt idx="17">
                  <c:v>30000</c:v>
                </c:pt>
                <c:pt idx="18">
                  <c:v>30000</c:v>
                </c:pt>
                <c:pt idx="19">
                  <c:v>30000</c:v>
                </c:pt>
                <c:pt idx="20">
                  <c:v>30000</c:v>
                </c:pt>
                <c:pt idx="21">
                  <c:v>30000</c:v>
                </c:pt>
                <c:pt idx="22">
                  <c:v>30000</c:v>
                </c:pt>
                <c:pt idx="23">
                  <c:v>30000</c:v>
                </c:pt>
                <c:pt idx="24">
                  <c:v>30000</c:v>
                </c:pt>
                <c:pt idx="25">
                  <c:v>30000</c:v>
                </c:pt>
                <c:pt idx="26">
                  <c:v>30000</c:v>
                </c:pt>
                <c:pt idx="27">
                  <c:v>30000</c:v>
                </c:pt>
                <c:pt idx="28">
                  <c:v>30000</c:v>
                </c:pt>
                <c:pt idx="29">
                  <c:v>30132</c:v>
                </c:pt>
                <c:pt idx="30">
                  <c:v>30132</c:v>
                </c:pt>
                <c:pt idx="31">
                  <c:v>55488</c:v>
                </c:pt>
                <c:pt idx="32">
                  <c:v>55488</c:v>
                </c:pt>
                <c:pt idx="33">
                  <c:v>55488</c:v>
                </c:pt>
                <c:pt idx="34">
                  <c:v>55488</c:v>
                </c:pt>
                <c:pt idx="35">
                  <c:v>55488</c:v>
                </c:pt>
              </c:numCache>
            </c:numRef>
          </c:val>
          <c:smooth val="0"/>
        </c:ser>
        <c:dLbls>
          <c:showLegendKey val="0"/>
          <c:showVal val="0"/>
          <c:showCatName val="0"/>
          <c:showSerName val="0"/>
          <c:showPercent val="0"/>
          <c:showBubbleSize val="0"/>
        </c:dLbls>
        <c:marker val="1"/>
        <c:smooth val="0"/>
        <c:axId val="242047232"/>
        <c:axId val="242061312"/>
      </c:lineChart>
      <c:catAx>
        <c:axId val="242044928"/>
        <c:scaling>
          <c:orientation val="minMax"/>
        </c:scaling>
        <c:delete val="0"/>
        <c:axPos val="b"/>
        <c:majorGridlines>
          <c:spPr>
            <a:ln w="3175">
              <a:solidFill>
                <a:schemeClr val="bg1">
                  <a:lumMod val="85000"/>
                </a:schemeClr>
              </a:solid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42045696"/>
        <c:crossesAt val="-8000"/>
        <c:auto val="0"/>
        <c:lblAlgn val="ctr"/>
        <c:lblOffset val="100"/>
        <c:tickLblSkip val="1"/>
        <c:tickMarkSkip val="1"/>
        <c:noMultiLvlLbl val="0"/>
      </c:catAx>
      <c:valAx>
        <c:axId val="242045696"/>
        <c:scaling>
          <c:orientation val="minMax"/>
        </c:scaling>
        <c:delete val="0"/>
        <c:axPos val="l"/>
        <c:majorGridlines>
          <c:spPr>
            <a:ln w="3175">
              <a:solidFill>
                <a:schemeClr val="bg1">
                  <a:lumMod val="85000"/>
                </a:schemeClr>
              </a:solidFill>
              <a:prstDash val="solid"/>
            </a:ln>
          </c:spPr>
        </c:majorGridlines>
        <c:numFmt formatCode="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42044928"/>
        <c:crosses val="autoZero"/>
        <c:crossBetween val="between"/>
      </c:valAx>
      <c:catAx>
        <c:axId val="242047232"/>
        <c:scaling>
          <c:orientation val="minMax"/>
        </c:scaling>
        <c:delete val="1"/>
        <c:axPos val="b"/>
        <c:majorTickMark val="out"/>
        <c:minorTickMark val="none"/>
        <c:tickLblPos val="nextTo"/>
        <c:crossAx val="242061312"/>
        <c:crosses val="autoZero"/>
        <c:auto val="0"/>
        <c:lblAlgn val="ctr"/>
        <c:lblOffset val="100"/>
        <c:noMultiLvlLbl val="0"/>
      </c:catAx>
      <c:valAx>
        <c:axId val="242061312"/>
        <c:scaling>
          <c:orientation val="minMax"/>
        </c:scaling>
        <c:delete val="0"/>
        <c:axPos val="r"/>
        <c:numFmt formatCode="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42047232"/>
        <c:crosses val="max"/>
        <c:crossBetween val="between"/>
      </c:valAx>
      <c:spPr>
        <a:solidFill>
          <a:srgbClr val="FFFFFF"/>
        </a:solidFill>
        <a:ln w="12700">
          <a:solidFill>
            <a:srgbClr val="808080"/>
          </a:solidFill>
          <a:prstDash val="solid"/>
        </a:ln>
      </c:spPr>
    </c:plotArea>
    <c:legend>
      <c:legendPos val="r"/>
      <c:layout>
        <c:manualLayout>
          <c:xMode val="edge"/>
          <c:yMode val="edge"/>
          <c:x val="5.7057611137165849E-2"/>
          <c:y val="1.5817012310081018E-2"/>
          <c:w val="0.5989089921753511"/>
          <c:h val="0.11661483863812798"/>
        </c:manualLayout>
      </c:layout>
      <c:overlay val="0"/>
      <c:spPr>
        <a:solidFill>
          <a:srgbClr val="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200" b="0" i="0" u="none" strike="noStrike" baseline="0">
                <a:solidFill>
                  <a:srgbClr val="000000"/>
                </a:solidFill>
                <a:latin typeface="Meiryo UI"/>
                <a:ea typeface="Meiryo UI"/>
              </a:rPr>
              <a:t>放射性気体廃棄物</a:t>
            </a:r>
          </a:p>
          <a:p>
            <a:pPr>
              <a:defRPr sz="11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(放射性希ガス)</a:t>
            </a:r>
          </a:p>
        </c:rich>
      </c:tx>
      <c:layout>
        <c:manualLayout>
          <c:xMode val="edge"/>
          <c:yMode val="edge"/>
          <c:x val="0.25971731448763252"/>
          <c:y val="1.5822784810126583E-2"/>
        </c:manualLayout>
      </c:layout>
      <c:overlay val="0"/>
      <c:spPr>
        <a:noFill/>
        <a:ln w="25400">
          <a:noFill/>
        </a:ln>
      </c:spPr>
    </c:title>
    <c:autoTitleDeleted val="0"/>
    <c:plotArea>
      <c:layout>
        <c:manualLayout>
          <c:layoutTarget val="inner"/>
          <c:xMode val="edge"/>
          <c:yMode val="edge"/>
          <c:x val="7.9505300353356886E-2"/>
          <c:y val="5.063298963018819E-2"/>
          <c:w val="0.90459363957597172"/>
          <c:h val="0.82595064334244483"/>
        </c:manualLayout>
      </c:layout>
      <c:lineChart>
        <c:grouping val="standard"/>
        <c:varyColors val="0"/>
        <c:ser>
          <c:idx val="0"/>
          <c:order val="0"/>
          <c:tx>
            <c:strRef>
              <c:f>女発放廃!$G$163</c:f>
              <c:strCache>
                <c:ptCount val="1"/>
                <c:pt idx="0">
                  <c:v>原子炉施設合計</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strRef>
              <c:f>女発放廃!$C$164:$C$202</c:f>
              <c:strCache>
                <c:ptCount val="39"/>
                <c:pt idx="0">
                  <c:v>S58</c:v>
                </c:pt>
                <c:pt idx="1">
                  <c:v>S59</c:v>
                </c:pt>
                <c:pt idx="2">
                  <c:v>S60</c:v>
                </c:pt>
                <c:pt idx="3">
                  <c:v>S61</c:v>
                </c:pt>
                <c:pt idx="4">
                  <c:v>S62</c:v>
                </c:pt>
                <c:pt idx="5">
                  <c:v>S63</c:v>
                </c:pt>
                <c:pt idx="6">
                  <c:v>H01</c:v>
                </c:pt>
                <c:pt idx="7">
                  <c:v>H02</c:v>
                </c:pt>
                <c:pt idx="8">
                  <c:v>H03</c:v>
                </c:pt>
                <c:pt idx="9">
                  <c:v>H04</c:v>
                </c:pt>
                <c:pt idx="10">
                  <c:v>H05</c:v>
                </c:pt>
                <c:pt idx="11">
                  <c:v>H06</c:v>
                </c:pt>
                <c:pt idx="12">
                  <c:v>H07</c:v>
                </c:pt>
                <c:pt idx="13">
                  <c:v>H08</c:v>
                </c:pt>
                <c:pt idx="14">
                  <c:v>H09</c:v>
                </c:pt>
                <c:pt idx="15">
                  <c:v>H10</c:v>
                </c:pt>
                <c:pt idx="16">
                  <c:v>H11</c:v>
                </c:pt>
                <c:pt idx="17">
                  <c:v>H12</c:v>
                </c:pt>
                <c:pt idx="18">
                  <c:v>H13</c:v>
                </c:pt>
                <c:pt idx="19">
                  <c:v>H14</c:v>
                </c:pt>
                <c:pt idx="20">
                  <c:v>H15</c:v>
                </c:pt>
                <c:pt idx="21">
                  <c:v>H16</c:v>
                </c:pt>
                <c:pt idx="22">
                  <c:v>H17</c:v>
                </c:pt>
                <c:pt idx="23">
                  <c:v>H18</c:v>
                </c:pt>
                <c:pt idx="24">
                  <c:v>H19</c:v>
                </c:pt>
                <c:pt idx="25">
                  <c:v>H20</c:v>
                </c:pt>
                <c:pt idx="26">
                  <c:v>H21</c:v>
                </c:pt>
                <c:pt idx="27">
                  <c:v>H22</c:v>
                </c:pt>
                <c:pt idx="28">
                  <c:v>H23</c:v>
                </c:pt>
                <c:pt idx="29">
                  <c:v>H24</c:v>
                </c:pt>
                <c:pt idx="30">
                  <c:v>H25</c:v>
                </c:pt>
                <c:pt idx="31">
                  <c:v>H26</c:v>
                </c:pt>
                <c:pt idx="32">
                  <c:v>H27</c:v>
                </c:pt>
                <c:pt idx="33">
                  <c:v>H28</c:v>
                </c:pt>
                <c:pt idx="34">
                  <c:v>H29</c:v>
                </c:pt>
                <c:pt idx="35">
                  <c:v>H30</c:v>
                </c:pt>
                <c:pt idx="36">
                  <c:v>R01</c:v>
                </c:pt>
                <c:pt idx="37">
                  <c:v>R02</c:v>
                </c:pt>
                <c:pt idx="38">
                  <c:v>R03</c:v>
                </c:pt>
              </c:strCache>
            </c:strRef>
          </c:cat>
          <c:val>
            <c:numRef>
              <c:f>女発放廃!$G$164:$G$202</c:f>
              <c:numCache>
                <c:formatCode>0.0E+00</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5310000000000</c:v>
                </c:pt>
                <c:pt idx="28">
                  <c:v>420000000000</c:v>
                </c:pt>
                <c:pt idx="29">
                  <c:v>0</c:v>
                </c:pt>
                <c:pt idx="30">
                  <c:v>0</c:v>
                </c:pt>
                <c:pt idx="31">
                  <c:v>0</c:v>
                </c:pt>
                <c:pt idx="32" formatCode="General">
                  <c:v>0</c:v>
                </c:pt>
                <c:pt idx="33" formatCode="General">
                  <c:v>0</c:v>
                </c:pt>
                <c:pt idx="34" formatCode="General">
                  <c:v>0</c:v>
                </c:pt>
                <c:pt idx="35" formatCode="General">
                  <c:v>0</c:v>
                </c:pt>
              </c:numCache>
            </c:numRef>
          </c:val>
          <c:smooth val="0"/>
        </c:ser>
        <c:ser>
          <c:idx val="1"/>
          <c:order val="1"/>
          <c:tx>
            <c:strRef>
              <c:f>女発放廃!$H$163</c:f>
              <c:strCache>
                <c:ptCount val="1"/>
                <c:pt idx="0">
                  <c:v>施設合計の年間放出管理目標</c:v>
                </c:pt>
              </c:strCache>
            </c:strRef>
          </c:tx>
          <c:spPr>
            <a:ln w="12700">
              <a:solidFill>
                <a:srgbClr val="FF0000"/>
              </a:solidFill>
              <a:prstDash val="solid"/>
            </a:ln>
          </c:spPr>
          <c:marker>
            <c:symbol val="square"/>
            <c:size val="6"/>
            <c:spPr>
              <a:solidFill>
                <a:srgbClr val="FFFFFF"/>
              </a:solidFill>
              <a:ln>
                <a:solidFill>
                  <a:srgbClr val="FF0000"/>
                </a:solidFill>
                <a:prstDash val="solid"/>
              </a:ln>
            </c:spPr>
          </c:marker>
          <c:cat>
            <c:strRef>
              <c:f>女発放廃!$C$164:$C$202</c:f>
              <c:strCache>
                <c:ptCount val="39"/>
                <c:pt idx="0">
                  <c:v>S58</c:v>
                </c:pt>
                <c:pt idx="1">
                  <c:v>S59</c:v>
                </c:pt>
                <c:pt idx="2">
                  <c:v>S60</c:v>
                </c:pt>
                <c:pt idx="3">
                  <c:v>S61</c:v>
                </c:pt>
                <c:pt idx="4">
                  <c:v>S62</c:v>
                </c:pt>
                <c:pt idx="5">
                  <c:v>S63</c:v>
                </c:pt>
                <c:pt idx="6">
                  <c:v>H01</c:v>
                </c:pt>
                <c:pt idx="7">
                  <c:v>H02</c:v>
                </c:pt>
                <c:pt idx="8">
                  <c:v>H03</c:v>
                </c:pt>
                <c:pt idx="9">
                  <c:v>H04</c:v>
                </c:pt>
                <c:pt idx="10">
                  <c:v>H05</c:v>
                </c:pt>
                <c:pt idx="11">
                  <c:v>H06</c:v>
                </c:pt>
                <c:pt idx="12">
                  <c:v>H07</c:v>
                </c:pt>
                <c:pt idx="13">
                  <c:v>H08</c:v>
                </c:pt>
                <c:pt idx="14">
                  <c:v>H09</c:v>
                </c:pt>
                <c:pt idx="15">
                  <c:v>H10</c:v>
                </c:pt>
                <c:pt idx="16">
                  <c:v>H11</c:v>
                </c:pt>
                <c:pt idx="17">
                  <c:v>H12</c:v>
                </c:pt>
                <c:pt idx="18">
                  <c:v>H13</c:v>
                </c:pt>
                <c:pt idx="19">
                  <c:v>H14</c:v>
                </c:pt>
                <c:pt idx="20">
                  <c:v>H15</c:v>
                </c:pt>
                <c:pt idx="21">
                  <c:v>H16</c:v>
                </c:pt>
                <c:pt idx="22">
                  <c:v>H17</c:v>
                </c:pt>
                <c:pt idx="23">
                  <c:v>H18</c:v>
                </c:pt>
                <c:pt idx="24">
                  <c:v>H19</c:v>
                </c:pt>
                <c:pt idx="25">
                  <c:v>H20</c:v>
                </c:pt>
                <c:pt idx="26">
                  <c:v>H21</c:v>
                </c:pt>
                <c:pt idx="27">
                  <c:v>H22</c:v>
                </c:pt>
                <c:pt idx="28">
                  <c:v>H23</c:v>
                </c:pt>
                <c:pt idx="29">
                  <c:v>H24</c:v>
                </c:pt>
                <c:pt idx="30">
                  <c:v>H25</c:v>
                </c:pt>
                <c:pt idx="31">
                  <c:v>H26</c:v>
                </c:pt>
                <c:pt idx="32">
                  <c:v>H27</c:v>
                </c:pt>
                <c:pt idx="33">
                  <c:v>H28</c:v>
                </c:pt>
                <c:pt idx="34">
                  <c:v>H29</c:v>
                </c:pt>
                <c:pt idx="35">
                  <c:v>H30</c:v>
                </c:pt>
                <c:pt idx="36">
                  <c:v>R01</c:v>
                </c:pt>
                <c:pt idx="37">
                  <c:v>R02</c:v>
                </c:pt>
                <c:pt idx="38">
                  <c:v>R03</c:v>
                </c:pt>
              </c:strCache>
            </c:strRef>
          </c:cat>
          <c:val>
            <c:numRef>
              <c:f>女発放廃!$H$164:$H$202</c:f>
              <c:numCache>
                <c:formatCode>0.0E+00</c:formatCode>
                <c:ptCount val="39"/>
                <c:pt idx="0">
                  <c:v>1406000000000000</c:v>
                </c:pt>
                <c:pt idx="1">
                  <c:v>1406000000000000</c:v>
                </c:pt>
                <c:pt idx="2">
                  <c:v>1406000000000000</c:v>
                </c:pt>
                <c:pt idx="3">
                  <c:v>1406000000000000</c:v>
                </c:pt>
                <c:pt idx="4">
                  <c:v>1406000000000000</c:v>
                </c:pt>
                <c:pt idx="5">
                  <c:v>1406000000000000</c:v>
                </c:pt>
                <c:pt idx="6">
                  <c:v>1406000000000000</c:v>
                </c:pt>
                <c:pt idx="7">
                  <c:v>1406000000000000</c:v>
                </c:pt>
                <c:pt idx="8">
                  <c:v>1406000000000000</c:v>
                </c:pt>
                <c:pt idx="9">
                  <c:v>1406000000000000</c:v>
                </c:pt>
                <c:pt idx="10">
                  <c:v>1406000000000000</c:v>
                </c:pt>
                <c:pt idx="11">
                  <c:v>2600000000000000</c:v>
                </c:pt>
                <c:pt idx="12">
                  <c:v>2600000000000000</c:v>
                </c:pt>
                <c:pt idx="13">
                  <c:v>2600000000000000</c:v>
                </c:pt>
                <c:pt idx="14">
                  <c:v>2600000000000000</c:v>
                </c:pt>
                <c:pt idx="15">
                  <c:v>2600000000000000</c:v>
                </c:pt>
                <c:pt idx="16">
                  <c:v>2600000000000000</c:v>
                </c:pt>
                <c:pt idx="17">
                  <c:v>2600000000000000</c:v>
                </c:pt>
                <c:pt idx="18">
                  <c:v>3800000000000000</c:v>
                </c:pt>
                <c:pt idx="19">
                  <c:v>3800000000000000</c:v>
                </c:pt>
                <c:pt idx="20">
                  <c:v>3800000000000000</c:v>
                </c:pt>
                <c:pt idx="21">
                  <c:v>3800000000000000</c:v>
                </c:pt>
                <c:pt idx="22">
                  <c:v>3800000000000000</c:v>
                </c:pt>
                <c:pt idx="23">
                  <c:v>3800000000000000</c:v>
                </c:pt>
                <c:pt idx="24">
                  <c:v>3800000000000000</c:v>
                </c:pt>
                <c:pt idx="25">
                  <c:v>3800000000000000</c:v>
                </c:pt>
                <c:pt idx="26">
                  <c:v>3800000000000000</c:v>
                </c:pt>
                <c:pt idx="27">
                  <c:v>3800000000000000</c:v>
                </c:pt>
                <c:pt idx="28">
                  <c:v>3800000000000000</c:v>
                </c:pt>
                <c:pt idx="29">
                  <c:v>3800000000000000</c:v>
                </c:pt>
                <c:pt idx="30">
                  <c:v>3800000000000000</c:v>
                </c:pt>
                <c:pt idx="31">
                  <c:v>3800000000000000</c:v>
                </c:pt>
                <c:pt idx="32">
                  <c:v>3800000000000000</c:v>
                </c:pt>
                <c:pt idx="33">
                  <c:v>3800000000000000</c:v>
                </c:pt>
                <c:pt idx="34">
                  <c:v>3800000000000000</c:v>
                </c:pt>
                <c:pt idx="35">
                  <c:v>3800000000000000</c:v>
                </c:pt>
              </c:numCache>
            </c:numRef>
          </c:val>
          <c:smooth val="0"/>
        </c:ser>
        <c:dLbls>
          <c:showLegendKey val="0"/>
          <c:showVal val="0"/>
          <c:showCatName val="0"/>
          <c:showSerName val="0"/>
          <c:showPercent val="0"/>
          <c:showBubbleSize val="0"/>
        </c:dLbls>
        <c:marker val="1"/>
        <c:smooth val="0"/>
        <c:axId val="243016448"/>
        <c:axId val="243018368"/>
      </c:lineChart>
      <c:catAx>
        <c:axId val="243016448"/>
        <c:scaling>
          <c:orientation val="minMax"/>
        </c:scaling>
        <c:delete val="0"/>
        <c:axPos val="b"/>
        <c:majorGridlines>
          <c:spPr>
            <a:ln>
              <a:solidFill>
                <a:schemeClr val="bg1">
                  <a:lumMod val="85000"/>
                </a:schemeClr>
              </a:solidFill>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43018368"/>
        <c:crosses val="autoZero"/>
        <c:auto val="1"/>
        <c:lblAlgn val="ctr"/>
        <c:lblOffset val="100"/>
        <c:tickLblSkip val="2"/>
        <c:tickMarkSkip val="1"/>
        <c:noMultiLvlLbl val="0"/>
      </c:catAx>
      <c:valAx>
        <c:axId val="243018368"/>
        <c:scaling>
          <c:orientation val="minMax"/>
        </c:scaling>
        <c:delete val="0"/>
        <c:axPos val="l"/>
        <c:majorGridlines>
          <c:spPr>
            <a:ln w="3175">
              <a:solidFill>
                <a:schemeClr val="bg1">
                  <a:lumMod val="85000"/>
                </a:schemeClr>
              </a:solidFill>
              <a:prstDash val="solid"/>
            </a:ln>
          </c:spPr>
        </c:majorGridlines>
        <c:title>
          <c:tx>
            <c:rich>
              <a:bodyPr rot="0" vert="horz"/>
              <a:lstStyle/>
              <a:p>
                <a:pPr algn="ctr">
                  <a:defRPr sz="1100" b="0" i="0" u="none" strike="noStrike" baseline="0">
                    <a:solidFill>
                      <a:srgbClr val="000000"/>
                    </a:solidFill>
                    <a:latin typeface="ＭＳ Ｐゴシック"/>
                    <a:ea typeface="ＭＳ Ｐゴシック"/>
                    <a:cs typeface="ＭＳ Ｐゴシック"/>
                  </a:defRPr>
                </a:pPr>
                <a:r>
                  <a:rPr lang="ja-JP" altLang="en-US" sz="900" b="0" i="0" u="none" strike="noStrike" baseline="0">
                    <a:solidFill>
                      <a:srgbClr val="000000"/>
                    </a:solidFill>
                    <a:latin typeface="Meiryo UI"/>
                    <a:ea typeface="Meiryo UI"/>
                  </a:rPr>
                  <a:t>テラBq</a:t>
                </a:r>
              </a:p>
            </c:rich>
          </c:tx>
          <c:layout>
            <c:manualLayout>
              <c:xMode val="edge"/>
              <c:yMode val="edge"/>
              <c:x val="8.1272084805653705E-2"/>
              <c:y val="0.16772185122429314"/>
            </c:manualLayout>
          </c:layout>
          <c:overlay val="0"/>
          <c:spPr>
            <a:solidFill>
              <a:srgbClr val="FFFFFF"/>
            </a:solid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43016448"/>
        <c:crosses val="autoZero"/>
        <c:crossBetween val="between"/>
      </c:valAx>
      <c:spPr>
        <a:noFill/>
        <a:ln w="12700">
          <a:solidFill>
            <a:srgbClr val="808080"/>
          </a:solidFill>
          <a:prstDash val="solid"/>
        </a:ln>
      </c:spPr>
    </c:plotArea>
    <c:legend>
      <c:legendPos val="r"/>
      <c:layout>
        <c:manualLayout>
          <c:xMode val="edge"/>
          <c:yMode val="edge"/>
          <c:x val="0.48056537102473496"/>
          <c:y val="0.4715196518156749"/>
          <c:w val="0.40106007067137805"/>
          <c:h val="0.12658261071796406"/>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200" b="0" i="0" u="none" strike="noStrike" baseline="0">
                <a:solidFill>
                  <a:srgbClr val="000000"/>
                </a:solidFill>
                <a:latin typeface="Meiryo UI"/>
                <a:ea typeface="Meiryo UI"/>
              </a:rPr>
              <a:t>放射性気体廃棄物</a:t>
            </a:r>
          </a:p>
          <a:p>
            <a:pPr>
              <a:defRPr sz="11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(放射性よう素)</a:t>
            </a:r>
          </a:p>
        </c:rich>
      </c:tx>
      <c:layout>
        <c:manualLayout>
          <c:xMode val="edge"/>
          <c:yMode val="edge"/>
          <c:x val="0.26017717696792325"/>
          <c:y val="1.7667844522968199E-2"/>
        </c:manualLayout>
      </c:layout>
      <c:overlay val="0"/>
      <c:spPr>
        <a:noFill/>
        <a:ln w="25400">
          <a:noFill/>
        </a:ln>
      </c:spPr>
    </c:title>
    <c:autoTitleDeleted val="0"/>
    <c:plotArea>
      <c:layout>
        <c:manualLayout>
          <c:layoutTarget val="inner"/>
          <c:xMode val="edge"/>
          <c:yMode val="edge"/>
          <c:x val="6.7256695292359725E-2"/>
          <c:y val="5.6537200021394694E-2"/>
          <c:w val="0.91681495161690374"/>
          <c:h val="0.80565510030487442"/>
        </c:manualLayout>
      </c:layout>
      <c:lineChart>
        <c:grouping val="standard"/>
        <c:varyColors val="0"/>
        <c:ser>
          <c:idx val="0"/>
          <c:order val="0"/>
          <c:tx>
            <c:strRef>
              <c:f>女発放廃!$L$163</c:f>
              <c:strCache>
                <c:ptCount val="1"/>
                <c:pt idx="0">
                  <c:v>原子炉施設合計</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strRef>
              <c:f>女発放廃!$C$164:$C$202</c:f>
              <c:strCache>
                <c:ptCount val="39"/>
                <c:pt idx="0">
                  <c:v>S58</c:v>
                </c:pt>
                <c:pt idx="1">
                  <c:v>S59</c:v>
                </c:pt>
                <c:pt idx="2">
                  <c:v>S60</c:v>
                </c:pt>
                <c:pt idx="3">
                  <c:v>S61</c:v>
                </c:pt>
                <c:pt idx="4">
                  <c:v>S62</c:v>
                </c:pt>
                <c:pt idx="5">
                  <c:v>S63</c:v>
                </c:pt>
                <c:pt idx="6">
                  <c:v>H01</c:v>
                </c:pt>
                <c:pt idx="7">
                  <c:v>H02</c:v>
                </c:pt>
                <c:pt idx="8">
                  <c:v>H03</c:v>
                </c:pt>
                <c:pt idx="9">
                  <c:v>H04</c:v>
                </c:pt>
                <c:pt idx="10">
                  <c:v>H05</c:v>
                </c:pt>
                <c:pt idx="11">
                  <c:v>H06</c:v>
                </c:pt>
                <c:pt idx="12">
                  <c:v>H07</c:v>
                </c:pt>
                <c:pt idx="13">
                  <c:v>H08</c:v>
                </c:pt>
                <c:pt idx="14">
                  <c:v>H09</c:v>
                </c:pt>
                <c:pt idx="15">
                  <c:v>H10</c:v>
                </c:pt>
                <c:pt idx="16">
                  <c:v>H11</c:v>
                </c:pt>
                <c:pt idx="17">
                  <c:v>H12</c:v>
                </c:pt>
                <c:pt idx="18">
                  <c:v>H13</c:v>
                </c:pt>
                <c:pt idx="19">
                  <c:v>H14</c:v>
                </c:pt>
                <c:pt idx="20">
                  <c:v>H15</c:v>
                </c:pt>
                <c:pt idx="21">
                  <c:v>H16</c:v>
                </c:pt>
                <c:pt idx="22">
                  <c:v>H17</c:v>
                </c:pt>
                <c:pt idx="23">
                  <c:v>H18</c:v>
                </c:pt>
                <c:pt idx="24">
                  <c:v>H19</c:v>
                </c:pt>
                <c:pt idx="25">
                  <c:v>H20</c:v>
                </c:pt>
                <c:pt idx="26">
                  <c:v>H21</c:v>
                </c:pt>
                <c:pt idx="27">
                  <c:v>H22</c:v>
                </c:pt>
                <c:pt idx="28">
                  <c:v>H23</c:v>
                </c:pt>
                <c:pt idx="29">
                  <c:v>H24</c:v>
                </c:pt>
                <c:pt idx="30">
                  <c:v>H25</c:v>
                </c:pt>
                <c:pt idx="31">
                  <c:v>H26</c:v>
                </c:pt>
                <c:pt idx="32">
                  <c:v>H27</c:v>
                </c:pt>
                <c:pt idx="33">
                  <c:v>H28</c:v>
                </c:pt>
                <c:pt idx="34">
                  <c:v>H29</c:v>
                </c:pt>
                <c:pt idx="35">
                  <c:v>H30</c:v>
                </c:pt>
                <c:pt idx="36">
                  <c:v>R01</c:v>
                </c:pt>
                <c:pt idx="37">
                  <c:v>R02</c:v>
                </c:pt>
                <c:pt idx="38">
                  <c:v>R03</c:v>
                </c:pt>
              </c:strCache>
            </c:strRef>
          </c:cat>
          <c:val>
            <c:numRef>
              <c:f>女発放廃!$L$164:$L$202</c:f>
              <c:numCache>
                <c:formatCode>0.0E+00</c:formatCode>
                <c:ptCount val="39"/>
                <c:pt idx="0">
                  <c:v>0</c:v>
                </c:pt>
                <c:pt idx="1">
                  <c:v>0</c:v>
                </c:pt>
                <c:pt idx="2">
                  <c:v>0</c:v>
                </c:pt>
                <c:pt idx="3">
                  <c:v>15170000.000000002</c:v>
                </c:pt>
                <c:pt idx="4">
                  <c:v>0</c:v>
                </c:pt>
                <c:pt idx="5">
                  <c:v>370000.00000000006</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26700000000</c:v>
                </c:pt>
                <c:pt idx="28">
                  <c:v>1030000000</c:v>
                </c:pt>
                <c:pt idx="29">
                  <c:v>0</c:v>
                </c:pt>
                <c:pt idx="30">
                  <c:v>0</c:v>
                </c:pt>
                <c:pt idx="31">
                  <c:v>0</c:v>
                </c:pt>
                <c:pt idx="32" formatCode="General">
                  <c:v>0</c:v>
                </c:pt>
                <c:pt idx="33" formatCode="General">
                  <c:v>0</c:v>
                </c:pt>
                <c:pt idx="34" formatCode="General">
                  <c:v>0</c:v>
                </c:pt>
                <c:pt idx="35" formatCode="General">
                  <c:v>0</c:v>
                </c:pt>
              </c:numCache>
            </c:numRef>
          </c:val>
          <c:smooth val="0"/>
        </c:ser>
        <c:ser>
          <c:idx val="1"/>
          <c:order val="1"/>
          <c:tx>
            <c:strRef>
              <c:f>女発放廃!$M$163</c:f>
              <c:strCache>
                <c:ptCount val="1"/>
                <c:pt idx="0">
                  <c:v>施設合計の年間放出管理目標</c:v>
                </c:pt>
              </c:strCache>
            </c:strRef>
          </c:tx>
          <c:spPr>
            <a:ln w="12700">
              <a:solidFill>
                <a:srgbClr val="FF0000"/>
              </a:solidFill>
              <a:prstDash val="solid"/>
            </a:ln>
          </c:spPr>
          <c:marker>
            <c:symbol val="square"/>
            <c:size val="6"/>
            <c:spPr>
              <a:solidFill>
                <a:srgbClr val="FFFFFF"/>
              </a:solidFill>
              <a:ln>
                <a:solidFill>
                  <a:srgbClr val="FF0000"/>
                </a:solidFill>
                <a:prstDash val="solid"/>
              </a:ln>
            </c:spPr>
          </c:marker>
          <c:cat>
            <c:strRef>
              <c:f>女発放廃!$C$164:$C$202</c:f>
              <c:strCache>
                <c:ptCount val="39"/>
                <c:pt idx="0">
                  <c:v>S58</c:v>
                </c:pt>
                <c:pt idx="1">
                  <c:v>S59</c:v>
                </c:pt>
                <c:pt idx="2">
                  <c:v>S60</c:v>
                </c:pt>
                <c:pt idx="3">
                  <c:v>S61</c:v>
                </c:pt>
                <c:pt idx="4">
                  <c:v>S62</c:v>
                </c:pt>
                <c:pt idx="5">
                  <c:v>S63</c:v>
                </c:pt>
                <c:pt idx="6">
                  <c:v>H01</c:v>
                </c:pt>
                <c:pt idx="7">
                  <c:v>H02</c:v>
                </c:pt>
                <c:pt idx="8">
                  <c:v>H03</c:v>
                </c:pt>
                <c:pt idx="9">
                  <c:v>H04</c:v>
                </c:pt>
                <c:pt idx="10">
                  <c:v>H05</c:v>
                </c:pt>
                <c:pt idx="11">
                  <c:v>H06</c:v>
                </c:pt>
                <c:pt idx="12">
                  <c:v>H07</c:v>
                </c:pt>
                <c:pt idx="13">
                  <c:v>H08</c:v>
                </c:pt>
                <c:pt idx="14">
                  <c:v>H09</c:v>
                </c:pt>
                <c:pt idx="15">
                  <c:v>H10</c:v>
                </c:pt>
                <c:pt idx="16">
                  <c:v>H11</c:v>
                </c:pt>
                <c:pt idx="17">
                  <c:v>H12</c:v>
                </c:pt>
                <c:pt idx="18">
                  <c:v>H13</c:v>
                </c:pt>
                <c:pt idx="19">
                  <c:v>H14</c:v>
                </c:pt>
                <c:pt idx="20">
                  <c:v>H15</c:v>
                </c:pt>
                <c:pt idx="21">
                  <c:v>H16</c:v>
                </c:pt>
                <c:pt idx="22">
                  <c:v>H17</c:v>
                </c:pt>
                <c:pt idx="23">
                  <c:v>H18</c:v>
                </c:pt>
                <c:pt idx="24">
                  <c:v>H19</c:v>
                </c:pt>
                <c:pt idx="25">
                  <c:v>H20</c:v>
                </c:pt>
                <c:pt idx="26">
                  <c:v>H21</c:v>
                </c:pt>
                <c:pt idx="27">
                  <c:v>H22</c:v>
                </c:pt>
                <c:pt idx="28">
                  <c:v>H23</c:v>
                </c:pt>
                <c:pt idx="29">
                  <c:v>H24</c:v>
                </c:pt>
                <c:pt idx="30">
                  <c:v>H25</c:v>
                </c:pt>
                <c:pt idx="31">
                  <c:v>H26</c:v>
                </c:pt>
                <c:pt idx="32">
                  <c:v>H27</c:v>
                </c:pt>
                <c:pt idx="33">
                  <c:v>H28</c:v>
                </c:pt>
                <c:pt idx="34">
                  <c:v>H29</c:v>
                </c:pt>
                <c:pt idx="35">
                  <c:v>H30</c:v>
                </c:pt>
                <c:pt idx="36">
                  <c:v>R01</c:v>
                </c:pt>
                <c:pt idx="37">
                  <c:v>R02</c:v>
                </c:pt>
                <c:pt idx="38">
                  <c:v>R03</c:v>
                </c:pt>
              </c:strCache>
            </c:strRef>
          </c:cat>
          <c:val>
            <c:numRef>
              <c:f>女発放廃!$M$164:$M$202</c:f>
              <c:numCache>
                <c:formatCode>0.0E+00</c:formatCode>
                <c:ptCount val="39"/>
                <c:pt idx="0">
                  <c:v>85100000000</c:v>
                </c:pt>
                <c:pt idx="1">
                  <c:v>85100000000</c:v>
                </c:pt>
                <c:pt idx="2">
                  <c:v>85100000000</c:v>
                </c:pt>
                <c:pt idx="3">
                  <c:v>85100000000</c:v>
                </c:pt>
                <c:pt idx="4">
                  <c:v>85100000000</c:v>
                </c:pt>
                <c:pt idx="5">
                  <c:v>85100000000</c:v>
                </c:pt>
                <c:pt idx="6">
                  <c:v>85100000000</c:v>
                </c:pt>
                <c:pt idx="7">
                  <c:v>85000000000</c:v>
                </c:pt>
                <c:pt idx="8">
                  <c:v>85000000000</c:v>
                </c:pt>
                <c:pt idx="9">
                  <c:v>85000000000</c:v>
                </c:pt>
                <c:pt idx="10">
                  <c:v>85000000000</c:v>
                </c:pt>
                <c:pt idx="11">
                  <c:v>110000000000.00002</c:v>
                </c:pt>
                <c:pt idx="12">
                  <c:v>110000000000.00002</c:v>
                </c:pt>
                <c:pt idx="13">
                  <c:v>110000000000.00002</c:v>
                </c:pt>
                <c:pt idx="14">
                  <c:v>110000000000.00002</c:v>
                </c:pt>
                <c:pt idx="15">
                  <c:v>110000000000.00002</c:v>
                </c:pt>
                <c:pt idx="16">
                  <c:v>110000000000.00002</c:v>
                </c:pt>
                <c:pt idx="17">
                  <c:v>110000000000.00002</c:v>
                </c:pt>
                <c:pt idx="18">
                  <c:v>130000000000</c:v>
                </c:pt>
                <c:pt idx="19">
                  <c:v>130000000000</c:v>
                </c:pt>
                <c:pt idx="20">
                  <c:v>130000000000</c:v>
                </c:pt>
                <c:pt idx="21">
                  <c:v>130000000000</c:v>
                </c:pt>
                <c:pt idx="22">
                  <c:v>130000000000</c:v>
                </c:pt>
                <c:pt idx="23">
                  <c:v>130000000000</c:v>
                </c:pt>
                <c:pt idx="24">
                  <c:v>130000000000</c:v>
                </c:pt>
                <c:pt idx="25">
                  <c:v>130000000000</c:v>
                </c:pt>
                <c:pt idx="26">
                  <c:v>130000000000</c:v>
                </c:pt>
                <c:pt idx="27">
                  <c:v>130000000000</c:v>
                </c:pt>
                <c:pt idx="28">
                  <c:v>130000000000</c:v>
                </c:pt>
                <c:pt idx="29">
                  <c:v>130000000000</c:v>
                </c:pt>
                <c:pt idx="30">
                  <c:v>130000000000</c:v>
                </c:pt>
                <c:pt idx="31">
                  <c:v>130000000000</c:v>
                </c:pt>
                <c:pt idx="32">
                  <c:v>130000000000</c:v>
                </c:pt>
                <c:pt idx="33">
                  <c:v>130000000000</c:v>
                </c:pt>
                <c:pt idx="34">
                  <c:v>130000000000</c:v>
                </c:pt>
                <c:pt idx="35">
                  <c:v>130000000000</c:v>
                </c:pt>
              </c:numCache>
            </c:numRef>
          </c:val>
          <c:smooth val="0"/>
        </c:ser>
        <c:dLbls>
          <c:showLegendKey val="0"/>
          <c:showVal val="0"/>
          <c:showCatName val="0"/>
          <c:showSerName val="0"/>
          <c:showPercent val="0"/>
          <c:showBubbleSize val="0"/>
        </c:dLbls>
        <c:marker val="1"/>
        <c:smooth val="0"/>
        <c:axId val="243047424"/>
        <c:axId val="243049600"/>
      </c:lineChart>
      <c:catAx>
        <c:axId val="243047424"/>
        <c:scaling>
          <c:orientation val="minMax"/>
        </c:scaling>
        <c:delete val="0"/>
        <c:axPos val="b"/>
        <c:majorGridlines>
          <c:spPr>
            <a:ln>
              <a:solidFill>
                <a:schemeClr val="bg1">
                  <a:lumMod val="85000"/>
                </a:schemeClr>
              </a:solidFill>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43049600"/>
        <c:crosses val="autoZero"/>
        <c:auto val="1"/>
        <c:lblAlgn val="ctr"/>
        <c:lblOffset val="100"/>
        <c:tickLblSkip val="2"/>
        <c:tickMarkSkip val="1"/>
        <c:noMultiLvlLbl val="0"/>
      </c:catAx>
      <c:valAx>
        <c:axId val="243049600"/>
        <c:scaling>
          <c:orientation val="minMax"/>
        </c:scaling>
        <c:delete val="0"/>
        <c:axPos val="l"/>
        <c:majorGridlines>
          <c:spPr>
            <a:ln w="3175">
              <a:solidFill>
                <a:schemeClr val="bg1">
                  <a:lumMod val="85000"/>
                </a:schemeClr>
              </a:solidFill>
              <a:prstDash val="solid"/>
            </a:ln>
          </c:spPr>
        </c:majorGridlines>
        <c:title>
          <c:tx>
            <c:rich>
              <a:bodyPr rot="0" vert="horz"/>
              <a:lstStyle/>
              <a:p>
                <a:pPr algn="ctr">
                  <a:defRPr sz="1100" b="0" i="0" u="none" strike="noStrike" baseline="0">
                    <a:solidFill>
                      <a:srgbClr val="000000"/>
                    </a:solidFill>
                    <a:latin typeface="ＭＳ Ｐゴシック"/>
                    <a:ea typeface="ＭＳ Ｐゴシック"/>
                    <a:cs typeface="ＭＳ Ｐゴシック"/>
                  </a:defRPr>
                </a:pPr>
                <a:r>
                  <a:rPr lang="ja-JP" altLang="en-US" sz="900" b="0" i="0" u="none" strike="noStrike" baseline="0">
                    <a:solidFill>
                      <a:srgbClr val="000000"/>
                    </a:solidFill>
                    <a:latin typeface="Meiryo UI"/>
                    <a:ea typeface="Meiryo UI"/>
                  </a:rPr>
                  <a:t>ギガBq</a:t>
                </a:r>
              </a:p>
            </c:rich>
          </c:tx>
          <c:layout>
            <c:manualLayout>
              <c:xMode val="edge"/>
              <c:yMode val="edge"/>
              <c:x val="6.5486725663716813E-2"/>
              <c:y val="0.1908130918264192"/>
            </c:manualLayout>
          </c:layout>
          <c:overlay val="0"/>
          <c:spPr>
            <a:solidFill>
              <a:srgbClr val="FFFFFF"/>
            </a:solid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43047424"/>
        <c:crosses val="autoZero"/>
        <c:crossBetween val="between"/>
      </c:valAx>
      <c:spPr>
        <a:noFill/>
        <a:ln w="12700">
          <a:solidFill>
            <a:srgbClr val="808080"/>
          </a:solidFill>
          <a:prstDash val="solid"/>
        </a:ln>
      </c:spPr>
    </c:plotArea>
    <c:legend>
      <c:legendPos val="r"/>
      <c:layout>
        <c:manualLayout>
          <c:xMode val="edge"/>
          <c:yMode val="edge"/>
          <c:x val="0.46548709729867838"/>
          <c:y val="0.41342830379418116"/>
          <c:w val="0.40177028313938629"/>
          <c:h val="0.14134312716210828"/>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200" b="0" i="0" u="none" strike="noStrike" baseline="0">
                <a:solidFill>
                  <a:srgbClr val="000000"/>
                </a:solidFill>
                <a:latin typeface="Meiryo UI"/>
                <a:ea typeface="Meiryo UI"/>
              </a:rPr>
              <a:t>放射性液体廃棄物</a:t>
            </a:r>
          </a:p>
          <a:p>
            <a:pPr>
              <a:defRPr sz="11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(トリチウム以外)</a:t>
            </a:r>
          </a:p>
        </c:rich>
      </c:tx>
      <c:layout>
        <c:manualLayout>
          <c:xMode val="edge"/>
          <c:yMode val="edge"/>
          <c:x val="0.26175548589341691"/>
          <c:y val="8.8328075709779186E-2"/>
        </c:manualLayout>
      </c:layout>
      <c:overlay val="0"/>
      <c:spPr>
        <a:noFill/>
        <a:ln w="25400">
          <a:noFill/>
        </a:ln>
      </c:spPr>
    </c:title>
    <c:autoTitleDeleted val="0"/>
    <c:plotArea>
      <c:layout>
        <c:manualLayout>
          <c:layoutTarget val="inner"/>
          <c:xMode val="edge"/>
          <c:yMode val="edge"/>
          <c:x val="4.8589341692789965E-2"/>
          <c:y val="5.0473186119873815E-2"/>
          <c:w val="0.93730407523510972"/>
          <c:h val="0.82649842271293372"/>
        </c:manualLayout>
      </c:layout>
      <c:lineChart>
        <c:grouping val="standard"/>
        <c:varyColors val="0"/>
        <c:ser>
          <c:idx val="0"/>
          <c:order val="0"/>
          <c:tx>
            <c:strRef>
              <c:f>女発放廃!$Q$163</c:f>
              <c:strCache>
                <c:ptCount val="1"/>
                <c:pt idx="0">
                  <c:v>原子炉施設合計</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strRef>
              <c:f>女発放廃!$C$164:$C$202</c:f>
              <c:strCache>
                <c:ptCount val="39"/>
                <c:pt idx="0">
                  <c:v>S58</c:v>
                </c:pt>
                <c:pt idx="1">
                  <c:v>S59</c:v>
                </c:pt>
                <c:pt idx="2">
                  <c:v>S60</c:v>
                </c:pt>
                <c:pt idx="3">
                  <c:v>S61</c:v>
                </c:pt>
                <c:pt idx="4">
                  <c:v>S62</c:v>
                </c:pt>
                <c:pt idx="5">
                  <c:v>S63</c:v>
                </c:pt>
                <c:pt idx="6">
                  <c:v>H01</c:v>
                </c:pt>
                <c:pt idx="7">
                  <c:v>H02</c:v>
                </c:pt>
                <c:pt idx="8">
                  <c:v>H03</c:v>
                </c:pt>
                <c:pt idx="9">
                  <c:v>H04</c:v>
                </c:pt>
                <c:pt idx="10">
                  <c:v>H05</c:v>
                </c:pt>
                <c:pt idx="11">
                  <c:v>H06</c:v>
                </c:pt>
                <c:pt idx="12">
                  <c:v>H07</c:v>
                </c:pt>
                <c:pt idx="13">
                  <c:v>H08</c:v>
                </c:pt>
                <c:pt idx="14">
                  <c:v>H09</c:v>
                </c:pt>
                <c:pt idx="15">
                  <c:v>H10</c:v>
                </c:pt>
                <c:pt idx="16">
                  <c:v>H11</c:v>
                </c:pt>
                <c:pt idx="17">
                  <c:v>H12</c:v>
                </c:pt>
                <c:pt idx="18">
                  <c:v>H13</c:v>
                </c:pt>
                <c:pt idx="19">
                  <c:v>H14</c:v>
                </c:pt>
                <c:pt idx="20">
                  <c:v>H15</c:v>
                </c:pt>
                <c:pt idx="21">
                  <c:v>H16</c:v>
                </c:pt>
                <c:pt idx="22">
                  <c:v>H17</c:v>
                </c:pt>
                <c:pt idx="23">
                  <c:v>H18</c:v>
                </c:pt>
                <c:pt idx="24">
                  <c:v>H19</c:v>
                </c:pt>
                <c:pt idx="25">
                  <c:v>H20</c:v>
                </c:pt>
                <c:pt idx="26">
                  <c:v>H21</c:v>
                </c:pt>
                <c:pt idx="27">
                  <c:v>H22</c:v>
                </c:pt>
                <c:pt idx="28">
                  <c:v>H23</c:v>
                </c:pt>
                <c:pt idx="29">
                  <c:v>H24</c:v>
                </c:pt>
                <c:pt idx="30">
                  <c:v>H25</c:v>
                </c:pt>
                <c:pt idx="31">
                  <c:v>H26</c:v>
                </c:pt>
                <c:pt idx="32">
                  <c:v>H27</c:v>
                </c:pt>
                <c:pt idx="33">
                  <c:v>H28</c:v>
                </c:pt>
                <c:pt idx="34">
                  <c:v>H29</c:v>
                </c:pt>
                <c:pt idx="35">
                  <c:v>H30</c:v>
                </c:pt>
                <c:pt idx="36">
                  <c:v>R01</c:v>
                </c:pt>
                <c:pt idx="37">
                  <c:v>R02</c:v>
                </c:pt>
                <c:pt idx="38">
                  <c:v>R03</c:v>
                </c:pt>
              </c:strCache>
            </c:strRef>
          </c:cat>
          <c:val>
            <c:numRef>
              <c:f>女発放廃!$Q$164:$Q$202</c:f>
              <c:numCache>
                <c:formatCode>0.00,,,</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formatCode="General">
                  <c:v>0</c:v>
                </c:pt>
                <c:pt idx="33" formatCode="General">
                  <c:v>0</c:v>
                </c:pt>
                <c:pt idx="34" formatCode="General">
                  <c:v>0</c:v>
                </c:pt>
                <c:pt idx="35" formatCode="General">
                  <c:v>0</c:v>
                </c:pt>
              </c:numCache>
            </c:numRef>
          </c:val>
          <c:smooth val="0"/>
        </c:ser>
        <c:ser>
          <c:idx val="1"/>
          <c:order val="1"/>
          <c:tx>
            <c:strRef>
              <c:f>女発放廃!$R$163</c:f>
              <c:strCache>
                <c:ptCount val="1"/>
                <c:pt idx="0">
                  <c:v>施設合計の年間放出管理目標</c:v>
                </c:pt>
              </c:strCache>
            </c:strRef>
          </c:tx>
          <c:spPr>
            <a:ln w="12700">
              <a:solidFill>
                <a:srgbClr val="FF0000"/>
              </a:solidFill>
              <a:prstDash val="solid"/>
            </a:ln>
          </c:spPr>
          <c:marker>
            <c:symbol val="square"/>
            <c:size val="6"/>
            <c:spPr>
              <a:solidFill>
                <a:srgbClr val="FFFFFF"/>
              </a:solidFill>
              <a:ln>
                <a:solidFill>
                  <a:srgbClr val="FF0000"/>
                </a:solidFill>
                <a:prstDash val="solid"/>
              </a:ln>
            </c:spPr>
          </c:marker>
          <c:cat>
            <c:strRef>
              <c:f>女発放廃!$C$164:$C$202</c:f>
              <c:strCache>
                <c:ptCount val="39"/>
                <c:pt idx="0">
                  <c:v>S58</c:v>
                </c:pt>
                <c:pt idx="1">
                  <c:v>S59</c:v>
                </c:pt>
                <c:pt idx="2">
                  <c:v>S60</c:v>
                </c:pt>
                <c:pt idx="3">
                  <c:v>S61</c:v>
                </c:pt>
                <c:pt idx="4">
                  <c:v>S62</c:v>
                </c:pt>
                <c:pt idx="5">
                  <c:v>S63</c:v>
                </c:pt>
                <c:pt idx="6">
                  <c:v>H01</c:v>
                </c:pt>
                <c:pt idx="7">
                  <c:v>H02</c:v>
                </c:pt>
                <c:pt idx="8">
                  <c:v>H03</c:v>
                </c:pt>
                <c:pt idx="9">
                  <c:v>H04</c:v>
                </c:pt>
                <c:pt idx="10">
                  <c:v>H05</c:v>
                </c:pt>
                <c:pt idx="11">
                  <c:v>H06</c:v>
                </c:pt>
                <c:pt idx="12">
                  <c:v>H07</c:v>
                </c:pt>
                <c:pt idx="13">
                  <c:v>H08</c:v>
                </c:pt>
                <c:pt idx="14">
                  <c:v>H09</c:v>
                </c:pt>
                <c:pt idx="15">
                  <c:v>H10</c:v>
                </c:pt>
                <c:pt idx="16">
                  <c:v>H11</c:v>
                </c:pt>
                <c:pt idx="17">
                  <c:v>H12</c:v>
                </c:pt>
                <c:pt idx="18">
                  <c:v>H13</c:v>
                </c:pt>
                <c:pt idx="19">
                  <c:v>H14</c:v>
                </c:pt>
                <c:pt idx="20">
                  <c:v>H15</c:v>
                </c:pt>
                <c:pt idx="21">
                  <c:v>H16</c:v>
                </c:pt>
                <c:pt idx="22">
                  <c:v>H17</c:v>
                </c:pt>
                <c:pt idx="23">
                  <c:v>H18</c:v>
                </c:pt>
                <c:pt idx="24">
                  <c:v>H19</c:v>
                </c:pt>
                <c:pt idx="25">
                  <c:v>H20</c:v>
                </c:pt>
                <c:pt idx="26">
                  <c:v>H21</c:v>
                </c:pt>
                <c:pt idx="27">
                  <c:v>H22</c:v>
                </c:pt>
                <c:pt idx="28">
                  <c:v>H23</c:v>
                </c:pt>
                <c:pt idx="29">
                  <c:v>H24</c:v>
                </c:pt>
                <c:pt idx="30">
                  <c:v>H25</c:v>
                </c:pt>
                <c:pt idx="31">
                  <c:v>H26</c:v>
                </c:pt>
                <c:pt idx="32">
                  <c:v>H27</c:v>
                </c:pt>
                <c:pt idx="33">
                  <c:v>H28</c:v>
                </c:pt>
                <c:pt idx="34">
                  <c:v>H29</c:v>
                </c:pt>
                <c:pt idx="35">
                  <c:v>H30</c:v>
                </c:pt>
                <c:pt idx="36">
                  <c:v>R01</c:v>
                </c:pt>
                <c:pt idx="37">
                  <c:v>R02</c:v>
                </c:pt>
                <c:pt idx="38">
                  <c:v>R03</c:v>
                </c:pt>
              </c:strCache>
            </c:strRef>
          </c:cat>
          <c:val>
            <c:numRef>
              <c:f>女発放廃!$R$164:$R$202</c:f>
              <c:numCache>
                <c:formatCode>0.0E+00</c:formatCode>
                <c:ptCount val="39"/>
                <c:pt idx="0">
                  <c:v>3700000000.0000005</c:v>
                </c:pt>
                <c:pt idx="1">
                  <c:v>3700000000.0000005</c:v>
                </c:pt>
                <c:pt idx="2">
                  <c:v>3700000000.0000005</c:v>
                </c:pt>
                <c:pt idx="3">
                  <c:v>3700000000.0000005</c:v>
                </c:pt>
                <c:pt idx="4">
                  <c:v>3700000000.0000005</c:v>
                </c:pt>
                <c:pt idx="5">
                  <c:v>3700000000.0000005</c:v>
                </c:pt>
                <c:pt idx="6">
                  <c:v>3700000000.0000005</c:v>
                </c:pt>
                <c:pt idx="7">
                  <c:v>3700000000.0000005</c:v>
                </c:pt>
                <c:pt idx="8">
                  <c:v>3700000000.0000005</c:v>
                </c:pt>
                <c:pt idx="9">
                  <c:v>3700000000.0000005</c:v>
                </c:pt>
                <c:pt idx="10">
                  <c:v>3700000000.0000005</c:v>
                </c:pt>
                <c:pt idx="11">
                  <c:v>7400000000</c:v>
                </c:pt>
                <c:pt idx="12">
                  <c:v>7400000000</c:v>
                </c:pt>
                <c:pt idx="13">
                  <c:v>7400000000</c:v>
                </c:pt>
                <c:pt idx="14">
                  <c:v>7400000000</c:v>
                </c:pt>
                <c:pt idx="15">
                  <c:v>7400000000</c:v>
                </c:pt>
                <c:pt idx="16">
                  <c:v>7400000000</c:v>
                </c:pt>
                <c:pt idx="17">
                  <c:v>7400000000</c:v>
                </c:pt>
                <c:pt idx="18">
                  <c:v>11000000000</c:v>
                </c:pt>
                <c:pt idx="19">
                  <c:v>11000000000</c:v>
                </c:pt>
                <c:pt idx="20">
                  <c:v>11000000000</c:v>
                </c:pt>
                <c:pt idx="21">
                  <c:v>11000000000</c:v>
                </c:pt>
                <c:pt idx="22">
                  <c:v>11000000000</c:v>
                </c:pt>
                <c:pt idx="23">
                  <c:v>11000000000</c:v>
                </c:pt>
                <c:pt idx="24">
                  <c:v>11000000000</c:v>
                </c:pt>
                <c:pt idx="25">
                  <c:v>11000000000</c:v>
                </c:pt>
                <c:pt idx="26">
                  <c:v>11000000000</c:v>
                </c:pt>
                <c:pt idx="27">
                  <c:v>11000000000</c:v>
                </c:pt>
                <c:pt idx="28">
                  <c:v>11000000000</c:v>
                </c:pt>
                <c:pt idx="29">
                  <c:v>11000000000</c:v>
                </c:pt>
                <c:pt idx="30">
                  <c:v>11000000000</c:v>
                </c:pt>
                <c:pt idx="31">
                  <c:v>11000000000</c:v>
                </c:pt>
                <c:pt idx="32">
                  <c:v>11000000000</c:v>
                </c:pt>
                <c:pt idx="33">
                  <c:v>11000000000</c:v>
                </c:pt>
                <c:pt idx="34">
                  <c:v>11000000000</c:v>
                </c:pt>
                <c:pt idx="35">
                  <c:v>11000000000</c:v>
                </c:pt>
              </c:numCache>
            </c:numRef>
          </c:val>
          <c:smooth val="0"/>
        </c:ser>
        <c:dLbls>
          <c:showLegendKey val="0"/>
          <c:showVal val="0"/>
          <c:showCatName val="0"/>
          <c:showSerName val="0"/>
          <c:showPercent val="0"/>
          <c:showBubbleSize val="0"/>
        </c:dLbls>
        <c:marker val="1"/>
        <c:smooth val="0"/>
        <c:axId val="243206016"/>
        <c:axId val="243240960"/>
      </c:lineChart>
      <c:catAx>
        <c:axId val="243206016"/>
        <c:scaling>
          <c:orientation val="minMax"/>
        </c:scaling>
        <c:delete val="0"/>
        <c:axPos val="b"/>
        <c:majorGridlines>
          <c:spPr>
            <a:ln>
              <a:solidFill>
                <a:schemeClr val="bg1">
                  <a:lumMod val="85000"/>
                </a:schemeClr>
              </a:solidFill>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43240960"/>
        <c:crosses val="autoZero"/>
        <c:auto val="1"/>
        <c:lblAlgn val="ctr"/>
        <c:lblOffset val="100"/>
        <c:tickLblSkip val="2"/>
        <c:tickMarkSkip val="1"/>
        <c:noMultiLvlLbl val="0"/>
      </c:catAx>
      <c:valAx>
        <c:axId val="243240960"/>
        <c:scaling>
          <c:orientation val="minMax"/>
        </c:scaling>
        <c:delete val="0"/>
        <c:axPos val="l"/>
        <c:majorGridlines>
          <c:spPr>
            <a:ln w="3175">
              <a:solidFill>
                <a:schemeClr val="bg1">
                  <a:lumMod val="85000"/>
                </a:schemeClr>
              </a:solidFill>
              <a:prstDash val="solid"/>
            </a:ln>
          </c:spPr>
        </c:majorGridlines>
        <c:title>
          <c:tx>
            <c:rich>
              <a:bodyPr rot="0" vert="horz"/>
              <a:lstStyle/>
              <a:p>
                <a:pPr algn="ctr">
                  <a:defRPr sz="1100" b="0" i="0" u="none" strike="noStrike" baseline="0">
                    <a:solidFill>
                      <a:srgbClr val="000000"/>
                    </a:solidFill>
                    <a:latin typeface="ＭＳ Ｐゴシック"/>
                    <a:ea typeface="ＭＳ Ｐゴシック"/>
                    <a:cs typeface="ＭＳ Ｐゴシック"/>
                  </a:defRPr>
                </a:pPr>
                <a:r>
                  <a:rPr lang="ja-JP" altLang="en-US" sz="900" b="0" i="0" u="none" strike="noStrike" baseline="0">
                    <a:solidFill>
                      <a:srgbClr val="000000"/>
                    </a:solidFill>
                    <a:latin typeface="Meiryo UI"/>
                    <a:ea typeface="Meiryo UI"/>
                  </a:rPr>
                  <a:t>ギガBq</a:t>
                </a:r>
              </a:p>
            </c:rich>
          </c:tx>
          <c:layout>
            <c:manualLayout>
              <c:xMode val="edge"/>
              <c:yMode val="edge"/>
              <c:x val="7.2100313479623826E-2"/>
              <c:y val="0.2302839116719243"/>
            </c:manualLayout>
          </c:layout>
          <c:overlay val="0"/>
          <c:spPr>
            <a:solidFill>
              <a:srgbClr val="FFFFFF"/>
            </a:solid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43206016"/>
        <c:crosses val="autoZero"/>
        <c:crossBetween val="between"/>
      </c:valAx>
      <c:spPr>
        <a:noFill/>
        <a:ln w="12700">
          <a:solidFill>
            <a:srgbClr val="808080"/>
          </a:solidFill>
          <a:prstDash val="solid"/>
        </a:ln>
      </c:spPr>
    </c:plotArea>
    <c:legend>
      <c:legendPos val="r"/>
      <c:layout>
        <c:manualLayout>
          <c:xMode val="edge"/>
          <c:yMode val="edge"/>
          <c:x val="0.57993730407523514"/>
          <c:y val="0.51735015772870663"/>
          <c:w val="0.35579937304075238"/>
          <c:h val="0.12618296529968454"/>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200" b="0" i="0" u="none" strike="noStrike" baseline="0">
                <a:solidFill>
                  <a:srgbClr val="000000"/>
                </a:solidFill>
                <a:latin typeface="Meiryo UI"/>
                <a:ea typeface="Meiryo UI"/>
              </a:rPr>
              <a:t>放射性液体廃棄物</a:t>
            </a:r>
          </a:p>
          <a:p>
            <a:pPr>
              <a:defRPr sz="11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(トリチウム)</a:t>
            </a:r>
          </a:p>
        </c:rich>
      </c:tx>
      <c:layout>
        <c:manualLayout>
          <c:xMode val="edge"/>
          <c:yMode val="edge"/>
          <c:x val="0.33855799373040751"/>
          <c:y val="0.35335763241608931"/>
        </c:manualLayout>
      </c:layout>
      <c:overlay val="0"/>
      <c:spPr>
        <a:noFill/>
        <a:ln w="25400">
          <a:noFill/>
        </a:ln>
      </c:spPr>
    </c:title>
    <c:autoTitleDeleted val="0"/>
    <c:plotArea>
      <c:layout>
        <c:manualLayout>
          <c:layoutTarget val="inner"/>
          <c:xMode val="edge"/>
          <c:yMode val="edge"/>
          <c:x val="6.6270417805874338E-2"/>
          <c:y val="2.7801611005520858E-2"/>
          <c:w val="0.92200541192029373"/>
          <c:h val="0.90335626150179504"/>
        </c:manualLayout>
      </c:layout>
      <c:lineChart>
        <c:grouping val="standard"/>
        <c:varyColors val="0"/>
        <c:ser>
          <c:idx val="0"/>
          <c:order val="0"/>
          <c:tx>
            <c:strRef>
              <c:f>女発放廃!$V$163</c:f>
              <c:strCache>
                <c:ptCount val="1"/>
                <c:pt idx="0">
                  <c:v>原子炉施設合計</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strRef>
              <c:f>女発放廃!$C$164:$C$202</c:f>
              <c:strCache>
                <c:ptCount val="39"/>
                <c:pt idx="0">
                  <c:v>S58</c:v>
                </c:pt>
                <c:pt idx="1">
                  <c:v>S59</c:v>
                </c:pt>
                <c:pt idx="2">
                  <c:v>S60</c:v>
                </c:pt>
                <c:pt idx="3">
                  <c:v>S61</c:v>
                </c:pt>
                <c:pt idx="4">
                  <c:v>S62</c:v>
                </c:pt>
                <c:pt idx="5">
                  <c:v>S63</c:v>
                </c:pt>
                <c:pt idx="6">
                  <c:v>H01</c:v>
                </c:pt>
                <c:pt idx="7">
                  <c:v>H02</c:v>
                </c:pt>
                <c:pt idx="8">
                  <c:v>H03</c:v>
                </c:pt>
                <c:pt idx="9">
                  <c:v>H04</c:v>
                </c:pt>
                <c:pt idx="10">
                  <c:v>H05</c:v>
                </c:pt>
                <c:pt idx="11">
                  <c:v>H06</c:v>
                </c:pt>
                <c:pt idx="12">
                  <c:v>H07</c:v>
                </c:pt>
                <c:pt idx="13">
                  <c:v>H08</c:v>
                </c:pt>
                <c:pt idx="14">
                  <c:v>H09</c:v>
                </c:pt>
                <c:pt idx="15">
                  <c:v>H10</c:v>
                </c:pt>
                <c:pt idx="16">
                  <c:v>H11</c:v>
                </c:pt>
                <c:pt idx="17">
                  <c:v>H12</c:v>
                </c:pt>
                <c:pt idx="18">
                  <c:v>H13</c:v>
                </c:pt>
                <c:pt idx="19">
                  <c:v>H14</c:v>
                </c:pt>
                <c:pt idx="20">
                  <c:v>H15</c:v>
                </c:pt>
                <c:pt idx="21">
                  <c:v>H16</c:v>
                </c:pt>
                <c:pt idx="22">
                  <c:v>H17</c:v>
                </c:pt>
                <c:pt idx="23">
                  <c:v>H18</c:v>
                </c:pt>
                <c:pt idx="24">
                  <c:v>H19</c:v>
                </c:pt>
                <c:pt idx="25">
                  <c:v>H20</c:v>
                </c:pt>
                <c:pt idx="26">
                  <c:v>H21</c:v>
                </c:pt>
                <c:pt idx="27">
                  <c:v>H22</c:v>
                </c:pt>
                <c:pt idx="28">
                  <c:v>H23</c:v>
                </c:pt>
                <c:pt idx="29">
                  <c:v>H24</c:v>
                </c:pt>
                <c:pt idx="30">
                  <c:v>H25</c:v>
                </c:pt>
                <c:pt idx="31">
                  <c:v>H26</c:v>
                </c:pt>
                <c:pt idx="32">
                  <c:v>H27</c:v>
                </c:pt>
                <c:pt idx="33">
                  <c:v>H28</c:v>
                </c:pt>
                <c:pt idx="34">
                  <c:v>H29</c:v>
                </c:pt>
                <c:pt idx="35">
                  <c:v>H30</c:v>
                </c:pt>
                <c:pt idx="36">
                  <c:v>R01</c:v>
                </c:pt>
                <c:pt idx="37">
                  <c:v>R02</c:v>
                </c:pt>
                <c:pt idx="38">
                  <c:v>R03</c:v>
                </c:pt>
              </c:strCache>
            </c:strRef>
          </c:cat>
          <c:val>
            <c:numRef>
              <c:f>女発放廃!$V$164:$V$202</c:f>
              <c:numCache>
                <c:formatCode>0.0E+00</c:formatCode>
                <c:ptCount val="39"/>
                <c:pt idx="0">
                  <c:v>629000000.00000012</c:v>
                </c:pt>
                <c:pt idx="1">
                  <c:v>20350000000</c:v>
                </c:pt>
                <c:pt idx="2">
                  <c:v>23680000000.000004</c:v>
                </c:pt>
                <c:pt idx="3">
                  <c:v>40700000000</c:v>
                </c:pt>
                <c:pt idx="4">
                  <c:v>62900000000</c:v>
                </c:pt>
                <c:pt idx="5">
                  <c:v>107300000000</c:v>
                </c:pt>
                <c:pt idx="6">
                  <c:v>75000000000</c:v>
                </c:pt>
                <c:pt idx="7">
                  <c:v>68000000000</c:v>
                </c:pt>
                <c:pt idx="8">
                  <c:v>58000000000</c:v>
                </c:pt>
                <c:pt idx="9">
                  <c:v>38000000000</c:v>
                </c:pt>
                <c:pt idx="10">
                  <c:v>90000000000</c:v>
                </c:pt>
                <c:pt idx="11">
                  <c:v>15000000000</c:v>
                </c:pt>
                <c:pt idx="12">
                  <c:v>8580000000</c:v>
                </c:pt>
                <c:pt idx="13">
                  <c:v>21000000000</c:v>
                </c:pt>
                <c:pt idx="14">
                  <c:v>44300000000</c:v>
                </c:pt>
                <c:pt idx="15">
                  <c:v>24500000000</c:v>
                </c:pt>
                <c:pt idx="16">
                  <c:v>61500000000</c:v>
                </c:pt>
                <c:pt idx="17">
                  <c:v>90000000000</c:v>
                </c:pt>
                <c:pt idx="18">
                  <c:v>49000000000</c:v>
                </c:pt>
                <c:pt idx="19">
                  <c:v>80024000000</c:v>
                </c:pt>
                <c:pt idx="20">
                  <c:v>5600000000</c:v>
                </c:pt>
                <c:pt idx="21">
                  <c:v>805000000</c:v>
                </c:pt>
                <c:pt idx="22">
                  <c:v>2068000000</c:v>
                </c:pt>
                <c:pt idx="23">
                  <c:v>5360000000</c:v>
                </c:pt>
                <c:pt idx="24">
                  <c:v>5090000000</c:v>
                </c:pt>
                <c:pt idx="25">
                  <c:v>6747000000</c:v>
                </c:pt>
                <c:pt idx="26">
                  <c:v>65860000000</c:v>
                </c:pt>
                <c:pt idx="27">
                  <c:v>21950000000</c:v>
                </c:pt>
                <c:pt idx="28">
                  <c:v>8400000000.000001</c:v>
                </c:pt>
                <c:pt idx="29">
                  <c:v>17093000000</c:v>
                </c:pt>
                <c:pt idx="30">
                  <c:v>13000000000</c:v>
                </c:pt>
                <c:pt idx="31">
                  <c:v>14000000000</c:v>
                </c:pt>
                <c:pt idx="32">
                  <c:v>2900000000</c:v>
                </c:pt>
                <c:pt idx="33">
                  <c:v>3000000000</c:v>
                </c:pt>
                <c:pt idx="34">
                  <c:v>400000000</c:v>
                </c:pt>
                <c:pt idx="35">
                  <c:v>1323000000</c:v>
                </c:pt>
              </c:numCache>
            </c:numRef>
          </c:val>
          <c:smooth val="0"/>
        </c:ser>
        <c:ser>
          <c:idx val="1"/>
          <c:order val="1"/>
          <c:tx>
            <c:strRef>
              <c:f>女発放廃!$W$163</c:f>
              <c:strCache>
                <c:ptCount val="1"/>
                <c:pt idx="0">
                  <c:v>施設合計の年間放出管理目標/注4</c:v>
                </c:pt>
              </c:strCache>
            </c:strRef>
          </c:tx>
          <c:spPr>
            <a:ln w="12700">
              <a:solidFill>
                <a:srgbClr val="FF0000"/>
              </a:solidFill>
              <a:prstDash val="solid"/>
            </a:ln>
          </c:spPr>
          <c:marker>
            <c:symbol val="square"/>
            <c:size val="6"/>
            <c:spPr>
              <a:solidFill>
                <a:srgbClr val="FFFFFF"/>
              </a:solidFill>
              <a:ln>
                <a:solidFill>
                  <a:srgbClr val="FF0000"/>
                </a:solidFill>
                <a:prstDash val="solid"/>
              </a:ln>
            </c:spPr>
          </c:marker>
          <c:cat>
            <c:strRef>
              <c:f>女発放廃!$C$164:$C$202</c:f>
              <c:strCache>
                <c:ptCount val="39"/>
                <c:pt idx="0">
                  <c:v>S58</c:v>
                </c:pt>
                <c:pt idx="1">
                  <c:v>S59</c:v>
                </c:pt>
                <c:pt idx="2">
                  <c:v>S60</c:v>
                </c:pt>
                <c:pt idx="3">
                  <c:v>S61</c:v>
                </c:pt>
                <c:pt idx="4">
                  <c:v>S62</c:v>
                </c:pt>
                <c:pt idx="5">
                  <c:v>S63</c:v>
                </c:pt>
                <c:pt idx="6">
                  <c:v>H01</c:v>
                </c:pt>
                <c:pt idx="7">
                  <c:v>H02</c:v>
                </c:pt>
                <c:pt idx="8">
                  <c:v>H03</c:v>
                </c:pt>
                <c:pt idx="9">
                  <c:v>H04</c:v>
                </c:pt>
                <c:pt idx="10">
                  <c:v>H05</c:v>
                </c:pt>
                <c:pt idx="11">
                  <c:v>H06</c:v>
                </c:pt>
                <c:pt idx="12">
                  <c:v>H07</c:v>
                </c:pt>
                <c:pt idx="13">
                  <c:v>H08</c:v>
                </c:pt>
                <c:pt idx="14">
                  <c:v>H09</c:v>
                </c:pt>
                <c:pt idx="15">
                  <c:v>H10</c:v>
                </c:pt>
                <c:pt idx="16">
                  <c:v>H11</c:v>
                </c:pt>
                <c:pt idx="17">
                  <c:v>H12</c:v>
                </c:pt>
                <c:pt idx="18">
                  <c:v>H13</c:v>
                </c:pt>
                <c:pt idx="19">
                  <c:v>H14</c:v>
                </c:pt>
                <c:pt idx="20">
                  <c:v>H15</c:v>
                </c:pt>
                <c:pt idx="21">
                  <c:v>H16</c:v>
                </c:pt>
                <c:pt idx="22">
                  <c:v>H17</c:v>
                </c:pt>
                <c:pt idx="23">
                  <c:v>H18</c:v>
                </c:pt>
                <c:pt idx="24">
                  <c:v>H19</c:v>
                </c:pt>
                <c:pt idx="25">
                  <c:v>H20</c:v>
                </c:pt>
                <c:pt idx="26">
                  <c:v>H21</c:v>
                </c:pt>
                <c:pt idx="27">
                  <c:v>H22</c:v>
                </c:pt>
                <c:pt idx="28">
                  <c:v>H23</c:v>
                </c:pt>
                <c:pt idx="29">
                  <c:v>H24</c:v>
                </c:pt>
                <c:pt idx="30">
                  <c:v>H25</c:v>
                </c:pt>
                <c:pt idx="31">
                  <c:v>H26</c:v>
                </c:pt>
                <c:pt idx="32">
                  <c:v>H27</c:v>
                </c:pt>
                <c:pt idx="33">
                  <c:v>H28</c:v>
                </c:pt>
                <c:pt idx="34">
                  <c:v>H29</c:v>
                </c:pt>
                <c:pt idx="35">
                  <c:v>H30</c:v>
                </c:pt>
                <c:pt idx="36">
                  <c:v>R01</c:v>
                </c:pt>
                <c:pt idx="37">
                  <c:v>R02</c:v>
                </c:pt>
                <c:pt idx="38">
                  <c:v>R03</c:v>
                </c:pt>
              </c:strCache>
            </c:strRef>
          </c:cat>
          <c:val>
            <c:numRef>
              <c:f>女発放廃!$W$164:$W$202</c:f>
              <c:numCache>
                <c:formatCode>0.0E+00</c:formatCode>
                <c:ptCount val="39"/>
                <c:pt idx="0">
                  <c:v>3700000000000</c:v>
                </c:pt>
                <c:pt idx="1">
                  <c:v>3700000000000</c:v>
                </c:pt>
                <c:pt idx="2">
                  <c:v>3700000000000</c:v>
                </c:pt>
                <c:pt idx="3">
                  <c:v>3700000000000</c:v>
                </c:pt>
                <c:pt idx="4">
                  <c:v>3700000000000</c:v>
                </c:pt>
                <c:pt idx="5">
                  <c:v>3700000000000</c:v>
                </c:pt>
                <c:pt idx="6">
                  <c:v>3700000000000</c:v>
                </c:pt>
                <c:pt idx="7">
                  <c:v>3700000000000</c:v>
                </c:pt>
                <c:pt idx="8">
                  <c:v>3700000000000</c:v>
                </c:pt>
                <c:pt idx="9">
                  <c:v>3700000000000</c:v>
                </c:pt>
                <c:pt idx="10">
                  <c:v>3700000000000</c:v>
                </c:pt>
                <c:pt idx="11">
                  <c:v>7400000000000</c:v>
                </c:pt>
                <c:pt idx="12">
                  <c:v>7400000000000</c:v>
                </c:pt>
                <c:pt idx="13">
                  <c:v>7400000000000</c:v>
                </c:pt>
                <c:pt idx="14">
                  <c:v>7400000000000</c:v>
                </c:pt>
                <c:pt idx="15">
                  <c:v>7400000000000</c:v>
                </c:pt>
                <c:pt idx="16">
                  <c:v>7400000000000</c:v>
                </c:pt>
                <c:pt idx="17">
                  <c:v>7400000000000</c:v>
                </c:pt>
                <c:pt idx="18">
                  <c:v>11000000000000</c:v>
                </c:pt>
                <c:pt idx="19">
                  <c:v>11000000000000</c:v>
                </c:pt>
                <c:pt idx="20">
                  <c:v>11000000000000</c:v>
                </c:pt>
                <c:pt idx="21">
                  <c:v>11000000000000</c:v>
                </c:pt>
                <c:pt idx="22">
                  <c:v>11000000000000</c:v>
                </c:pt>
                <c:pt idx="23">
                  <c:v>11000000000000</c:v>
                </c:pt>
                <c:pt idx="24">
                  <c:v>11000000000000</c:v>
                </c:pt>
                <c:pt idx="25">
                  <c:v>11000000000000</c:v>
                </c:pt>
                <c:pt idx="26">
                  <c:v>11000000000000</c:v>
                </c:pt>
                <c:pt idx="27">
                  <c:v>11000000000000</c:v>
                </c:pt>
                <c:pt idx="28">
                  <c:v>11000000000000</c:v>
                </c:pt>
                <c:pt idx="29">
                  <c:v>11100000000000</c:v>
                </c:pt>
                <c:pt idx="30">
                  <c:v>11100000000000</c:v>
                </c:pt>
                <c:pt idx="31">
                  <c:v>11100000000000</c:v>
                </c:pt>
                <c:pt idx="32">
                  <c:v>11100000000000</c:v>
                </c:pt>
                <c:pt idx="33">
                  <c:v>11100000000000</c:v>
                </c:pt>
                <c:pt idx="34">
                  <c:v>11100000000000</c:v>
                </c:pt>
                <c:pt idx="35">
                  <c:v>11100000000000</c:v>
                </c:pt>
              </c:numCache>
            </c:numRef>
          </c:val>
          <c:smooth val="0"/>
        </c:ser>
        <c:dLbls>
          <c:showLegendKey val="0"/>
          <c:showVal val="0"/>
          <c:showCatName val="0"/>
          <c:showSerName val="0"/>
          <c:showPercent val="0"/>
          <c:showBubbleSize val="0"/>
        </c:dLbls>
        <c:marker val="1"/>
        <c:smooth val="0"/>
        <c:axId val="243262208"/>
        <c:axId val="243264128"/>
      </c:lineChart>
      <c:catAx>
        <c:axId val="243262208"/>
        <c:scaling>
          <c:orientation val="minMax"/>
        </c:scaling>
        <c:delete val="0"/>
        <c:axPos val="b"/>
        <c:majorGridlines>
          <c:spPr>
            <a:ln>
              <a:solidFill>
                <a:schemeClr val="bg1">
                  <a:lumMod val="85000"/>
                </a:schemeClr>
              </a:solidFill>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43264128"/>
        <c:crossesAt val="10000"/>
        <c:auto val="1"/>
        <c:lblAlgn val="ctr"/>
        <c:lblOffset val="100"/>
        <c:tickLblSkip val="2"/>
        <c:tickMarkSkip val="1"/>
        <c:noMultiLvlLbl val="0"/>
      </c:catAx>
      <c:valAx>
        <c:axId val="243264128"/>
        <c:scaling>
          <c:logBase val="10"/>
          <c:orientation val="minMax"/>
          <c:min val="10000"/>
        </c:scaling>
        <c:delete val="0"/>
        <c:axPos val="l"/>
        <c:majorGridlines>
          <c:spPr>
            <a:ln w="3175">
              <a:solidFill>
                <a:schemeClr val="bg1">
                  <a:lumMod val="85000"/>
                </a:schemeClr>
              </a:solidFill>
              <a:prstDash val="solid"/>
            </a:ln>
          </c:spPr>
        </c:majorGridlines>
        <c:minorGridlines>
          <c:spPr>
            <a:ln w="0">
              <a:solidFill>
                <a:schemeClr val="bg1">
                  <a:lumMod val="85000"/>
                </a:schemeClr>
              </a:solidFill>
              <a:prstDash val="sysDot"/>
            </a:ln>
          </c:spPr>
        </c:minorGridlines>
        <c:title>
          <c:tx>
            <c:rich>
              <a:bodyPr rot="0" vert="horz"/>
              <a:lstStyle/>
              <a:p>
                <a:pPr algn="ctr">
                  <a:defRPr sz="900" b="0" i="0" u="none" strike="noStrike" baseline="0">
                    <a:solidFill>
                      <a:srgbClr val="000000"/>
                    </a:solidFill>
                    <a:latin typeface="Meiryo UI"/>
                    <a:ea typeface="Meiryo UI"/>
                    <a:cs typeface="Meiryo UI"/>
                  </a:defRPr>
                </a:pPr>
                <a:r>
                  <a:rPr lang="en-US" altLang="en-US"/>
                  <a:t>Bq</a:t>
                </a:r>
              </a:p>
            </c:rich>
          </c:tx>
          <c:layout>
            <c:manualLayout>
              <c:xMode val="edge"/>
              <c:yMode val="edge"/>
              <c:x val="0.14733542319749215"/>
              <c:y val="0.43462971722174298"/>
            </c:manualLayout>
          </c:layout>
          <c:overlay val="0"/>
          <c:spPr>
            <a:solidFill>
              <a:srgbClr val="FFFFFF"/>
            </a:solidFill>
            <a:ln w="25400">
              <a:noFill/>
            </a:ln>
          </c:spPr>
        </c:title>
        <c:numFmt formatCode="0.0E+0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43262208"/>
        <c:crosses val="autoZero"/>
        <c:crossBetween val="between"/>
      </c:valAx>
      <c:spPr>
        <a:noFill/>
        <a:ln w="12700">
          <a:solidFill>
            <a:srgbClr val="808080"/>
          </a:solidFill>
          <a:prstDash val="solid"/>
        </a:ln>
      </c:spPr>
    </c:plotArea>
    <c:legend>
      <c:legendPos val="r"/>
      <c:layout>
        <c:manualLayout>
          <c:xMode val="edge"/>
          <c:yMode val="edge"/>
          <c:x val="0.53605015673981193"/>
          <c:y val="0.56537213767007044"/>
          <c:w val="0.2396289504907777"/>
          <c:h val="8.0040425981235105E-2"/>
        </c:manualLayout>
      </c:layout>
      <c:overlay val="0"/>
      <c:spPr>
        <a:no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50" b="0" i="0" u="none" strike="noStrike" baseline="0">
                <a:solidFill>
                  <a:srgbClr val="000000"/>
                </a:solidFill>
                <a:latin typeface="Meiryo UI"/>
                <a:ea typeface="Meiryo UI"/>
                <a:cs typeface="Meiryo UI"/>
              </a:defRPr>
            </a:pPr>
            <a:r>
              <a:rPr lang="ja-JP" altLang="en-US" sz="1400" b="0" i="0" u="none" strike="noStrike" baseline="0">
                <a:solidFill>
                  <a:srgbClr val="000000"/>
                </a:solidFill>
                <a:latin typeface="Meiryo UI"/>
                <a:ea typeface="Meiryo UI"/>
              </a:rPr>
              <a:t>月間発電電力量</a:t>
            </a:r>
            <a:r>
              <a:rPr lang="ja-JP" altLang="en-US" sz="1200" b="0" i="0" u="none" strike="noStrike" baseline="0">
                <a:solidFill>
                  <a:srgbClr val="000000"/>
                </a:solidFill>
                <a:latin typeface="Meiryo UI"/>
                <a:ea typeface="Meiryo UI"/>
              </a:rPr>
              <a:t>(発電端/百万kwh)</a:t>
            </a:r>
          </a:p>
        </c:rich>
      </c:tx>
      <c:layout>
        <c:manualLayout>
          <c:xMode val="edge"/>
          <c:yMode val="edge"/>
          <c:x val="0.2430614967455309"/>
          <c:y val="1.5625100433874335E-2"/>
        </c:manualLayout>
      </c:layout>
      <c:overlay val="0"/>
      <c:spPr>
        <a:solidFill>
          <a:srgbClr val="FFFFFF"/>
        </a:solidFill>
        <a:ln w="25400">
          <a:noFill/>
        </a:ln>
      </c:spPr>
    </c:title>
    <c:autoTitleDeleted val="0"/>
    <c:plotArea>
      <c:layout>
        <c:manualLayout>
          <c:layoutTarget val="inner"/>
          <c:xMode val="edge"/>
          <c:yMode val="edge"/>
          <c:x val="3.784694573587382E-2"/>
          <c:y val="4.1666772630749083E-2"/>
          <c:w val="0.94953781635114543"/>
          <c:h val="0.80729371972076347"/>
        </c:manualLayout>
      </c:layout>
      <c:areaChart>
        <c:grouping val="stacked"/>
        <c:varyColors val="0"/>
        <c:ser>
          <c:idx val="0"/>
          <c:order val="0"/>
          <c:tx>
            <c:strRef>
              <c:f>女発放廃!$AG$3</c:f>
              <c:strCache>
                <c:ptCount val="1"/>
                <c:pt idx="0">
                  <c:v>１号機</c:v>
                </c:pt>
              </c:strCache>
            </c:strRef>
          </c:tx>
          <c:spPr>
            <a:pattFill prst="pct60">
              <a:fgClr>
                <a:srgbClr xmlns:mc="http://schemas.openxmlformats.org/markup-compatibility/2006" xmlns:a14="http://schemas.microsoft.com/office/drawing/2010/main" val="FFFF99" mc:Ignorable="a14" a14:legacySpreadsheetColorIndex="43"/>
              </a:fgClr>
              <a:bgClr>
                <a:srgbClr xmlns:mc="http://schemas.openxmlformats.org/markup-compatibility/2006" xmlns:a14="http://schemas.microsoft.com/office/drawing/2010/main" val="FFFFFF" mc:Ignorable="a14" a14:legacySpreadsheetColorIndex="9"/>
              </a:bgClr>
            </a:pattFill>
            <a:ln w="12700">
              <a:solidFill>
                <a:srgbClr val="969696"/>
              </a:solidFill>
              <a:prstDash val="solid"/>
            </a:ln>
          </c:spPr>
          <c:cat>
            <c:numRef>
              <c:f>女発放廃!$AF$4:$AF$484</c:f>
              <c:numCache>
                <c:formatCode>[$-411]ge\.m</c:formatCode>
                <c:ptCount val="481"/>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34060</c:v>
                </c:pt>
                <c:pt idx="145">
                  <c:v>34090</c:v>
                </c:pt>
                <c:pt idx="146">
                  <c:v>34121</c:v>
                </c:pt>
                <c:pt idx="147">
                  <c:v>34151</c:v>
                </c:pt>
                <c:pt idx="148">
                  <c:v>34182</c:v>
                </c:pt>
                <c:pt idx="149">
                  <c:v>34213</c:v>
                </c:pt>
                <c:pt idx="150">
                  <c:v>34243</c:v>
                </c:pt>
                <c:pt idx="151">
                  <c:v>34274</c:v>
                </c:pt>
                <c:pt idx="152">
                  <c:v>34304</c:v>
                </c:pt>
                <c:pt idx="153">
                  <c:v>34335</c:v>
                </c:pt>
                <c:pt idx="154">
                  <c:v>34366</c:v>
                </c:pt>
                <c:pt idx="155">
                  <c:v>34394</c:v>
                </c:pt>
                <c:pt idx="156">
                  <c:v>34425</c:v>
                </c:pt>
                <c:pt idx="157">
                  <c:v>34455</c:v>
                </c:pt>
                <c:pt idx="158">
                  <c:v>34486</c:v>
                </c:pt>
                <c:pt idx="159">
                  <c:v>34516</c:v>
                </c:pt>
                <c:pt idx="160">
                  <c:v>34547</c:v>
                </c:pt>
                <c:pt idx="161">
                  <c:v>34578</c:v>
                </c:pt>
                <c:pt idx="162">
                  <c:v>34608</c:v>
                </c:pt>
                <c:pt idx="163">
                  <c:v>34639</c:v>
                </c:pt>
                <c:pt idx="164">
                  <c:v>34669</c:v>
                </c:pt>
                <c:pt idx="165">
                  <c:v>34700</c:v>
                </c:pt>
                <c:pt idx="166">
                  <c:v>34731</c:v>
                </c:pt>
                <c:pt idx="167">
                  <c:v>34759</c:v>
                </c:pt>
                <c:pt idx="168">
                  <c:v>34790</c:v>
                </c:pt>
                <c:pt idx="169">
                  <c:v>34820</c:v>
                </c:pt>
                <c:pt idx="170">
                  <c:v>34851</c:v>
                </c:pt>
                <c:pt idx="171">
                  <c:v>34881</c:v>
                </c:pt>
                <c:pt idx="172">
                  <c:v>34912</c:v>
                </c:pt>
                <c:pt idx="173">
                  <c:v>34943</c:v>
                </c:pt>
                <c:pt idx="174">
                  <c:v>34973</c:v>
                </c:pt>
                <c:pt idx="175">
                  <c:v>35004</c:v>
                </c:pt>
                <c:pt idx="176">
                  <c:v>35034</c:v>
                </c:pt>
                <c:pt idx="177">
                  <c:v>35065</c:v>
                </c:pt>
                <c:pt idx="178">
                  <c:v>35096</c:v>
                </c:pt>
                <c:pt idx="179">
                  <c:v>35125</c:v>
                </c:pt>
                <c:pt idx="180">
                  <c:v>35156</c:v>
                </c:pt>
                <c:pt idx="181">
                  <c:v>35186</c:v>
                </c:pt>
                <c:pt idx="182">
                  <c:v>35217</c:v>
                </c:pt>
                <c:pt idx="183">
                  <c:v>35247</c:v>
                </c:pt>
                <c:pt idx="184">
                  <c:v>35278</c:v>
                </c:pt>
                <c:pt idx="185">
                  <c:v>35309</c:v>
                </c:pt>
                <c:pt idx="186">
                  <c:v>35339</c:v>
                </c:pt>
                <c:pt idx="187">
                  <c:v>35370</c:v>
                </c:pt>
                <c:pt idx="188">
                  <c:v>35400</c:v>
                </c:pt>
                <c:pt idx="189">
                  <c:v>35431</c:v>
                </c:pt>
                <c:pt idx="190">
                  <c:v>35462</c:v>
                </c:pt>
                <c:pt idx="191">
                  <c:v>35490</c:v>
                </c:pt>
                <c:pt idx="192">
                  <c:v>35521</c:v>
                </c:pt>
                <c:pt idx="193">
                  <c:v>35551</c:v>
                </c:pt>
                <c:pt idx="194">
                  <c:v>35582</c:v>
                </c:pt>
                <c:pt idx="195">
                  <c:v>35612</c:v>
                </c:pt>
                <c:pt idx="196">
                  <c:v>35643</c:v>
                </c:pt>
                <c:pt idx="197">
                  <c:v>35674</c:v>
                </c:pt>
                <c:pt idx="198">
                  <c:v>35704</c:v>
                </c:pt>
                <c:pt idx="199">
                  <c:v>35735</c:v>
                </c:pt>
                <c:pt idx="200">
                  <c:v>35765</c:v>
                </c:pt>
                <c:pt idx="201">
                  <c:v>35796</c:v>
                </c:pt>
                <c:pt idx="202">
                  <c:v>35827</c:v>
                </c:pt>
                <c:pt idx="203">
                  <c:v>35855</c:v>
                </c:pt>
                <c:pt idx="204">
                  <c:v>35886</c:v>
                </c:pt>
                <c:pt idx="205">
                  <c:v>35916</c:v>
                </c:pt>
                <c:pt idx="206">
                  <c:v>35947</c:v>
                </c:pt>
                <c:pt idx="207">
                  <c:v>35977</c:v>
                </c:pt>
                <c:pt idx="208">
                  <c:v>36008</c:v>
                </c:pt>
                <c:pt idx="209">
                  <c:v>36039</c:v>
                </c:pt>
                <c:pt idx="210">
                  <c:v>36069</c:v>
                </c:pt>
                <c:pt idx="211">
                  <c:v>36100</c:v>
                </c:pt>
                <c:pt idx="212">
                  <c:v>36130</c:v>
                </c:pt>
                <c:pt idx="213">
                  <c:v>36161</c:v>
                </c:pt>
                <c:pt idx="214">
                  <c:v>36192</c:v>
                </c:pt>
                <c:pt idx="215">
                  <c:v>36220</c:v>
                </c:pt>
                <c:pt idx="216">
                  <c:v>36251</c:v>
                </c:pt>
                <c:pt idx="217">
                  <c:v>36281</c:v>
                </c:pt>
                <c:pt idx="218">
                  <c:v>36312</c:v>
                </c:pt>
                <c:pt idx="219">
                  <c:v>36342</c:v>
                </c:pt>
                <c:pt idx="220">
                  <c:v>36373</c:v>
                </c:pt>
                <c:pt idx="221">
                  <c:v>36404</c:v>
                </c:pt>
                <c:pt idx="222">
                  <c:v>36434</c:v>
                </c:pt>
                <c:pt idx="223">
                  <c:v>36465</c:v>
                </c:pt>
                <c:pt idx="224">
                  <c:v>36495</c:v>
                </c:pt>
                <c:pt idx="225">
                  <c:v>36526</c:v>
                </c:pt>
                <c:pt idx="226">
                  <c:v>36557</c:v>
                </c:pt>
                <c:pt idx="227">
                  <c:v>36586</c:v>
                </c:pt>
                <c:pt idx="228">
                  <c:v>36617</c:v>
                </c:pt>
                <c:pt idx="229">
                  <c:v>36647</c:v>
                </c:pt>
                <c:pt idx="230">
                  <c:v>36678</c:v>
                </c:pt>
                <c:pt idx="231">
                  <c:v>36708</c:v>
                </c:pt>
                <c:pt idx="232">
                  <c:v>36739</c:v>
                </c:pt>
                <c:pt idx="233">
                  <c:v>36770</c:v>
                </c:pt>
                <c:pt idx="234">
                  <c:v>36800</c:v>
                </c:pt>
                <c:pt idx="235">
                  <c:v>36831</c:v>
                </c:pt>
                <c:pt idx="236">
                  <c:v>36861</c:v>
                </c:pt>
                <c:pt idx="237">
                  <c:v>36892</c:v>
                </c:pt>
                <c:pt idx="238">
                  <c:v>36923</c:v>
                </c:pt>
                <c:pt idx="239">
                  <c:v>36951</c:v>
                </c:pt>
                <c:pt idx="240">
                  <c:v>36982</c:v>
                </c:pt>
                <c:pt idx="241">
                  <c:v>37012</c:v>
                </c:pt>
                <c:pt idx="242">
                  <c:v>37043</c:v>
                </c:pt>
                <c:pt idx="243">
                  <c:v>37073</c:v>
                </c:pt>
                <c:pt idx="244">
                  <c:v>37104</c:v>
                </c:pt>
                <c:pt idx="245">
                  <c:v>37135</c:v>
                </c:pt>
                <c:pt idx="246">
                  <c:v>37165</c:v>
                </c:pt>
                <c:pt idx="247">
                  <c:v>37196</c:v>
                </c:pt>
                <c:pt idx="248">
                  <c:v>37226</c:v>
                </c:pt>
                <c:pt idx="249">
                  <c:v>37257</c:v>
                </c:pt>
                <c:pt idx="250">
                  <c:v>37288</c:v>
                </c:pt>
                <c:pt idx="251">
                  <c:v>37316</c:v>
                </c:pt>
                <c:pt idx="252">
                  <c:v>37347</c:v>
                </c:pt>
                <c:pt idx="253">
                  <c:v>37377</c:v>
                </c:pt>
                <c:pt idx="254">
                  <c:v>37408</c:v>
                </c:pt>
                <c:pt idx="255">
                  <c:v>37438</c:v>
                </c:pt>
                <c:pt idx="256">
                  <c:v>37469</c:v>
                </c:pt>
                <c:pt idx="257">
                  <c:v>37500</c:v>
                </c:pt>
                <c:pt idx="258">
                  <c:v>37530</c:v>
                </c:pt>
                <c:pt idx="259">
                  <c:v>37561</c:v>
                </c:pt>
                <c:pt idx="260">
                  <c:v>37591</c:v>
                </c:pt>
                <c:pt idx="261">
                  <c:v>37622</c:v>
                </c:pt>
                <c:pt idx="262">
                  <c:v>37653</c:v>
                </c:pt>
                <c:pt idx="263">
                  <c:v>37681</c:v>
                </c:pt>
                <c:pt idx="264">
                  <c:v>37712</c:v>
                </c:pt>
                <c:pt idx="265">
                  <c:v>37742</c:v>
                </c:pt>
                <c:pt idx="266">
                  <c:v>37773</c:v>
                </c:pt>
                <c:pt idx="267">
                  <c:v>37803</c:v>
                </c:pt>
                <c:pt idx="268">
                  <c:v>37834</c:v>
                </c:pt>
                <c:pt idx="269">
                  <c:v>37865</c:v>
                </c:pt>
                <c:pt idx="270">
                  <c:v>37895</c:v>
                </c:pt>
                <c:pt idx="271">
                  <c:v>37926</c:v>
                </c:pt>
                <c:pt idx="272">
                  <c:v>37956</c:v>
                </c:pt>
                <c:pt idx="273">
                  <c:v>37987</c:v>
                </c:pt>
                <c:pt idx="274">
                  <c:v>38018</c:v>
                </c:pt>
                <c:pt idx="275">
                  <c:v>38047</c:v>
                </c:pt>
                <c:pt idx="276">
                  <c:v>38078</c:v>
                </c:pt>
                <c:pt idx="277">
                  <c:v>38108</c:v>
                </c:pt>
                <c:pt idx="278">
                  <c:v>38139</c:v>
                </c:pt>
                <c:pt idx="279">
                  <c:v>38169</c:v>
                </c:pt>
                <c:pt idx="280">
                  <c:v>38200</c:v>
                </c:pt>
                <c:pt idx="281">
                  <c:v>38231</c:v>
                </c:pt>
                <c:pt idx="282">
                  <c:v>38261</c:v>
                </c:pt>
                <c:pt idx="283">
                  <c:v>38292</c:v>
                </c:pt>
                <c:pt idx="284">
                  <c:v>38322</c:v>
                </c:pt>
                <c:pt idx="285">
                  <c:v>38353</c:v>
                </c:pt>
                <c:pt idx="286">
                  <c:v>38384</c:v>
                </c:pt>
                <c:pt idx="287">
                  <c:v>38412</c:v>
                </c:pt>
                <c:pt idx="288">
                  <c:v>38443</c:v>
                </c:pt>
                <c:pt idx="289">
                  <c:v>38473</c:v>
                </c:pt>
                <c:pt idx="290">
                  <c:v>38504</c:v>
                </c:pt>
                <c:pt idx="291">
                  <c:v>38534</c:v>
                </c:pt>
                <c:pt idx="292">
                  <c:v>38565</c:v>
                </c:pt>
                <c:pt idx="293">
                  <c:v>38596</c:v>
                </c:pt>
                <c:pt idx="294">
                  <c:v>38626</c:v>
                </c:pt>
                <c:pt idx="295">
                  <c:v>38657</c:v>
                </c:pt>
                <c:pt idx="296">
                  <c:v>38687</c:v>
                </c:pt>
                <c:pt idx="297">
                  <c:v>38718</c:v>
                </c:pt>
                <c:pt idx="298">
                  <c:v>38749</c:v>
                </c:pt>
                <c:pt idx="299">
                  <c:v>38777</c:v>
                </c:pt>
                <c:pt idx="300">
                  <c:v>38808</c:v>
                </c:pt>
                <c:pt idx="301">
                  <c:v>38838</c:v>
                </c:pt>
                <c:pt idx="302">
                  <c:v>38869</c:v>
                </c:pt>
                <c:pt idx="303">
                  <c:v>38899</c:v>
                </c:pt>
                <c:pt idx="304">
                  <c:v>38930</c:v>
                </c:pt>
                <c:pt idx="305">
                  <c:v>38961</c:v>
                </c:pt>
                <c:pt idx="306">
                  <c:v>38991</c:v>
                </c:pt>
                <c:pt idx="307">
                  <c:v>39022</c:v>
                </c:pt>
                <c:pt idx="308">
                  <c:v>39052</c:v>
                </c:pt>
                <c:pt idx="309">
                  <c:v>39083</c:v>
                </c:pt>
                <c:pt idx="310">
                  <c:v>39114</c:v>
                </c:pt>
                <c:pt idx="311">
                  <c:v>39142</c:v>
                </c:pt>
                <c:pt idx="312">
                  <c:v>39173</c:v>
                </c:pt>
                <c:pt idx="313">
                  <c:v>39203</c:v>
                </c:pt>
                <c:pt idx="314">
                  <c:v>39234</c:v>
                </c:pt>
                <c:pt idx="315">
                  <c:v>39264</c:v>
                </c:pt>
                <c:pt idx="316">
                  <c:v>39295</c:v>
                </c:pt>
                <c:pt idx="317">
                  <c:v>39326</c:v>
                </c:pt>
                <c:pt idx="318">
                  <c:v>39356</c:v>
                </c:pt>
                <c:pt idx="319">
                  <c:v>39387</c:v>
                </c:pt>
                <c:pt idx="320">
                  <c:v>39417</c:v>
                </c:pt>
                <c:pt idx="321">
                  <c:v>39448</c:v>
                </c:pt>
                <c:pt idx="322">
                  <c:v>39479</c:v>
                </c:pt>
                <c:pt idx="323">
                  <c:v>39508</c:v>
                </c:pt>
                <c:pt idx="324">
                  <c:v>39539</c:v>
                </c:pt>
                <c:pt idx="325">
                  <c:v>39569</c:v>
                </c:pt>
                <c:pt idx="326">
                  <c:v>39600</c:v>
                </c:pt>
                <c:pt idx="327">
                  <c:v>39630</c:v>
                </c:pt>
                <c:pt idx="328">
                  <c:v>39661</c:v>
                </c:pt>
                <c:pt idx="329">
                  <c:v>39692</c:v>
                </c:pt>
                <c:pt idx="330">
                  <c:v>39722</c:v>
                </c:pt>
                <c:pt idx="331">
                  <c:v>39753</c:v>
                </c:pt>
                <c:pt idx="332">
                  <c:v>39783</c:v>
                </c:pt>
                <c:pt idx="333">
                  <c:v>39814</c:v>
                </c:pt>
                <c:pt idx="334">
                  <c:v>39845</c:v>
                </c:pt>
                <c:pt idx="335">
                  <c:v>39873</c:v>
                </c:pt>
                <c:pt idx="336">
                  <c:v>39904</c:v>
                </c:pt>
                <c:pt idx="337">
                  <c:v>39934</c:v>
                </c:pt>
                <c:pt idx="338">
                  <c:v>39965</c:v>
                </c:pt>
                <c:pt idx="339">
                  <c:v>39995</c:v>
                </c:pt>
                <c:pt idx="340">
                  <c:v>40026</c:v>
                </c:pt>
                <c:pt idx="341">
                  <c:v>40057</c:v>
                </c:pt>
                <c:pt idx="342">
                  <c:v>40087</c:v>
                </c:pt>
                <c:pt idx="343">
                  <c:v>40118</c:v>
                </c:pt>
                <c:pt idx="344">
                  <c:v>40148</c:v>
                </c:pt>
                <c:pt idx="345">
                  <c:v>40179</c:v>
                </c:pt>
                <c:pt idx="346">
                  <c:v>40210</c:v>
                </c:pt>
                <c:pt idx="347">
                  <c:v>40238</c:v>
                </c:pt>
                <c:pt idx="348">
                  <c:v>40269</c:v>
                </c:pt>
                <c:pt idx="349">
                  <c:v>40299</c:v>
                </c:pt>
                <c:pt idx="350">
                  <c:v>40330</c:v>
                </c:pt>
                <c:pt idx="351">
                  <c:v>40360</c:v>
                </c:pt>
                <c:pt idx="352">
                  <c:v>40391</c:v>
                </c:pt>
                <c:pt idx="353">
                  <c:v>40422</c:v>
                </c:pt>
                <c:pt idx="354">
                  <c:v>40452</c:v>
                </c:pt>
                <c:pt idx="355">
                  <c:v>40483</c:v>
                </c:pt>
                <c:pt idx="356">
                  <c:v>40513</c:v>
                </c:pt>
                <c:pt idx="357">
                  <c:v>40544</c:v>
                </c:pt>
                <c:pt idx="358">
                  <c:v>40575</c:v>
                </c:pt>
                <c:pt idx="359">
                  <c:v>40603</c:v>
                </c:pt>
                <c:pt idx="360">
                  <c:v>40634</c:v>
                </c:pt>
                <c:pt idx="361">
                  <c:v>40664</c:v>
                </c:pt>
                <c:pt idx="362">
                  <c:v>40695</c:v>
                </c:pt>
                <c:pt idx="363">
                  <c:v>40725</c:v>
                </c:pt>
                <c:pt idx="364">
                  <c:v>40756</c:v>
                </c:pt>
                <c:pt idx="365">
                  <c:v>40787</c:v>
                </c:pt>
                <c:pt idx="366">
                  <c:v>40817</c:v>
                </c:pt>
                <c:pt idx="367">
                  <c:v>40848</c:v>
                </c:pt>
                <c:pt idx="368">
                  <c:v>40878</c:v>
                </c:pt>
                <c:pt idx="369">
                  <c:v>40909</c:v>
                </c:pt>
                <c:pt idx="370">
                  <c:v>40940</c:v>
                </c:pt>
                <c:pt idx="371">
                  <c:v>40969</c:v>
                </c:pt>
                <c:pt idx="372">
                  <c:v>41000</c:v>
                </c:pt>
                <c:pt idx="373">
                  <c:v>41030</c:v>
                </c:pt>
                <c:pt idx="374">
                  <c:v>41061</c:v>
                </c:pt>
                <c:pt idx="375">
                  <c:v>41091</c:v>
                </c:pt>
                <c:pt idx="376">
                  <c:v>41122</c:v>
                </c:pt>
                <c:pt idx="377">
                  <c:v>41153</c:v>
                </c:pt>
                <c:pt idx="378">
                  <c:v>41183</c:v>
                </c:pt>
                <c:pt idx="379">
                  <c:v>41214</c:v>
                </c:pt>
                <c:pt idx="380">
                  <c:v>41244</c:v>
                </c:pt>
                <c:pt idx="381">
                  <c:v>41275</c:v>
                </c:pt>
                <c:pt idx="382">
                  <c:v>41306</c:v>
                </c:pt>
                <c:pt idx="383">
                  <c:v>41334</c:v>
                </c:pt>
                <c:pt idx="384">
                  <c:v>41365</c:v>
                </c:pt>
                <c:pt idx="385">
                  <c:v>41395</c:v>
                </c:pt>
                <c:pt idx="386">
                  <c:v>41426</c:v>
                </c:pt>
                <c:pt idx="387">
                  <c:v>41456</c:v>
                </c:pt>
                <c:pt idx="388">
                  <c:v>41487</c:v>
                </c:pt>
                <c:pt idx="389">
                  <c:v>41518</c:v>
                </c:pt>
                <c:pt idx="390">
                  <c:v>41548</c:v>
                </c:pt>
                <c:pt idx="391">
                  <c:v>41579</c:v>
                </c:pt>
                <c:pt idx="392">
                  <c:v>41609</c:v>
                </c:pt>
                <c:pt idx="393">
                  <c:v>41640</c:v>
                </c:pt>
                <c:pt idx="394">
                  <c:v>41671</c:v>
                </c:pt>
                <c:pt idx="395">
                  <c:v>41699</c:v>
                </c:pt>
                <c:pt idx="396">
                  <c:v>41730</c:v>
                </c:pt>
                <c:pt idx="397">
                  <c:v>41760</c:v>
                </c:pt>
                <c:pt idx="398">
                  <c:v>41791</c:v>
                </c:pt>
                <c:pt idx="399">
                  <c:v>41821</c:v>
                </c:pt>
                <c:pt idx="400">
                  <c:v>41852</c:v>
                </c:pt>
                <c:pt idx="401">
                  <c:v>41883</c:v>
                </c:pt>
                <c:pt idx="402">
                  <c:v>41913</c:v>
                </c:pt>
                <c:pt idx="403">
                  <c:v>41944</c:v>
                </c:pt>
                <c:pt idx="404">
                  <c:v>41974</c:v>
                </c:pt>
                <c:pt idx="405">
                  <c:v>42005</c:v>
                </c:pt>
                <c:pt idx="406">
                  <c:v>42036</c:v>
                </c:pt>
                <c:pt idx="407">
                  <c:v>42064</c:v>
                </c:pt>
                <c:pt idx="408">
                  <c:v>42095</c:v>
                </c:pt>
                <c:pt idx="409">
                  <c:v>42125</c:v>
                </c:pt>
                <c:pt idx="410">
                  <c:v>42156</c:v>
                </c:pt>
                <c:pt idx="411">
                  <c:v>42186</c:v>
                </c:pt>
                <c:pt idx="412">
                  <c:v>42217</c:v>
                </c:pt>
                <c:pt idx="413">
                  <c:v>42248</c:v>
                </c:pt>
                <c:pt idx="414">
                  <c:v>42278</c:v>
                </c:pt>
                <c:pt idx="415">
                  <c:v>42309</c:v>
                </c:pt>
                <c:pt idx="416">
                  <c:v>42339</c:v>
                </c:pt>
                <c:pt idx="417">
                  <c:v>42370</c:v>
                </c:pt>
                <c:pt idx="418">
                  <c:v>42401</c:v>
                </c:pt>
                <c:pt idx="419">
                  <c:v>42430</c:v>
                </c:pt>
                <c:pt idx="420">
                  <c:v>42461</c:v>
                </c:pt>
                <c:pt idx="421">
                  <c:v>42491</c:v>
                </c:pt>
                <c:pt idx="422">
                  <c:v>42522</c:v>
                </c:pt>
                <c:pt idx="423">
                  <c:v>42552</c:v>
                </c:pt>
                <c:pt idx="424">
                  <c:v>42583</c:v>
                </c:pt>
                <c:pt idx="425">
                  <c:v>42614</c:v>
                </c:pt>
                <c:pt idx="426">
                  <c:v>42644</c:v>
                </c:pt>
                <c:pt idx="427">
                  <c:v>42675</c:v>
                </c:pt>
                <c:pt idx="428">
                  <c:v>42705</c:v>
                </c:pt>
                <c:pt idx="429">
                  <c:v>42736</c:v>
                </c:pt>
                <c:pt idx="430">
                  <c:v>42767</c:v>
                </c:pt>
                <c:pt idx="431">
                  <c:v>42795</c:v>
                </c:pt>
                <c:pt idx="432">
                  <c:v>42826</c:v>
                </c:pt>
                <c:pt idx="433">
                  <c:v>42856</c:v>
                </c:pt>
                <c:pt idx="434">
                  <c:v>42887</c:v>
                </c:pt>
                <c:pt idx="435">
                  <c:v>42917</c:v>
                </c:pt>
                <c:pt idx="436">
                  <c:v>42948</c:v>
                </c:pt>
                <c:pt idx="437">
                  <c:v>42979</c:v>
                </c:pt>
                <c:pt idx="438">
                  <c:v>43009</c:v>
                </c:pt>
                <c:pt idx="439">
                  <c:v>43040</c:v>
                </c:pt>
                <c:pt idx="440">
                  <c:v>43070</c:v>
                </c:pt>
                <c:pt idx="441">
                  <c:v>43101</c:v>
                </c:pt>
                <c:pt idx="442">
                  <c:v>43132</c:v>
                </c:pt>
                <c:pt idx="443">
                  <c:v>43160</c:v>
                </c:pt>
                <c:pt idx="444">
                  <c:v>43191</c:v>
                </c:pt>
                <c:pt idx="445">
                  <c:v>43221</c:v>
                </c:pt>
                <c:pt idx="446">
                  <c:v>43252</c:v>
                </c:pt>
                <c:pt idx="447">
                  <c:v>43282</c:v>
                </c:pt>
                <c:pt idx="448">
                  <c:v>43313</c:v>
                </c:pt>
                <c:pt idx="449">
                  <c:v>43344</c:v>
                </c:pt>
                <c:pt idx="450">
                  <c:v>43374</c:v>
                </c:pt>
                <c:pt idx="451">
                  <c:v>43405</c:v>
                </c:pt>
                <c:pt idx="452">
                  <c:v>43435</c:v>
                </c:pt>
                <c:pt idx="453">
                  <c:v>43466</c:v>
                </c:pt>
                <c:pt idx="454">
                  <c:v>43497</c:v>
                </c:pt>
                <c:pt idx="455">
                  <c:v>43525</c:v>
                </c:pt>
                <c:pt idx="456">
                  <c:v>43556</c:v>
                </c:pt>
                <c:pt idx="457">
                  <c:v>43586</c:v>
                </c:pt>
                <c:pt idx="458">
                  <c:v>43617</c:v>
                </c:pt>
                <c:pt idx="459">
                  <c:v>43647</c:v>
                </c:pt>
                <c:pt idx="460">
                  <c:v>43678</c:v>
                </c:pt>
                <c:pt idx="461">
                  <c:v>43709</c:v>
                </c:pt>
                <c:pt idx="462">
                  <c:v>43739</c:v>
                </c:pt>
                <c:pt idx="463">
                  <c:v>43770</c:v>
                </c:pt>
                <c:pt idx="464">
                  <c:v>43800</c:v>
                </c:pt>
                <c:pt idx="465">
                  <c:v>43831</c:v>
                </c:pt>
                <c:pt idx="466">
                  <c:v>43862</c:v>
                </c:pt>
                <c:pt idx="467">
                  <c:v>43891</c:v>
                </c:pt>
                <c:pt idx="468">
                  <c:v>43922</c:v>
                </c:pt>
                <c:pt idx="469">
                  <c:v>43952</c:v>
                </c:pt>
                <c:pt idx="470">
                  <c:v>43983</c:v>
                </c:pt>
                <c:pt idx="471">
                  <c:v>44013</c:v>
                </c:pt>
                <c:pt idx="472">
                  <c:v>44044</c:v>
                </c:pt>
                <c:pt idx="473">
                  <c:v>44075</c:v>
                </c:pt>
                <c:pt idx="474">
                  <c:v>44105</c:v>
                </c:pt>
                <c:pt idx="475">
                  <c:v>44136</c:v>
                </c:pt>
                <c:pt idx="476">
                  <c:v>44166</c:v>
                </c:pt>
                <c:pt idx="477">
                  <c:v>44197</c:v>
                </c:pt>
                <c:pt idx="478">
                  <c:v>44228</c:v>
                </c:pt>
                <c:pt idx="479">
                  <c:v>44256</c:v>
                </c:pt>
              </c:numCache>
            </c:numRef>
          </c:cat>
          <c:val>
            <c:numRef>
              <c:f>女発放廃!$AG$4:$AG$484</c:f>
              <c:numCache>
                <c:formatCode>0.0;"△ "0.0</c:formatCode>
                <c:ptCount val="481"/>
                <c:pt idx="30">
                  <c:v>0</c:v>
                </c:pt>
                <c:pt idx="31">
                  <c:v>26.975999999999999</c:v>
                </c:pt>
                <c:pt idx="32">
                  <c:v>88.643000000000001</c:v>
                </c:pt>
                <c:pt idx="33">
                  <c:v>133.98699999999999</c:v>
                </c:pt>
                <c:pt idx="34">
                  <c:v>146.904</c:v>
                </c:pt>
                <c:pt idx="35">
                  <c:v>200.779</c:v>
                </c:pt>
                <c:pt idx="36">
                  <c:v>248.38</c:v>
                </c:pt>
                <c:pt idx="37">
                  <c:v>382.54700000000003</c:v>
                </c:pt>
                <c:pt idx="38">
                  <c:v>377.26400000000001</c:v>
                </c:pt>
                <c:pt idx="39">
                  <c:v>380.709</c:v>
                </c:pt>
                <c:pt idx="40">
                  <c:v>389.85599999999999</c:v>
                </c:pt>
                <c:pt idx="41">
                  <c:v>367.30099999999999</c:v>
                </c:pt>
                <c:pt idx="42">
                  <c:v>389.85599999999999</c:v>
                </c:pt>
                <c:pt idx="43">
                  <c:v>371.71300000000002</c:v>
                </c:pt>
                <c:pt idx="44">
                  <c:v>389.85500000000002</c:v>
                </c:pt>
                <c:pt idx="45">
                  <c:v>379.02699999999999</c:v>
                </c:pt>
                <c:pt idx="46">
                  <c:v>346.29599999999999</c:v>
                </c:pt>
                <c:pt idx="47">
                  <c:v>387.62</c:v>
                </c:pt>
                <c:pt idx="48">
                  <c:v>23.268999999999998</c:v>
                </c:pt>
                <c:pt idx="49">
                  <c:v>0</c:v>
                </c:pt>
                <c:pt idx="50">
                  <c:v>13.661</c:v>
                </c:pt>
                <c:pt idx="51">
                  <c:v>376.863</c:v>
                </c:pt>
                <c:pt idx="52">
                  <c:v>389.85700000000003</c:v>
                </c:pt>
                <c:pt idx="53">
                  <c:v>371.5</c:v>
                </c:pt>
                <c:pt idx="54">
                  <c:v>389.85500000000002</c:v>
                </c:pt>
                <c:pt idx="55">
                  <c:v>377.28</c:v>
                </c:pt>
                <c:pt idx="56">
                  <c:v>389.47500000000002</c:v>
                </c:pt>
                <c:pt idx="57">
                  <c:v>389.85599999999999</c:v>
                </c:pt>
                <c:pt idx="58">
                  <c:v>344.10199999999998</c:v>
                </c:pt>
                <c:pt idx="59">
                  <c:v>387.25599999999997</c:v>
                </c:pt>
                <c:pt idx="60">
                  <c:v>225.048</c:v>
                </c:pt>
                <c:pt idx="61">
                  <c:v>0</c:v>
                </c:pt>
                <c:pt idx="62">
                  <c:v>0</c:v>
                </c:pt>
                <c:pt idx="63">
                  <c:v>297.36799999999999</c:v>
                </c:pt>
                <c:pt idx="64">
                  <c:v>389.85599999999999</c:v>
                </c:pt>
                <c:pt idx="65">
                  <c:v>377.28</c:v>
                </c:pt>
                <c:pt idx="66">
                  <c:v>389.85500000000002</c:v>
                </c:pt>
                <c:pt idx="67">
                  <c:v>377.279</c:v>
                </c:pt>
                <c:pt idx="68">
                  <c:v>379.61500000000001</c:v>
                </c:pt>
                <c:pt idx="69">
                  <c:v>389.85599999999999</c:v>
                </c:pt>
                <c:pt idx="70">
                  <c:v>329.32600000000002</c:v>
                </c:pt>
                <c:pt idx="71">
                  <c:v>389.20800000000003</c:v>
                </c:pt>
                <c:pt idx="72">
                  <c:v>205.01900000000001</c:v>
                </c:pt>
                <c:pt idx="73">
                  <c:v>0</c:v>
                </c:pt>
                <c:pt idx="74">
                  <c:v>0</c:v>
                </c:pt>
                <c:pt idx="75">
                  <c:v>184.708</c:v>
                </c:pt>
                <c:pt idx="76">
                  <c:v>389.85500000000002</c:v>
                </c:pt>
                <c:pt idx="77">
                  <c:v>377.28</c:v>
                </c:pt>
                <c:pt idx="78">
                  <c:v>310.82100000000003</c:v>
                </c:pt>
                <c:pt idx="79">
                  <c:v>377.279</c:v>
                </c:pt>
                <c:pt idx="80">
                  <c:v>389.85700000000003</c:v>
                </c:pt>
                <c:pt idx="81">
                  <c:v>383.49400000000003</c:v>
                </c:pt>
                <c:pt idx="82">
                  <c:v>364.70400000000001</c:v>
                </c:pt>
                <c:pt idx="83">
                  <c:v>386.935</c:v>
                </c:pt>
                <c:pt idx="84">
                  <c:v>350.36</c:v>
                </c:pt>
                <c:pt idx="85">
                  <c:v>0</c:v>
                </c:pt>
                <c:pt idx="86">
                  <c:v>0</c:v>
                </c:pt>
                <c:pt idx="87">
                  <c:v>199.06200000000001</c:v>
                </c:pt>
                <c:pt idx="88">
                  <c:v>389.85599999999999</c:v>
                </c:pt>
                <c:pt idx="89">
                  <c:v>377.28100000000001</c:v>
                </c:pt>
                <c:pt idx="90">
                  <c:v>389.85599999999999</c:v>
                </c:pt>
                <c:pt idx="91">
                  <c:v>377.279</c:v>
                </c:pt>
                <c:pt idx="92">
                  <c:v>387.17</c:v>
                </c:pt>
                <c:pt idx="93">
                  <c:v>389.85500000000002</c:v>
                </c:pt>
                <c:pt idx="94">
                  <c:v>352.12799999999999</c:v>
                </c:pt>
                <c:pt idx="95">
                  <c:v>389.85599999999999</c:v>
                </c:pt>
                <c:pt idx="96">
                  <c:v>124.419</c:v>
                </c:pt>
                <c:pt idx="97">
                  <c:v>0</c:v>
                </c:pt>
                <c:pt idx="98">
                  <c:v>0</c:v>
                </c:pt>
                <c:pt idx="99">
                  <c:v>33.087000000000003</c:v>
                </c:pt>
                <c:pt idx="100">
                  <c:v>373.87299999999999</c:v>
                </c:pt>
                <c:pt idx="101">
                  <c:v>377.28</c:v>
                </c:pt>
                <c:pt idx="102">
                  <c:v>389.85599999999999</c:v>
                </c:pt>
                <c:pt idx="103">
                  <c:v>377.28100000000001</c:v>
                </c:pt>
                <c:pt idx="104">
                  <c:v>389.85599999999999</c:v>
                </c:pt>
                <c:pt idx="105">
                  <c:v>389.85599999999999</c:v>
                </c:pt>
                <c:pt idx="106">
                  <c:v>352.12799999999999</c:v>
                </c:pt>
                <c:pt idx="107">
                  <c:v>389.85599999999999</c:v>
                </c:pt>
                <c:pt idx="108">
                  <c:v>373.88499999999999</c:v>
                </c:pt>
                <c:pt idx="109">
                  <c:v>275.36799999999999</c:v>
                </c:pt>
                <c:pt idx="110">
                  <c:v>2.5680000000000001</c:v>
                </c:pt>
                <c:pt idx="111">
                  <c:v>375.84</c:v>
                </c:pt>
                <c:pt idx="112">
                  <c:v>361.12599999999998</c:v>
                </c:pt>
                <c:pt idx="113">
                  <c:v>10.127000000000001</c:v>
                </c:pt>
                <c:pt idx="114">
                  <c:v>0</c:v>
                </c:pt>
                <c:pt idx="115">
                  <c:v>95.924000000000007</c:v>
                </c:pt>
                <c:pt idx="116">
                  <c:v>389.85599999999999</c:v>
                </c:pt>
                <c:pt idx="117">
                  <c:v>389.85599999999999</c:v>
                </c:pt>
                <c:pt idx="118">
                  <c:v>352.12799999999999</c:v>
                </c:pt>
                <c:pt idx="119">
                  <c:v>389.85599999999999</c:v>
                </c:pt>
                <c:pt idx="120">
                  <c:v>377.279</c:v>
                </c:pt>
                <c:pt idx="121">
                  <c:v>389.85599999999999</c:v>
                </c:pt>
                <c:pt idx="122">
                  <c:v>377.28</c:v>
                </c:pt>
                <c:pt idx="123">
                  <c:v>389.85599999999999</c:v>
                </c:pt>
                <c:pt idx="124">
                  <c:v>305.315</c:v>
                </c:pt>
                <c:pt idx="125">
                  <c:v>377.01900000000001</c:v>
                </c:pt>
                <c:pt idx="126">
                  <c:v>36.503</c:v>
                </c:pt>
                <c:pt idx="127">
                  <c:v>0</c:v>
                </c:pt>
                <c:pt idx="128">
                  <c:v>154.75200000000001</c:v>
                </c:pt>
                <c:pt idx="129">
                  <c:v>389.85599999999999</c:v>
                </c:pt>
                <c:pt idx="130">
                  <c:v>364.70400000000001</c:v>
                </c:pt>
                <c:pt idx="131">
                  <c:v>389.85599999999999</c:v>
                </c:pt>
                <c:pt idx="132">
                  <c:v>377.28</c:v>
                </c:pt>
                <c:pt idx="133">
                  <c:v>386.94799999999998</c:v>
                </c:pt>
                <c:pt idx="134">
                  <c:v>377.27600000000001</c:v>
                </c:pt>
                <c:pt idx="135">
                  <c:v>389.85500000000002</c:v>
                </c:pt>
                <c:pt idx="136">
                  <c:v>384.04</c:v>
                </c:pt>
                <c:pt idx="137">
                  <c:v>144.297</c:v>
                </c:pt>
                <c:pt idx="138">
                  <c:v>389.85599999999999</c:v>
                </c:pt>
                <c:pt idx="139">
                  <c:v>375.51600000000002</c:v>
                </c:pt>
                <c:pt idx="140">
                  <c:v>389.39800000000002</c:v>
                </c:pt>
                <c:pt idx="141">
                  <c:v>96.808999999999997</c:v>
                </c:pt>
                <c:pt idx="142">
                  <c:v>0</c:v>
                </c:pt>
                <c:pt idx="143">
                  <c:v>0</c:v>
                </c:pt>
                <c:pt idx="144">
                  <c:v>0</c:v>
                </c:pt>
                <c:pt idx="145">
                  <c:v>0</c:v>
                </c:pt>
                <c:pt idx="146">
                  <c:v>328.86399999999998</c:v>
                </c:pt>
                <c:pt idx="147">
                  <c:v>389.85599999999999</c:v>
                </c:pt>
                <c:pt idx="148">
                  <c:v>389.58600000000001</c:v>
                </c:pt>
                <c:pt idx="149">
                  <c:v>376.63099999999997</c:v>
                </c:pt>
                <c:pt idx="150">
                  <c:v>389.85599999999999</c:v>
                </c:pt>
                <c:pt idx="151">
                  <c:v>334.93400000000003</c:v>
                </c:pt>
                <c:pt idx="152">
                  <c:v>132.82</c:v>
                </c:pt>
                <c:pt idx="153">
                  <c:v>389.85599999999999</c:v>
                </c:pt>
                <c:pt idx="154">
                  <c:v>352.12799999999999</c:v>
                </c:pt>
                <c:pt idx="155">
                  <c:v>388.04599999999999</c:v>
                </c:pt>
                <c:pt idx="156">
                  <c:v>377.28</c:v>
                </c:pt>
                <c:pt idx="157">
                  <c:v>99.39</c:v>
                </c:pt>
                <c:pt idx="158">
                  <c:v>0</c:v>
                </c:pt>
                <c:pt idx="159">
                  <c:v>112.363</c:v>
                </c:pt>
                <c:pt idx="160">
                  <c:v>389.55599999999998</c:v>
                </c:pt>
                <c:pt idx="161">
                  <c:v>376.83499999999998</c:v>
                </c:pt>
                <c:pt idx="162">
                  <c:v>389.85599999999999</c:v>
                </c:pt>
                <c:pt idx="163">
                  <c:v>377.28</c:v>
                </c:pt>
                <c:pt idx="164">
                  <c:v>388.64100000000002</c:v>
                </c:pt>
                <c:pt idx="165">
                  <c:v>389.85599999999999</c:v>
                </c:pt>
                <c:pt idx="166">
                  <c:v>352.12799999999999</c:v>
                </c:pt>
                <c:pt idx="167">
                  <c:v>389.85599999999999</c:v>
                </c:pt>
                <c:pt idx="168">
                  <c:v>377.28</c:v>
                </c:pt>
                <c:pt idx="169">
                  <c:v>386.82</c:v>
                </c:pt>
                <c:pt idx="170">
                  <c:v>373.06099999999998</c:v>
                </c:pt>
                <c:pt idx="171">
                  <c:v>385.61099999999999</c:v>
                </c:pt>
                <c:pt idx="172">
                  <c:v>378.54300000000001</c:v>
                </c:pt>
                <c:pt idx="173">
                  <c:v>79.3</c:v>
                </c:pt>
                <c:pt idx="174">
                  <c:v>0</c:v>
                </c:pt>
                <c:pt idx="175">
                  <c:v>0</c:v>
                </c:pt>
                <c:pt idx="176">
                  <c:v>0</c:v>
                </c:pt>
                <c:pt idx="177">
                  <c:v>0</c:v>
                </c:pt>
                <c:pt idx="178">
                  <c:v>202.98</c:v>
                </c:pt>
                <c:pt idx="179">
                  <c:v>389.85599999999999</c:v>
                </c:pt>
                <c:pt idx="180">
                  <c:v>293.96199999999999</c:v>
                </c:pt>
                <c:pt idx="181">
                  <c:v>364.44200000000001</c:v>
                </c:pt>
                <c:pt idx="182">
                  <c:v>377.279</c:v>
                </c:pt>
                <c:pt idx="183">
                  <c:v>389.85599999999999</c:v>
                </c:pt>
                <c:pt idx="184">
                  <c:v>387.97300000000001</c:v>
                </c:pt>
                <c:pt idx="185">
                  <c:v>377.28</c:v>
                </c:pt>
                <c:pt idx="186">
                  <c:v>389.85599999999999</c:v>
                </c:pt>
                <c:pt idx="187">
                  <c:v>377.28</c:v>
                </c:pt>
                <c:pt idx="188">
                  <c:v>389.85599999999999</c:v>
                </c:pt>
                <c:pt idx="189">
                  <c:v>388.84399999999999</c:v>
                </c:pt>
                <c:pt idx="190">
                  <c:v>350.78899999999999</c:v>
                </c:pt>
                <c:pt idx="191">
                  <c:v>389.85300000000001</c:v>
                </c:pt>
                <c:pt idx="192">
                  <c:v>61.731999999999999</c:v>
                </c:pt>
                <c:pt idx="193">
                  <c:v>0</c:v>
                </c:pt>
                <c:pt idx="194">
                  <c:v>1.5820000000000001</c:v>
                </c:pt>
                <c:pt idx="195">
                  <c:v>381.63799999999998</c:v>
                </c:pt>
                <c:pt idx="196">
                  <c:v>389.85599999999999</c:v>
                </c:pt>
                <c:pt idx="197">
                  <c:v>377.28</c:v>
                </c:pt>
                <c:pt idx="198">
                  <c:v>389.572</c:v>
                </c:pt>
                <c:pt idx="199">
                  <c:v>377.28</c:v>
                </c:pt>
                <c:pt idx="200">
                  <c:v>389.572</c:v>
                </c:pt>
                <c:pt idx="201">
                  <c:v>389.85599999999999</c:v>
                </c:pt>
                <c:pt idx="202">
                  <c:v>352.12799999999999</c:v>
                </c:pt>
                <c:pt idx="203">
                  <c:v>389.85599999999999</c:v>
                </c:pt>
                <c:pt idx="204">
                  <c:v>377.28</c:v>
                </c:pt>
                <c:pt idx="205">
                  <c:v>389.12900000000002</c:v>
                </c:pt>
                <c:pt idx="206">
                  <c:v>284.32600000000002</c:v>
                </c:pt>
                <c:pt idx="207">
                  <c:v>389.74400000000003</c:v>
                </c:pt>
                <c:pt idx="208">
                  <c:v>389.03100000000001</c:v>
                </c:pt>
                <c:pt idx="209">
                  <c:v>122.95099999999999</c:v>
                </c:pt>
                <c:pt idx="210">
                  <c:v>0</c:v>
                </c:pt>
                <c:pt idx="211">
                  <c:v>87.085999999999999</c:v>
                </c:pt>
                <c:pt idx="212">
                  <c:v>389.85599999999999</c:v>
                </c:pt>
                <c:pt idx="213">
                  <c:v>389.85500000000002</c:v>
                </c:pt>
                <c:pt idx="214">
                  <c:v>352.09</c:v>
                </c:pt>
                <c:pt idx="215">
                  <c:v>389.85599999999999</c:v>
                </c:pt>
                <c:pt idx="216">
                  <c:v>377.28</c:v>
                </c:pt>
                <c:pt idx="217">
                  <c:v>389.85599999999999</c:v>
                </c:pt>
                <c:pt idx="218">
                  <c:v>250.37799999999999</c:v>
                </c:pt>
                <c:pt idx="219">
                  <c:v>389.85599999999999</c:v>
                </c:pt>
                <c:pt idx="220">
                  <c:v>389.25400000000002</c:v>
                </c:pt>
                <c:pt idx="221">
                  <c:v>377.01900000000001</c:v>
                </c:pt>
                <c:pt idx="222">
                  <c:v>389.78100000000001</c:v>
                </c:pt>
                <c:pt idx="223">
                  <c:v>377.12700000000001</c:v>
                </c:pt>
                <c:pt idx="224">
                  <c:v>389.77800000000002</c:v>
                </c:pt>
                <c:pt idx="225">
                  <c:v>200.40899999999999</c:v>
                </c:pt>
                <c:pt idx="226">
                  <c:v>0</c:v>
                </c:pt>
                <c:pt idx="227">
                  <c:v>238.38300000000001</c:v>
                </c:pt>
                <c:pt idx="228">
                  <c:v>377.28</c:v>
                </c:pt>
                <c:pt idx="229">
                  <c:v>389.85599999999999</c:v>
                </c:pt>
                <c:pt idx="230">
                  <c:v>377.279</c:v>
                </c:pt>
                <c:pt idx="231">
                  <c:v>380.85599999999999</c:v>
                </c:pt>
                <c:pt idx="232">
                  <c:v>388.07</c:v>
                </c:pt>
                <c:pt idx="233">
                  <c:v>376.40499999999997</c:v>
                </c:pt>
                <c:pt idx="234">
                  <c:v>389.85500000000002</c:v>
                </c:pt>
                <c:pt idx="235">
                  <c:v>377.27100000000002</c:v>
                </c:pt>
                <c:pt idx="236">
                  <c:v>389.71899999999999</c:v>
                </c:pt>
                <c:pt idx="237">
                  <c:v>389.79899999999998</c:v>
                </c:pt>
                <c:pt idx="238">
                  <c:v>351.84800000000001</c:v>
                </c:pt>
                <c:pt idx="239">
                  <c:v>389.2</c:v>
                </c:pt>
                <c:pt idx="240">
                  <c:v>334.82600000000002</c:v>
                </c:pt>
                <c:pt idx="241">
                  <c:v>0</c:v>
                </c:pt>
                <c:pt idx="242">
                  <c:v>0</c:v>
                </c:pt>
                <c:pt idx="243">
                  <c:v>207.36099999999999</c:v>
                </c:pt>
                <c:pt idx="244">
                  <c:v>389.85500000000002</c:v>
                </c:pt>
                <c:pt idx="245">
                  <c:v>377.279</c:v>
                </c:pt>
                <c:pt idx="246">
                  <c:v>389.85599999999999</c:v>
                </c:pt>
                <c:pt idx="247">
                  <c:v>377.279</c:v>
                </c:pt>
                <c:pt idx="248">
                  <c:v>389.85599999999999</c:v>
                </c:pt>
                <c:pt idx="249">
                  <c:v>389.85599999999999</c:v>
                </c:pt>
                <c:pt idx="250">
                  <c:v>352.12799999999999</c:v>
                </c:pt>
                <c:pt idx="251">
                  <c:v>389.85599999999999</c:v>
                </c:pt>
                <c:pt idx="252">
                  <c:v>377.28</c:v>
                </c:pt>
                <c:pt idx="253">
                  <c:v>389.85599999999999</c:v>
                </c:pt>
                <c:pt idx="254">
                  <c:v>377.28</c:v>
                </c:pt>
                <c:pt idx="255">
                  <c:v>389.75200000000001</c:v>
                </c:pt>
                <c:pt idx="256">
                  <c:v>389.79300000000001</c:v>
                </c:pt>
                <c:pt idx="257">
                  <c:v>87.638999999999996</c:v>
                </c:pt>
                <c:pt idx="258">
                  <c:v>0</c:v>
                </c:pt>
                <c:pt idx="259">
                  <c:v>0</c:v>
                </c:pt>
                <c:pt idx="260">
                  <c:v>0</c:v>
                </c:pt>
                <c:pt idx="261">
                  <c:v>0</c:v>
                </c:pt>
                <c:pt idx="262">
                  <c:v>0</c:v>
                </c:pt>
                <c:pt idx="263">
                  <c:v>0</c:v>
                </c:pt>
                <c:pt idx="264">
                  <c:v>0</c:v>
                </c:pt>
                <c:pt idx="265">
                  <c:v>0</c:v>
                </c:pt>
                <c:pt idx="266">
                  <c:v>0</c:v>
                </c:pt>
                <c:pt idx="267">
                  <c:v>29.300999999999998</c:v>
                </c:pt>
                <c:pt idx="268">
                  <c:v>392.02199999999999</c:v>
                </c:pt>
                <c:pt idx="269">
                  <c:v>379.27199999999999</c:v>
                </c:pt>
                <c:pt idx="270">
                  <c:v>392.315</c:v>
                </c:pt>
                <c:pt idx="271">
                  <c:v>379.59</c:v>
                </c:pt>
                <c:pt idx="272">
                  <c:v>392.28800000000001</c:v>
                </c:pt>
                <c:pt idx="273">
                  <c:v>391.83800000000002</c:v>
                </c:pt>
                <c:pt idx="274">
                  <c:v>366.64299999999997</c:v>
                </c:pt>
                <c:pt idx="275">
                  <c:v>392.964</c:v>
                </c:pt>
                <c:pt idx="276">
                  <c:v>380.58199999999999</c:v>
                </c:pt>
                <c:pt idx="277">
                  <c:v>393.23</c:v>
                </c:pt>
                <c:pt idx="278">
                  <c:v>380.37</c:v>
                </c:pt>
                <c:pt idx="279">
                  <c:v>392.834</c:v>
                </c:pt>
                <c:pt idx="280">
                  <c:v>391.73099999999999</c:v>
                </c:pt>
                <c:pt idx="281">
                  <c:v>85.581999999999994</c:v>
                </c:pt>
                <c:pt idx="282">
                  <c:v>0</c:v>
                </c:pt>
                <c:pt idx="283">
                  <c:v>0</c:v>
                </c:pt>
                <c:pt idx="284">
                  <c:v>0</c:v>
                </c:pt>
                <c:pt idx="285">
                  <c:v>156.79400000000001</c:v>
                </c:pt>
                <c:pt idx="286">
                  <c:v>308.93200000000002</c:v>
                </c:pt>
                <c:pt idx="287">
                  <c:v>0</c:v>
                </c:pt>
                <c:pt idx="288">
                  <c:v>171.876</c:v>
                </c:pt>
                <c:pt idx="289">
                  <c:v>396.29399999999998</c:v>
                </c:pt>
                <c:pt idx="290">
                  <c:v>383.38499999999999</c:v>
                </c:pt>
                <c:pt idx="291">
                  <c:v>395.54599999999999</c:v>
                </c:pt>
                <c:pt idx="292">
                  <c:v>197.197</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17.422000000000001</c:v>
                </c:pt>
                <c:pt idx="314">
                  <c:v>0</c:v>
                </c:pt>
                <c:pt idx="315">
                  <c:v>323.67599999999999</c:v>
                </c:pt>
                <c:pt idx="316">
                  <c:v>394.399</c:v>
                </c:pt>
                <c:pt idx="317">
                  <c:v>381.15100000000001</c:v>
                </c:pt>
                <c:pt idx="318">
                  <c:v>394.649</c:v>
                </c:pt>
                <c:pt idx="319">
                  <c:v>382.72300000000001</c:v>
                </c:pt>
                <c:pt idx="320">
                  <c:v>396.19200000000001</c:v>
                </c:pt>
                <c:pt idx="321">
                  <c:v>396.15100000000001</c:v>
                </c:pt>
                <c:pt idx="322">
                  <c:v>165.571</c:v>
                </c:pt>
                <c:pt idx="323">
                  <c:v>0</c:v>
                </c:pt>
                <c:pt idx="324">
                  <c:v>0</c:v>
                </c:pt>
                <c:pt idx="325">
                  <c:v>0</c:v>
                </c:pt>
                <c:pt idx="326">
                  <c:v>0</c:v>
                </c:pt>
                <c:pt idx="327">
                  <c:v>0</c:v>
                </c:pt>
                <c:pt idx="328">
                  <c:v>0</c:v>
                </c:pt>
                <c:pt idx="329">
                  <c:v>0</c:v>
                </c:pt>
                <c:pt idx="330">
                  <c:v>0</c:v>
                </c:pt>
                <c:pt idx="331">
                  <c:v>0</c:v>
                </c:pt>
                <c:pt idx="332">
                  <c:v>0</c:v>
                </c:pt>
                <c:pt idx="333">
                  <c:v>0</c:v>
                </c:pt>
                <c:pt idx="334">
                  <c:v>0</c:v>
                </c:pt>
                <c:pt idx="335">
                  <c:v>20.835000000000001</c:v>
                </c:pt>
                <c:pt idx="336">
                  <c:v>332.26299999999998</c:v>
                </c:pt>
                <c:pt idx="337">
                  <c:v>395.351</c:v>
                </c:pt>
                <c:pt idx="338">
                  <c:v>222.79</c:v>
                </c:pt>
                <c:pt idx="339">
                  <c:v>394.31299999999999</c:v>
                </c:pt>
                <c:pt idx="340">
                  <c:v>392.65899999999999</c:v>
                </c:pt>
                <c:pt idx="341">
                  <c:v>379.28800000000001</c:v>
                </c:pt>
                <c:pt idx="342">
                  <c:v>392.85500000000002</c:v>
                </c:pt>
                <c:pt idx="343">
                  <c:v>381.12599999999998</c:v>
                </c:pt>
                <c:pt idx="344">
                  <c:v>394.24099999999999</c:v>
                </c:pt>
                <c:pt idx="345">
                  <c:v>394.59500000000003</c:v>
                </c:pt>
                <c:pt idx="346">
                  <c:v>279.44600000000003</c:v>
                </c:pt>
                <c:pt idx="347">
                  <c:v>0</c:v>
                </c:pt>
                <c:pt idx="348">
                  <c:v>0</c:v>
                </c:pt>
                <c:pt idx="349">
                  <c:v>0</c:v>
                </c:pt>
                <c:pt idx="350">
                  <c:v>0</c:v>
                </c:pt>
                <c:pt idx="351">
                  <c:v>174.779</c:v>
                </c:pt>
                <c:pt idx="352">
                  <c:v>398.11099999999999</c:v>
                </c:pt>
                <c:pt idx="353">
                  <c:v>384.39800000000002</c:v>
                </c:pt>
                <c:pt idx="354">
                  <c:v>398.596</c:v>
                </c:pt>
                <c:pt idx="355">
                  <c:v>387.25099999999998</c:v>
                </c:pt>
                <c:pt idx="356">
                  <c:v>400.65600000000001</c:v>
                </c:pt>
                <c:pt idx="357">
                  <c:v>400.89299999999997</c:v>
                </c:pt>
                <c:pt idx="358">
                  <c:v>361.96300000000002</c:v>
                </c:pt>
                <c:pt idx="359">
                  <c:v>137.21600000000001</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formatCode="General">
                  <c:v>0</c:v>
                </c:pt>
                <c:pt idx="374" formatCode="General">
                  <c:v>0</c:v>
                </c:pt>
                <c:pt idx="375" formatCode="General">
                  <c:v>0</c:v>
                </c:pt>
                <c:pt idx="376" formatCode="General">
                  <c:v>0</c:v>
                </c:pt>
                <c:pt idx="377" formatCode="General">
                  <c:v>0</c:v>
                </c:pt>
                <c:pt idx="378" formatCode="General">
                  <c:v>0</c:v>
                </c:pt>
                <c:pt idx="379" formatCode="General">
                  <c:v>0</c:v>
                </c:pt>
                <c:pt idx="380" formatCode="General">
                  <c:v>0</c:v>
                </c:pt>
                <c:pt idx="381" formatCode="General">
                  <c:v>0</c:v>
                </c:pt>
                <c:pt idx="382" formatCode="General">
                  <c:v>0</c:v>
                </c:pt>
                <c:pt idx="383" formatCode="General">
                  <c:v>0</c:v>
                </c:pt>
                <c:pt idx="384" formatCode="General">
                  <c:v>0</c:v>
                </c:pt>
                <c:pt idx="385" formatCode="General">
                  <c:v>0</c:v>
                </c:pt>
                <c:pt idx="386" formatCode="General">
                  <c:v>0</c:v>
                </c:pt>
                <c:pt idx="387" formatCode="General">
                  <c:v>0</c:v>
                </c:pt>
                <c:pt idx="388" formatCode="General">
                  <c:v>0</c:v>
                </c:pt>
                <c:pt idx="389" formatCode="General">
                  <c:v>0</c:v>
                </c:pt>
                <c:pt idx="390" formatCode="General">
                  <c:v>0</c:v>
                </c:pt>
                <c:pt idx="391" formatCode="General">
                  <c:v>0</c:v>
                </c:pt>
                <c:pt idx="392" formatCode="General">
                  <c:v>0</c:v>
                </c:pt>
                <c:pt idx="393" formatCode="General">
                  <c:v>0</c:v>
                </c:pt>
                <c:pt idx="394" formatCode="General">
                  <c:v>0</c:v>
                </c:pt>
                <c:pt idx="395" formatCode="General">
                  <c:v>0</c:v>
                </c:pt>
                <c:pt idx="396" formatCode="General">
                  <c:v>0</c:v>
                </c:pt>
                <c:pt idx="397" formatCode="General">
                  <c:v>0</c:v>
                </c:pt>
                <c:pt idx="398" formatCode="General">
                  <c:v>0</c:v>
                </c:pt>
                <c:pt idx="399" formatCode="General">
                  <c:v>0</c:v>
                </c:pt>
                <c:pt idx="400" formatCode="General">
                  <c:v>0</c:v>
                </c:pt>
                <c:pt idx="401" formatCode="General">
                  <c:v>0</c:v>
                </c:pt>
                <c:pt idx="402" formatCode="General">
                  <c:v>0</c:v>
                </c:pt>
                <c:pt idx="403" formatCode="General">
                  <c:v>0</c:v>
                </c:pt>
                <c:pt idx="404" formatCode="General">
                  <c:v>0</c:v>
                </c:pt>
                <c:pt idx="405" formatCode="General">
                  <c:v>0</c:v>
                </c:pt>
                <c:pt idx="406" formatCode="General">
                  <c:v>0</c:v>
                </c:pt>
                <c:pt idx="407" formatCode="General">
                  <c:v>0</c:v>
                </c:pt>
                <c:pt idx="408" formatCode="General">
                  <c:v>0</c:v>
                </c:pt>
                <c:pt idx="409" formatCode="General">
                  <c:v>0</c:v>
                </c:pt>
                <c:pt idx="410" formatCode="General">
                  <c:v>0</c:v>
                </c:pt>
                <c:pt idx="411" formatCode="General">
                  <c:v>0</c:v>
                </c:pt>
                <c:pt idx="412" formatCode="General">
                  <c:v>0</c:v>
                </c:pt>
                <c:pt idx="413" formatCode="General">
                  <c:v>0</c:v>
                </c:pt>
                <c:pt idx="414" formatCode="General">
                  <c:v>0</c:v>
                </c:pt>
                <c:pt idx="415" formatCode="General">
                  <c:v>0</c:v>
                </c:pt>
                <c:pt idx="416" formatCode="General">
                  <c:v>0</c:v>
                </c:pt>
                <c:pt idx="417" formatCode="General">
                  <c:v>0</c:v>
                </c:pt>
                <c:pt idx="418" formatCode="General">
                  <c:v>0</c:v>
                </c:pt>
                <c:pt idx="419" formatCode="General">
                  <c:v>0</c:v>
                </c:pt>
                <c:pt idx="420" formatCode="General">
                  <c:v>0</c:v>
                </c:pt>
                <c:pt idx="421" formatCode="General">
                  <c:v>0</c:v>
                </c:pt>
                <c:pt idx="422" formatCode="General">
                  <c:v>0</c:v>
                </c:pt>
                <c:pt idx="423" formatCode="General">
                  <c:v>0</c:v>
                </c:pt>
                <c:pt idx="424" formatCode="General">
                  <c:v>0</c:v>
                </c:pt>
                <c:pt idx="425" formatCode="General">
                  <c:v>0</c:v>
                </c:pt>
                <c:pt idx="426" formatCode="General">
                  <c:v>0</c:v>
                </c:pt>
                <c:pt idx="427" formatCode="General">
                  <c:v>0</c:v>
                </c:pt>
                <c:pt idx="428" formatCode="General">
                  <c:v>0</c:v>
                </c:pt>
                <c:pt idx="429" formatCode="General">
                  <c:v>0</c:v>
                </c:pt>
                <c:pt idx="430" formatCode="General">
                  <c:v>0</c:v>
                </c:pt>
                <c:pt idx="431" formatCode="General">
                  <c:v>0</c:v>
                </c:pt>
                <c:pt idx="432" formatCode="General">
                  <c:v>0</c:v>
                </c:pt>
                <c:pt idx="433" formatCode="General">
                  <c:v>0</c:v>
                </c:pt>
                <c:pt idx="434" formatCode="General">
                  <c:v>0</c:v>
                </c:pt>
                <c:pt idx="435" formatCode="General">
                  <c:v>0</c:v>
                </c:pt>
                <c:pt idx="436" formatCode="General">
                  <c:v>0</c:v>
                </c:pt>
                <c:pt idx="437" formatCode="General">
                  <c:v>0</c:v>
                </c:pt>
                <c:pt idx="438" formatCode="General">
                  <c:v>0</c:v>
                </c:pt>
                <c:pt idx="439" formatCode="General">
                  <c:v>0</c:v>
                </c:pt>
                <c:pt idx="440" formatCode="General">
                  <c:v>0</c:v>
                </c:pt>
                <c:pt idx="441" formatCode="General">
                  <c:v>0</c:v>
                </c:pt>
                <c:pt idx="442" formatCode="General">
                  <c:v>0</c:v>
                </c:pt>
                <c:pt idx="443" formatCode="General">
                  <c:v>0</c:v>
                </c:pt>
                <c:pt idx="444" formatCode="General">
                  <c:v>0</c:v>
                </c:pt>
                <c:pt idx="445" formatCode="General">
                  <c:v>0</c:v>
                </c:pt>
                <c:pt idx="446" formatCode="General">
                  <c:v>0</c:v>
                </c:pt>
                <c:pt idx="447" formatCode="General">
                  <c:v>0</c:v>
                </c:pt>
                <c:pt idx="448" formatCode="General">
                  <c:v>0</c:v>
                </c:pt>
                <c:pt idx="449" formatCode="General">
                  <c:v>0</c:v>
                </c:pt>
                <c:pt idx="450" formatCode="General">
                  <c:v>0</c:v>
                </c:pt>
                <c:pt idx="451" formatCode="General">
                  <c:v>0</c:v>
                </c:pt>
                <c:pt idx="452" formatCode="General">
                  <c:v>0</c:v>
                </c:pt>
                <c:pt idx="453" formatCode="General">
                  <c:v>0</c:v>
                </c:pt>
                <c:pt idx="454" formatCode="General">
                  <c:v>0</c:v>
                </c:pt>
                <c:pt idx="455" formatCode="General">
                  <c:v>0</c:v>
                </c:pt>
                <c:pt idx="456" formatCode="General">
                  <c:v>0</c:v>
                </c:pt>
                <c:pt idx="457" formatCode="General">
                  <c:v>0</c:v>
                </c:pt>
                <c:pt idx="458" formatCode="General">
                  <c:v>0</c:v>
                </c:pt>
                <c:pt idx="459" formatCode="General">
                  <c:v>0</c:v>
                </c:pt>
                <c:pt idx="460" formatCode="General">
                  <c:v>0</c:v>
                </c:pt>
                <c:pt idx="461" formatCode="General">
                  <c:v>0</c:v>
                </c:pt>
                <c:pt idx="462" formatCode="General">
                  <c:v>0</c:v>
                </c:pt>
                <c:pt idx="463" formatCode="General">
                  <c:v>0</c:v>
                </c:pt>
                <c:pt idx="464" formatCode="General">
                  <c:v>0</c:v>
                </c:pt>
                <c:pt idx="465" formatCode="General">
                  <c:v>0</c:v>
                </c:pt>
                <c:pt idx="466" formatCode="General">
                  <c:v>0</c:v>
                </c:pt>
                <c:pt idx="467" formatCode="General">
                  <c:v>0</c:v>
                </c:pt>
                <c:pt idx="468" formatCode="General">
                  <c:v>0</c:v>
                </c:pt>
                <c:pt idx="469" formatCode="General">
                  <c:v>0</c:v>
                </c:pt>
                <c:pt idx="470" formatCode="General">
                  <c:v>0</c:v>
                </c:pt>
                <c:pt idx="471" formatCode="General">
                  <c:v>0</c:v>
                </c:pt>
                <c:pt idx="472" formatCode="General">
                  <c:v>0</c:v>
                </c:pt>
                <c:pt idx="473" formatCode="General">
                  <c:v>0</c:v>
                </c:pt>
                <c:pt idx="474" formatCode="General">
                  <c:v>0</c:v>
                </c:pt>
                <c:pt idx="475" formatCode="General">
                  <c:v>0</c:v>
                </c:pt>
                <c:pt idx="476" formatCode="General">
                  <c:v>0</c:v>
                </c:pt>
                <c:pt idx="477" formatCode="General">
                  <c:v>0</c:v>
                </c:pt>
                <c:pt idx="478" formatCode="General">
                  <c:v>0</c:v>
                </c:pt>
                <c:pt idx="479" formatCode="General">
                  <c:v>0</c:v>
                </c:pt>
                <c:pt idx="480" formatCode="General">
                  <c:v>0</c:v>
                </c:pt>
              </c:numCache>
            </c:numRef>
          </c:val>
        </c:ser>
        <c:ser>
          <c:idx val="1"/>
          <c:order val="1"/>
          <c:tx>
            <c:strRef>
              <c:f>女発放廃!$AH$3</c:f>
              <c:strCache>
                <c:ptCount val="1"/>
                <c:pt idx="0">
                  <c:v>２号機</c:v>
                </c:pt>
              </c:strCache>
            </c:strRef>
          </c:tx>
          <c:spPr>
            <a:pattFill prst="pct30">
              <a:fgClr>
                <a:srgbClr xmlns:mc="http://schemas.openxmlformats.org/markup-compatibility/2006" xmlns:a14="http://schemas.microsoft.com/office/drawing/2010/main" val="CC99FF" mc:Ignorable="a14" a14:legacySpreadsheetColorIndex="46"/>
              </a:fgClr>
              <a:bgClr>
                <a:srgbClr xmlns:mc="http://schemas.openxmlformats.org/markup-compatibility/2006" xmlns:a14="http://schemas.microsoft.com/office/drawing/2010/main" val="FFFFFF" mc:Ignorable="a14" a14:legacySpreadsheetColorIndex="9"/>
              </a:bgClr>
            </a:pattFill>
            <a:ln w="12700">
              <a:solidFill>
                <a:srgbClr val="969696"/>
              </a:solidFill>
              <a:prstDash val="solid"/>
            </a:ln>
          </c:spPr>
          <c:cat>
            <c:numRef>
              <c:f>女発放廃!$AF$4:$AF$484</c:f>
              <c:numCache>
                <c:formatCode>[$-411]ge\.m</c:formatCode>
                <c:ptCount val="481"/>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34060</c:v>
                </c:pt>
                <c:pt idx="145">
                  <c:v>34090</c:v>
                </c:pt>
                <c:pt idx="146">
                  <c:v>34121</c:v>
                </c:pt>
                <c:pt idx="147">
                  <c:v>34151</c:v>
                </c:pt>
                <c:pt idx="148">
                  <c:v>34182</c:v>
                </c:pt>
                <c:pt idx="149">
                  <c:v>34213</c:v>
                </c:pt>
                <c:pt idx="150">
                  <c:v>34243</c:v>
                </c:pt>
                <c:pt idx="151">
                  <c:v>34274</c:v>
                </c:pt>
                <c:pt idx="152">
                  <c:v>34304</c:v>
                </c:pt>
                <c:pt idx="153">
                  <c:v>34335</c:v>
                </c:pt>
                <c:pt idx="154">
                  <c:v>34366</c:v>
                </c:pt>
                <c:pt idx="155">
                  <c:v>34394</c:v>
                </c:pt>
                <c:pt idx="156">
                  <c:v>34425</c:v>
                </c:pt>
                <c:pt idx="157">
                  <c:v>34455</c:v>
                </c:pt>
                <c:pt idx="158">
                  <c:v>34486</c:v>
                </c:pt>
                <c:pt idx="159">
                  <c:v>34516</c:v>
                </c:pt>
                <c:pt idx="160">
                  <c:v>34547</c:v>
                </c:pt>
                <c:pt idx="161">
                  <c:v>34578</c:v>
                </c:pt>
                <c:pt idx="162">
                  <c:v>34608</c:v>
                </c:pt>
                <c:pt idx="163">
                  <c:v>34639</c:v>
                </c:pt>
                <c:pt idx="164">
                  <c:v>34669</c:v>
                </c:pt>
                <c:pt idx="165">
                  <c:v>34700</c:v>
                </c:pt>
                <c:pt idx="166">
                  <c:v>34731</c:v>
                </c:pt>
                <c:pt idx="167">
                  <c:v>34759</c:v>
                </c:pt>
                <c:pt idx="168">
                  <c:v>34790</c:v>
                </c:pt>
                <c:pt idx="169">
                  <c:v>34820</c:v>
                </c:pt>
                <c:pt idx="170">
                  <c:v>34851</c:v>
                </c:pt>
                <c:pt idx="171">
                  <c:v>34881</c:v>
                </c:pt>
                <c:pt idx="172">
                  <c:v>34912</c:v>
                </c:pt>
                <c:pt idx="173">
                  <c:v>34943</c:v>
                </c:pt>
                <c:pt idx="174">
                  <c:v>34973</c:v>
                </c:pt>
                <c:pt idx="175">
                  <c:v>35004</c:v>
                </c:pt>
                <c:pt idx="176">
                  <c:v>35034</c:v>
                </c:pt>
                <c:pt idx="177">
                  <c:v>35065</c:v>
                </c:pt>
                <c:pt idx="178">
                  <c:v>35096</c:v>
                </c:pt>
                <c:pt idx="179">
                  <c:v>35125</c:v>
                </c:pt>
                <c:pt idx="180">
                  <c:v>35156</c:v>
                </c:pt>
                <c:pt idx="181">
                  <c:v>35186</c:v>
                </c:pt>
                <c:pt idx="182">
                  <c:v>35217</c:v>
                </c:pt>
                <c:pt idx="183">
                  <c:v>35247</c:v>
                </c:pt>
                <c:pt idx="184">
                  <c:v>35278</c:v>
                </c:pt>
                <c:pt idx="185">
                  <c:v>35309</c:v>
                </c:pt>
                <c:pt idx="186">
                  <c:v>35339</c:v>
                </c:pt>
                <c:pt idx="187">
                  <c:v>35370</c:v>
                </c:pt>
                <c:pt idx="188">
                  <c:v>35400</c:v>
                </c:pt>
                <c:pt idx="189">
                  <c:v>35431</c:v>
                </c:pt>
                <c:pt idx="190">
                  <c:v>35462</c:v>
                </c:pt>
                <c:pt idx="191">
                  <c:v>35490</c:v>
                </c:pt>
                <c:pt idx="192">
                  <c:v>35521</c:v>
                </c:pt>
                <c:pt idx="193">
                  <c:v>35551</c:v>
                </c:pt>
                <c:pt idx="194">
                  <c:v>35582</c:v>
                </c:pt>
                <c:pt idx="195">
                  <c:v>35612</c:v>
                </c:pt>
                <c:pt idx="196">
                  <c:v>35643</c:v>
                </c:pt>
                <c:pt idx="197">
                  <c:v>35674</c:v>
                </c:pt>
                <c:pt idx="198">
                  <c:v>35704</c:v>
                </c:pt>
                <c:pt idx="199">
                  <c:v>35735</c:v>
                </c:pt>
                <c:pt idx="200">
                  <c:v>35765</c:v>
                </c:pt>
                <c:pt idx="201">
                  <c:v>35796</c:v>
                </c:pt>
                <c:pt idx="202">
                  <c:v>35827</c:v>
                </c:pt>
                <c:pt idx="203">
                  <c:v>35855</c:v>
                </c:pt>
                <c:pt idx="204">
                  <c:v>35886</c:v>
                </c:pt>
                <c:pt idx="205">
                  <c:v>35916</c:v>
                </c:pt>
                <c:pt idx="206">
                  <c:v>35947</c:v>
                </c:pt>
                <c:pt idx="207">
                  <c:v>35977</c:v>
                </c:pt>
                <c:pt idx="208">
                  <c:v>36008</c:v>
                </c:pt>
                <c:pt idx="209">
                  <c:v>36039</c:v>
                </c:pt>
                <c:pt idx="210">
                  <c:v>36069</c:v>
                </c:pt>
                <c:pt idx="211">
                  <c:v>36100</c:v>
                </c:pt>
                <c:pt idx="212">
                  <c:v>36130</c:v>
                </c:pt>
                <c:pt idx="213">
                  <c:v>36161</c:v>
                </c:pt>
                <c:pt idx="214">
                  <c:v>36192</c:v>
                </c:pt>
                <c:pt idx="215">
                  <c:v>36220</c:v>
                </c:pt>
                <c:pt idx="216">
                  <c:v>36251</c:v>
                </c:pt>
                <c:pt idx="217">
                  <c:v>36281</c:v>
                </c:pt>
                <c:pt idx="218">
                  <c:v>36312</c:v>
                </c:pt>
                <c:pt idx="219">
                  <c:v>36342</c:v>
                </c:pt>
                <c:pt idx="220">
                  <c:v>36373</c:v>
                </c:pt>
                <c:pt idx="221">
                  <c:v>36404</c:v>
                </c:pt>
                <c:pt idx="222">
                  <c:v>36434</c:v>
                </c:pt>
                <c:pt idx="223">
                  <c:v>36465</c:v>
                </c:pt>
                <c:pt idx="224">
                  <c:v>36495</c:v>
                </c:pt>
                <c:pt idx="225">
                  <c:v>36526</c:v>
                </c:pt>
                <c:pt idx="226">
                  <c:v>36557</c:v>
                </c:pt>
                <c:pt idx="227">
                  <c:v>36586</c:v>
                </c:pt>
                <c:pt idx="228">
                  <c:v>36617</c:v>
                </c:pt>
                <c:pt idx="229">
                  <c:v>36647</c:v>
                </c:pt>
                <c:pt idx="230">
                  <c:v>36678</c:v>
                </c:pt>
                <c:pt idx="231">
                  <c:v>36708</c:v>
                </c:pt>
                <c:pt idx="232">
                  <c:v>36739</c:v>
                </c:pt>
                <c:pt idx="233">
                  <c:v>36770</c:v>
                </c:pt>
                <c:pt idx="234">
                  <c:v>36800</c:v>
                </c:pt>
                <c:pt idx="235">
                  <c:v>36831</c:v>
                </c:pt>
                <c:pt idx="236">
                  <c:v>36861</c:v>
                </c:pt>
                <c:pt idx="237">
                  <c:v>36892</c:v>
                </c:pt>
                <c:pt idx="238">
                  <c:v>36923</c:v>
                </c:pt>
                <c:pt idx="239">
                  <c:v>36951</c:v>
                </c:pt>
                <c:pt idx="240">
                  <c:v>36982</c:v>
                </c:pt>
                <c:pt idx="241">
                  <c:v>37012</c:v>
                </c:pt>
                <c:pt idx="242">
                  <c:v>37043</c:v>
                </c:pt>
                <c:pt idx="243">
                  <c:v>37073</c:v>
                </c:pt>
                <c:pt idx="244">
                  <c:v>37104</c:v>
                </c:pt>
                <c:pt idx="245">
                  <c:v>37135</c:v>
                </c:pt>
                <c:pt idx="246">
                  <c:v>37165</c:v>
                </c:pt>
                <c:pt idx="247">
                  <c:v>37196</c:v>
                </c:pt>
                <c:pt idx="248">
                  <c:v>37226</c:v>
                </c:pt>
                <c:pt idx="249">
                  <c:v>37257</c:v>
                </c:pt>
                <c:pt idx="250">
                  <c:v>37288</c:v>
                </c:pt>
                <c:pt idx="251">
                  <c:v>37316</c:v>
                </c:pt>
                <c:pt idx="252">
                  <c:v>37347</c:v>
                </c:pt>
                <c:pt idx="253">
                  <c:v>37377</c:v>
                </c:pt>
                <c:pt idx="254">
                  <c:v>37408</c:v>
                </c:pt>
                <c:pt idx="255">
                  <c:v>37438</c:v>
                </c:pt>
                <c:pt idx="256">
                  <c:v>37469</c:v>
                </c:pt>
                <c:pt idx="257">
                  <c:v>37500</c:v>
                </c:pt>
                <c:pt idx="258">
                  <c:v>37530</c:v>
                </c:pt>
                <c:pt idx="259">
                  <c:v>37561</c:v>
                </c:pt>
                <c:pt idx="260">
                  <c:v>37591</c:v>
                </c:pt>
                <c:pt idx="261">
                  <c:v>37622</c:v>
                </c:pt>
                <c:pt idx="262">
                  <c:v>37653</c:v>
                </c:pt>
                <c:pt idx="263">
                  <c:v>37681</c:v>
                </c:pt>
                <c:pt idx="264">
                  <c:v>37712</c:v>
                </c:pt>
                <c:pt idx="265">
                  <c:v>37742</c:v>
                </c:pt>
                <c:pt idx="266">
                  <c:v>37773</c:v>
                </c:pt>
                <c:pt idx="267">
                  <c:v>37803</c:v>
                </c:pt>
                <c:pt idx="268">
                  <c:v>37834</c:v>
                </c:pt>
                <c:pt idx="269">
                  <c:v>37865</c:v>
                </c:pt>
                <c:pt idx="270">
                  <c:v>37895</c:v>
                </c:pt>
                <c:pt idx="271">
                  <c:v>37926</c:v>
                </c:pt>
                <c:pt idx="272">
                  <c:v>37956</c:v>
                </c:pt>
                <c:pt idx="273">
                  <c:v>37987</c:v>
                </c:pt>
                <c:pt idx="274">
                  <c:v>38018</c:v>
                </c:pt>
                <c:pt idx="275">
                  <c:v>38047</c:v>
                </c:pt>
                <c:pt idx="276">
                  <c:v>38078</c:v>
                </c:pt>
                <c:pt idx="277">
                  <c:v>38108</c:v>
                </c:pt>
                <c:pt idx="278">
                  <c:v>38139</c:v>
                </c:pt>
                <c:pt idx="279">
                  <c:v>38169</c:v>
                </c:pt>
                <c:pt idx="280">
                  <c:v>38200</c:v>
                </c:pt>
                <c:pt idx="281">
                  <c:v>38231</c:v>
                </c:pt>
                <c:pt idx="282">
                  <c:v>38261</c:v>
                </c:pt>
                <c:pt idx="283">
                  <c:v>38292</c:v>
                </c:pt>
                <c:pt idx="284">
                  <c:v>38322</c:v>
                </c:pt>
                <c:pt idx="285">
                  <c:v>38353</c:v>
                </c:pt>
                <c:pt idx="286">
                  <c:v>38384</c:v>
                </c:pt>
                <c:pt idx="287">
                  <c:v>38412</c:v>
                </c:pt>
                <c:pt idx="288">
                  <c:v>38443</c:v>
                </c:pt>
                <c:pt idx="289">
                  <c:v>38473</c:v>
                </c:pt>
                <c:pt idx="290">
                  <c:v>38504</c:v>
                </c:pt>
                <c:pt idx="291">
                  <c:v>38534</c:v>
                </c:pt>
                <c:pt idx="292">
                  <c:v>38565</c:v>
                </c:pt>
                <c:pt idx="293">
                  <c:v>38596</c:v>
                </c:pt>
                <c:pt idx="294">
                  <c:v>38626</c:v>
                </c:pt>
                <c:pt idx="295">
                  <c:v>38657</c:v>
                </c:pt>
                <c:pt idx="296">
                  <c:v>38687</c:v>
                </c:pt>
                <c:pt idx="297">
                  <c:v>38718</c:v>
                </c:pt>
                <c:pt idx="298">
                  <c:v>38749</c:v>
                </c:pt>
                <c:pt idx="299">
                  <c:v>38777</c:v>
                </c:pt>
                <c:pt idx="300">
                  <c:v>38808</c:v>
                </c:pt>
                <c:pt idx="301">
                  <c:v>38838</c:v>
                </c:pt>
                <c:pt idx="302">
                  <c:v>38869</c:v>
                </c:pt>
                <c:pt idx="303">
                  <c:v>38899</c:v>
                </c:pt>
                <c:pt idx="304">
                  <c:v>38930</c:v>
                </c:pt>
                <c:pt idx="305">
                  <c:v>38961</c:v>
                </c:pt>
                <c:pt idx="306">
                  <c:v>38991</c:v>
                </c:pt>
                <c:pt idx="307">
                  <c:v>39022</c:v>
                </c:pt>
                <c:pt idx="308">
                  <c:v>39052</c:v>
                </c:pt>
                <c:pt idx="309">
                  <c:v>39083</c:v>
                </c:pt>
                <c:pt idx="310">
                  <c:v>39114</c:v>
                </c:pt>
                <c:pt idx="311">
                  <c:v>39142</c:v>
                </c:pt>
                <c:pt idx="312">
                  <c:v>39173</c:v>
                </c:pt>
                <c:pt idx="313">
                  <c:v>39203</c:v>
                </c:pt>
                <c:pt idx="314">
                  <c:v>39234</c:v>
                </c:pt>
                <c:pt idx="315">
                  <c:v>39264</c:v>
                </c:pt>
                <c:pt idx="316">
                  <c:v>39295</c:v>
                </c:pt>
                <c:pt idx="317">
                  <c:v>39326</c:v>
                </c:pt>
                <c:pt idx="318">
                  <c:v>39356</c:v>
                </c:pt>
                <c:pt idx="319">
                  <c:v>39387</c:v>
                </c:pt>
                <c:pt idx="320">
                  <c:v>39417</c:v>
                </c:pt>
                <c:pt idx="321">
                  <c:v>39448</c:v>
                </c:pt>
                <c:pt idx="322">
                  <c:v>39479</c:v>
                </c:pt>
                <c:pt idx="323">
                  <c:v>39508</c:v>
                </c:pt>
                <c:pt idx="324">
                  <c:v>39539</c:v>
                </c:pt>
                <c:pt idx="325">
                  <c:v>39569</c:v>
                </c:pt>
                <c:pt idx="326">
                  <c:v>39600</c:v>
                </c:pt>
                <c:pt idx="327">
                  <c:v>39630</c:v>
                </c:pt>
                <c:pt idx="328">
                  <c:v>39661</c:v>
                </c:pt>
                <c:pt idx="329">
                  <c:v>39692</c:v>
                </c:pt>
                <c:pt idx="330">
                  <c:v>39722</c:v>
                </c:pt>
                <c:pt idx="331">
                  <c:v>39753</c:v>
                </c:pt>
                <c:pt idx="332">
                  <c:v>39783</c:v>
                </c:pt>
                <c:pt idx="333">
                  <c:v>39814</c:v>
                </c:pt>
                <c:pt idx="334">
                  <c:v>39845</c:v>
                </c:pt>
                <c:pt idx="335">
                  <c:v>39873</c:v>
                </c:pt>
                <c:pt idx="336">
                  <c:v>39904</c:v>
                </c:pt>
                <c:pt idx="337">
                  <c:v>39934</c:v>
                </c:pt>
                <c:pt idx="338">
                  <c:v>39965</c:v>
                </c:pt>
                <c:pt idx="339">
                  <c:v>39995</c:v>
                </c:pt>
                <c:pt idx="340">
                  <c:v>40026</c:v>
                </c:pt>
                <c:pt idx="341">
                  <c:v>40057</c:v>
                </c:pt>
                <c:pt idx="342">
                  <c:v>40087</c:v>
                </c:pt>
                <c:pt idx="343">
                  <c:v>40118</c:v>
                </c:pt>
                <c:pt idx="344">
                  <c:v>40148</c:v>
                </c:pt>
                <c:pt idx="345">
                  <c:v>40179</c:v>
                </c:pt>
                <c:pt idx="346">
                  <c:v>40210</c:v>
                </c:pt>
                <c:pt idx="347">
                  <c:v>40238</c:v>
                </c:pt>
                <c:pt idx="348">
                  <c:v>40269</c:v>
                </c:pt>
                <c:pt idx="349">
                  <c:v>40299</c:v>
                </c:pt>
                <c:pt idx="350">
                  <c:v>40330</c:v>
                </c:pt>
                <c:pt idx="351">
                  <c:v>40360</c:v>
                </c:pt>
                <c:pt idx="352">
                  <c:v>40391</c:v>
                </c:pt>
                <c:pt idx="353">
                  <c:v>40422</c:v>
                </c:pt>
                <c:pt idx="354">
                  <c:v>40452</c:v>
                </c:pt>
                <c:pt idx="355">
                  <c:v>40483</c:v>
                </c:pt>
                <c:pt idx="356">
                  <c:v>40513</c:v>
                </c:pt>
                <c:pt idx="357">
                  <c:v>40544</c:v>
                </c:pt>
                <c:pt idx="358">
                  <c:v>40575</c:v>
                </c:pt>
                <c:pt idx="359">
                  <c:v>40603</c:v>
                </c:pt>
                <c:pt idx="360">
                  <c:v>40634</c:v>
                </c:pt>
                <c:pt idx="361">
                  <c:v>40664</c:v>
                </c:pt>
                <c:pt idx="362">
                  <c:v>40695</c:v>
                </c:pt>
                <c:pt idx="363">
                  <c:v>40725</c:v>
                </c:pt>
                <c:pt idx="364">
                  <c:v>40756</c:v>
                </c:pt>
                <c:pt idx="365">
                  <c:v>40787</c:v>
                </c:pt>
                <c:pt idx="366">
                  <c:v>40817</c:v>
                </c:pt>
                <c:pt idx="367">
                  <c:v>40848</c:v>
                </c:pt>
                <c:pt idx="368">
                  <c:v>40878</c:v>
                </c:pt>
                <c:pt idx="369">
                  <c:v>40909</c:v>
                </c:pt>
                <c:pt idx="370">
                  <c:v>40940</c:v>
                </c:pt>
                <c:pt idx="371">
                  <c:v>40969</c:v>
                </c:pt>
                <c:pt idx="372">
                  <c:v>41000</c:v>
                </c:pt>
                <c:pt idx="373">
                  <c:v>41030</c:v>
                </c:pt>
                <c:pt idx="374">
                  <c:v>41061</c:v>
                </c:pt>
                <c:pt idx="375">
                  <c:v>41091</c:v>
                </c:pt>
                <c:pt idx="376">
                  <c:v>41122</c:v>
                </c:pt>
                <c:pt idx="377">
                  <c:v>41153</c:v>
                </c:pt>
                <c:pt idx="378">
                  <c:v>41183</c:v>
                </c:pt>
                <c:pt idx="379">
                  <c:v>41214</c:v>
                </c:pt>
                <c:pt idx="380">
                  <c:v>41244</c:v>
                </c:pt>
                <c:pt idx="381">
                  <c:v>41275</c:v>
                </c:pt>
                <c:pt idx="382">
                  <c:v>41306</c:v>
                </c:pt>
                <c:pt idx="383">
                  <c:v>41334</c:v>
                </c:pt>
                <c:pt idx="384">
                  <c:v>41365</c:v>
                </c:pt>
                <c:pt idx="385">
                  <c:v>41395</c:v>
                </c:pt>
                <c:pt idx="386">
                  <c:v>41426</c:v>
                </c:pt>
                <c:pt idx="387">
                  <c:v>41456</c:v>
                </c:pt>
                <c:pt idx="388">
                  <c:v>41487</c:v>
                </c:pt>
                <c:pt idx="389">
                  <c:v>41518</c:v>
                </c:pt>
                <c:pt idx="390">
                  <c:v>41548</c:v>
                </c:pt>
                <c:pt idx="391">
                  <c:v>41579</c:v>
                </c:pt>
                <c:pt idx="392">
                  <c:v>41609</c:v>
                </c:pt>
                <c:pt idx="393">
                  <c:v>41640</c:v>
                </c:pt>
                <c:pt idx="394">
                  <c:v>41671</c:v>
                </c:pt>
                <c:pt idx="395">
                  <c:v>41699</c:v>
                </c:pt>
                <c:pt idx="396">
                  <c:v>41730</c:v>
                </c:pt>
                <c:pt idx="397">
                  <c:v>41760</c:v>
                </c:pt>
                <c:pt idx="398">
                  <c:v>41791</c:v>
                </c:pt>
                <c:pt idx="399">
                  <c:v>41821</c:v>
                </c:pt>
                <c:pt idx="400">
                  <c:v>41852</c:v>
                </c:pt>
                <c:pt idx="401">
                  <c:v>41883</c:v>
                </c:pt>
                <c:pt idx="402">
                  <c:v>41913</c:v>
                </c:pt>
                <c:pt idx="403">
                  <c:v>41944</c:v>
                </c:pt>
                <c:pt idx="404">
                  <c:v>41974</c:v>
                </c:pt>
                <c:pt idx="405">
                  <c:v>42005</c:v>
                </c:pt>
                <c:pt idx="406">
                  <c:v>42036</c:v>
                </c:pt>
                <c:pt idx="407">
                  <c:v>42064</c:v>
                </c:pt>
                <c:pt idx="408">
                  <c:v>42095</c:v>
                </c:pt>
                <c:pt idx="409">
                  <c:v>42125</c:v>
                </c:pt>
                <c:pt idx="410">
                  <c:v>42156</c:v>
                </c:pt>
                <c:pt idx="411">
                  <c:v>42186</c:v>
                </c:pt>
                <c:pt idx="412">
                  <c:v>42217</c:v>
                </c:pt>
                <c:pt idx="413">
                  <c:v>42248</c:v>
                </c:pt>
                <c:pt idx="414">
                  <c:v>42278</c:v>
                </c:pt>
                <c:pt idx="415">
                  <c:v>42309</c:v>
                </c:pt>
                <c:pt idx="416">
                  <c:v>42339</c:v>
                </c:pt>
                <c:pt idx="417">
                  <c:v>42370</c:v>
                </c:pt>
                <c:pt idx="418">
                  <c:v>42401</c:v>
                </c:pt>
                <c:pt idx="419">
                  <c:v>42430</c:v>
                </c:pt>
                <c:pt idx="420">
                  <c:v>42461</c:v>
                </c:pt>
                <c:pt idx="421">
                  <c:v>42491</c:v>
                </c:pt>
                <c:pt idx="422">
                  <c:v>42522</c:v>
                </c:pt>
                <c:pt idx="423">
                  <c:v>42552</c:v>
                </c:pt>
                <c:pt idx="424">
                  <c:v>42583</c:v>
                </c:pt>
                <c:pt idx="425">
                  <c:v>42614</c:v>
                </c:pt>
                <c:pt idx="426">
                  <c:v>42644</c:v>
                </c:pt>
                <c:pt idx="427">
                  <c:v>42675</c:v>
                </c:pt>
                <c:pt idx="428">
                  <c:v>42705</c:v>
                </c:pt>
                <c:pt idx="429">
                  <c:v>42736</c:v>
                </c:pt>
                <c:pt idx="430">
                  <c:v>42767</c:v>
                </c:pt>
                <c:pt idx="431">
                  <c:v>42795</c:v>
                </c:pt>
                <c:pt idx="432">
                  <c:v>42826</c:v>
                </c:pt>
                <c:pt idx="433">
                  <c:v>42856</c:v>
                </c:pt>
                <c:pt idx="434">
                  <c:v>42887</c:v>
                </c:pt>
                <c:pt idx="435">
                  <c:v>42917</c:v>
                </c:pt>
                <c:pt idx="436">
                  <c:v>42948</c:v>
                </c:pt>
                <c:pt idx="437">
                  <c:v>42979</c:v>
                </c:pt>
                <c:pt idx="438">
                  <c:v>43009</c:v>
                </c:pt>
                <c:pt idx="439">
                  <c:v>43040</c:v>
                </c:pt>
                <c:pt idx="440">
                  <c:v>43070</c:v>
                </c:pt>
                <c:pt idx="441">
                  <c:v>43101</c:v>
                </c:pt>
                <c:pt idx="442">
                  <c:v>43132</c:v>
                </c:pt>
                <c:pt idx="443">
                  <c:v>43160</c:v>
                </c:pt>
                <c:pt idx="444">
                  <c:v>43191</c:v>
                </c:pt>
                <c:pt idx="445">
                  <c:v>43221</c:v>
                </c:pt>
                <c:pt idx="446">
                  <c:v>43252</c:v>
                </c:pt>
                <c:pt idx="447">
                  <c:v>43282</c:v>
                </c:pt>
                <c:pt idx="448">
                  <c:v>43313</c:v>
                </c:pt>
                <c:pt idx="449">
                  <c:v>43344</c:v>
                </c:pt>
                <c:pt idx="450">
                  <c:v>43374</c:v>
                </c:pt>
                <c:pt idx="451">
                  <c:v>43405</c:v>
                </c:pt>
                <c:pt idx="452">
                  <c:v>43435</c:v>
                </c:pt>
                <c:pt idx="453">
                  <c:v>43466</c:v>
                </c:pt>
                <c:pt idx="454">
                  <c:v>43497</c:v>
                </c:pt>
                <c:pt idx="455">
                  <c:v>43525</c:v>
                </c:pt>
                <c:pt idx="456">
                  <c:v>43556</c:v>
                </c:pt>
                <c:pt idx="457">
                  <c:v>43586</c:v>
                </c:pt>
                <c:pt idx="458">
                  <c:v>43617</c:v>
                </c:pt>
                <c:pt idx="459">
                  <c:v>43647</c:v>
                </c:pt>
                <c:pt idx="460">
                  <c:v>43678</c:v>
                </c:pt>
                <c:pt idx="461">
                  <c:v>43709</c:v>
                </c:pt>
                <c:pt idx="462">
                  <c:v>43739</c:v>
                </c:pt>
                <c:pt idx="463">
                  <c:v>43770</c:v>
                </c:pt>
                <c:pt idx="464">
                  <c:v>43800</c:v>
                </c:pt>
                <c:pt idx="465">
                  <c:v>43831</c:v>
                </c:pt>
                <c:pt idx="466">
                  <c:v>43862</c:v>
                </c:pt>
                <c:pt idx="467">
                  <c:v>43891</c:v>
                </c:pt>
                <c:pt idx="468">
                  <c:v>43922</c:v>
                </c:pt>
                <c:pt idx="469">
                  <c:v>43952</c:v>
                </c:pt>
                <c:pt idx="470">
                  <c:v>43983</c:v>
                </c:pt>
                <c:pt idx="471">
                  <c:v>44013</c:v>
                </c:pt>
                <c:pt idx="472">
                  <c:v>44044</c:v>
                </c:pt>
                <c:pt idx="473">
                  <c:v>44075</c:v>
                </c:pt>
                <c:pt idx="474">
                  <c:v>44105</c:v>
                </c:pt>
                <c:pt idx="475">
                  <c:v>44136</c:v>
                </c:pt>
                <c:pt idx="476">
                  <c:v>44166</c:v>
                </c:pt>
                <c:pt idx="477">
                  <c:v>44197</c:v>
                </c:pt>
                <c:pt idx="478">
                  <c:v>44228</c:v>
                </c:pt>
                <c:pt idx="479">
                  <c:v>44256</c:v>
                </c:pt>
              </c:numCache>
            </c:numRef>
          </c:cat>
          <c:val>
            <c:numRef>
              <c:f>女発放廃!$AH$4:$AH$484</c:f>
              <c:numCache>
                <c:formatCode>0.0;"△ "0.0</c:formatCode>
                <c:ptCount val="481"/>
                <c:pt idx="156">
                  <c:v>0</c:v>
                </c:pt>
                <c:pt idx="157">
                  <c:v>0</c:v>
                </c:pt>
                <c:pt idx="158">
                  <c:v>0</c:v>
                </c:pt>
                <c:pt idx="159">
                  <c:v>0</c:v>
                </c:pt>
                <c:pt idx="160">
                  <c:v>0</c:v>
                </c:pt>
                <c:pt idx="161">
                  <c:v>0</c:v>
                </c:pt>
                <c:pt idx="162">
                  <c:v>0</c:v>
                </c:pt>
                <c:pt idx="163">
                  <c:v>0</c:v>
                </c:pt>
                <c:pt idx="164">
                  <c:v>18.673999999999999</c:v>
                </c:pt>
                <c:pt idx="165">
                  <c:v>96.146000000000001</c:v>
                </c:pt>
                <c:pt idx="166">
                  <c:v>154.179</c:v>
                </c:pt>
                <c:pt idx="167">
                  <c:v>225.83799999999999</c:v>
                </c:pt>
                <c:pt idx="168">
                  <c:v>442.34699999999998</c:v>
                </c:pt>
                <c:pt idx="169">
                  <c:v>70.885999999999996</c:v>
                </c:pt>
                <c:pt idx="170">
                  <c:v>315.92700000000002</c:v>
                </c:pt>
                <c:pt idx="171">
                  <c:v>514.44500000000005</c:v>
                </c:pt>
                <c:pt idx="172">
                  <c:v>613.79899999999998</c:v>
                </c:pt>
                <c:pt idx="173">
                  <c:v>594</c:v>
                </c:pt>
                <c:pt idx="174">
                  <c:v>613.79899999999998</c:v>
                </c:pt>
                <c:pt idx="175">
                  <c:v>593.99900000000002</c:v>
                </c:pt>
                <c:pt idx="176">
                  <c:v>473.25099999999998</c:v>
                </c:pt>
                <c:pt idx="177">
                  <c:v>464.98500000000001</c:v>
                </c:pt>
                <c:pt idx="178">
                  <c:v>574.19899999999996</c:v>
                </c:pt>
                <c:pt idx="179">
                  <c:v>613.79999999999995</c:v>
                </c:pt>
                <c:pt idx="180">
                  <c:v>594</c:v>
                </c:pt>
                <c:pt idx="181">
                  <c:v>322.471</c:v>
                </c:pt>
                <c:pt idx="182">
                  <c:v>591.13699999999994</c:v>
                </c:pt>
                <c:pt idx="183">
                  <c:v>613.51499999999999</c:v>
                </c:pt>
                <c:pt idx="184">
                  <c:v>527.88800000000003</c:v>
                </c:pt>
                <c:pt idx="185">
                  <c:v>0</c:v>
                </c:pt>
                <c:pt idx="186">
                  <c:v>0</c:v>
                </c:pt>
                <c:pt idx="187">
                  <c:v>480.52600000000001</c:v>
                </c:pt>
                <c:pt idx="188">
                  <c:v>613.79899999999998</c:v>
                </c:pt>
                <c:pt idx="189">
                  <c:v>613.79899999999998</c:v>
                </c:pt>
                <c:pt idx="190">
                  <c:v>554.4</c:v>
                </c:pt>
                <c:pt idx="191">
                  <c:v>613.79999999999995</c:v>
                </c:pt>
                <c:pt idx="192">
                  <c:v>594</c:v>
                </c:pt>
                <c:pt idx="193">
                  <c:v>613.79899999999998</c:v>
                </c:pt>
                <c:pt idx="194">
                  <c:v>593.99900000000002</c:v>
                </c:pt>
                <c:pt idx="195">
                  <c:v>613.79899999999998</c:v>
                </c:pt>
                <c:pt idx="196">
                  <c:v>613.79999999999995</c:v>
                </c:pt>
                <c:pt idx="197">
                  <c:v>592.08900000000006</c:v>
                </c:pt>
                <c:pt idx="198">
                  <c:v>612.49</c:v>
                </c:pt>
                <c:pt idx="199">
                  <c:v>591.84699999999998</c:v>
                </c:pt>
                <c:pt idx="200">
                  <c:v>612.673</c:v>
                </c:pt>
                <c:pt idx="201">
                  <c:v>194.27500000000001</c:v>
                </c:pt>
                <c:pt idx="202">
                  <c:v>0</c:v>
                </c:pt>
                <c:pt idx="203">
                  <c:v>335.61099999999999</c:v>
                </c:pt>
                <c:pt idx="204">
                  <c:v>594</c:v>
                </c:pt>
                <c:pt idx="205">
                  <c:v>531.91600000000005</c:v>
                </c:pt>
                <c:pt idx="206">
                  <c:v>594</c:v>
                </c:pt>
                <c:pt idx="207">
                  <c:v>613.79899999999998</c:v>
                </c:pt>
                <c:pt idx="208">
                  <c:v>613.79899999999998</c:v>
                </c:pt>
                <c:pt idx="209">
                  <c:v>594</c:v>
                </c:pt>
                <c:pt idx="210">
                  <c:v>611.24300000000005</c:v>
                </c:pt>
                <c:pt idx="211">
                  <c:v>594</c:v>
                </c:pt>
                <c:pt idx="212">
                  <c:v>613.79999999999995</c:v>
                </c:pt>
                <c:pt idx="213">
                  <c:v>613.79999999999995</c:v>
                </c:pt>
                <c:pt idx="214">
                  <c:v>554.39800000000002</c:v>
                </c:pt>
                <c:pt idx="215">
                  <c:v>611.697</c:v>
                </c:pt>
                <c:pt idx="216">
                  <c:v>592.95899999999995</c:v>
                </c:pt>
                <c:pt idx="217">
                  <c:v>115.57299999999999</c:v>
                </c:pt>
                <c:pt idx="218">
                  <c:v>0</c:v>
                </c:pt>
                <c:pt idx="219">
                  <c:v>570.98900000000003</c:v>
                </c:pt>
                <c:pt idx="220">
                  <c:v>613.79999999999995</c:v>
                </c:pt>
                <c:pt idx="221">
                  <c:v>594</c:v>
                </c:pt>
                <c:pt idx="222">
                  <c:v>613.79999999999995</c:v>
                </c:pt>
                <c:pt idx="223">
                  <c:v>594</c:v>
                </c:pt>
                <c:pt idx="224">
                  <c:v>613.46299999999997</c:v>
                </c:pt>
                <c:pt idx="225">
                  <c:v>613.79999999999995</c:v>
                </c:pt>
                <c:pt idx="226">
                  <c:v>574.20000000000005</c:v>
                </c:pt>
                <c:pt idx="227">
                  <c:v>613.79999999999995</c:v>
                </c:pt>
                <c:pt idx="228">
                  <c:v>593.99900000000002</c:v>
                </c:pt>
                <c:pt idx="229">
                  <c:v>464.43799999999999</c:v>
                </c:pt>
                <c:pt idx="230">
                  <c:v>593.62</c:v>
                </c:pt>
                <c:pt idx="231">
                  <c:v>613.45299999999997</c:v>
                </c:pt>
                <c:pt idx="232">
                  <c:v>613.15300000000002</c:v>
                </c:pt>
                <c:pt idx="233">
                  <c:v>174.976</c:v>
                </c:pt>
                <c:pt idx="234">
                  <c:v>44.707999999999998</c:v>
                </c:pt>
                <c:pt idx="235">
                  <c:v>592.82799999999997</c:v>
                </c:pt>
                <c:pt idx="236">
                  <c:v>613.79999999999995</c:v>
                </c:pt>
                <c:pt idx="237">
                  <c:v>613.79999999999995</c:v>
                </c:pt>
                <c:pt idx="238">
                  <c:v>554.4</c:v>
                </c:pt>
                <c:pt idx="239">
                  <c:v>613.79999999999995</c:v>
                </c:pt>
                <c:pt idx="240">
                  <c:v>594</c:v>
                </c:pt>
                <c:pt idx="241">
                  <c:v>613.79999999999995</c:v>
                </c:pt>
                <c:pt idx="242">
                  <c:v>594</c:v>
                </c:pt>
                <c:pt idx="243">
                  <c:v>613.79999999999995</c:v>
                </c:pt>
                <c:pt idx="244">
                  <c:v>613.79999999999995</c:v>
                </c:pt>
                <c:pt idx="245">
                  <c:v>494.74700000000001</c:v>
                </c:pt>
                <c:pt idx="246">
                  <c:v>506.536</c:v>
                </c:pt>
                <c:pt idx="247">
                  <c:v>593.81100000000004</c:v>
                </c:pt>
                <c:pt idx="248">
                  <c:v>393.041</c:v>
                </c:pt>
                <c:pt idx="249">
                  <c:v>0</c:v>
                </c:pt>
                <c:pt idx="250">
                  <c:v>0</c:v>
                </c:pt>
                <c:pt idx="251">
                  <c:v>0</c:v>
                </c:pt>
                <c:pt idx="252">
                  <c:v>559.69000000000005</c:v>
                </c:pt>
                <c:pt idx="253">
                  <c:v>613.79999999999995</c:v>
                </c:pt>
                <c:pt idx="254">
                  <c:v>426.21899999999999</c:v>
                </c:pt>
                <c:pt idx="255">
                  <c:v>613.79999999999995</c:v>
                </c:pt>
                <c:pt idx="256">
                  <c:v>613.79999999999995</c:v>
                </c:pt>
                <c:pt idx="257">
                  <c:v>594</c:v>
                </c:pt>
                <c:pt idx="258">
                  <c:v>613.79999999999995</c:v>
                </c:pt>
                <c:pt idx="259">
                  <c:v>594</c:v>
                </c:pt>
                <c:pt idx="260">
                  <c:v>613.79999999999995</c:v>
                </c:pt>
                <c:pt idx="261">
                  <c:v>613.79999999999995</c:v>
                </c:pt>
                <c:pt idx="262">
                  <c:v>554.4</c:v>
                </c:pt>
                <c:pt idx="263">
                  <c:v>613.79899999999998</c:v>
                </c:pt>
                <c:pt idx="264">
                  <c:v>593.67399999999998</c:v>
                </c:pt>
                <c:pt idx="265">
                  <c:v>405.99700000000001</c:v>
                </c:pt>
                <c:pt idx="266">
                  <c:v>0</c:v>
                </c:pt>
                <c:pt idx="267">
                  <c:v>0</c:v>
                </c:pt>
                <c:pt idx="268">
                  <c:v>0</c:v>
                </c:pt>
                <c:pt idx="269">
                  <c:v>0</c:v>
                </c:pt>
                <c:pt idx="270">
                  <c:v>0</c:v>
                </c:pt>
                <c:pt idx="271">
                  <c:v>13.278</c:v>
                </c:pt>
                <c:pt idx="272">
                  <c:v>615.74800000000005</c:v>
                </c:pt>
                <c:pt idx="273">
                  <c:v>622.57399999999996</c:v>
                </c:pt>
                <c:pt idx="274">
                  <c:v>582.35199999999998</c:v>
                </c:pt>
                <c:pt idx="275">
                  <c:v>622.29200000000003</c:v>
                </c:pt>
                <c:pt idx="276">
                  <c:v>602.303</c:v>
                </c:pt>
                <c:pt idx="277">
                  <c:v>622.01400000000001</c:v>
                </c:pt>
                <c:pt idx="278">
                  <c:v>601.63400000000001</c:v>
                </c:pt>
                <c:pt idx="279">
                  <c:v>620.94200000000001</c:v>
                </c:pt>
                <c:pt idx="280">
                  <c:v>619.673</c:v>
                </c:pt>
                <c:pt idx="281">
                  <c:v>599.601</c:v>
                </c:pt>
                <c:pt idx="282">
                  <c:v>620.20299999999997</c:v>
                </c:pt>
                <c:pt idx="283">
                  <c:v>600.47699999999998</c:v>
                </c:pt>
                <c:pt idx="284">
                  <c:v>621.09699999999998</c:v>
                </c:pt>
                <c:pt idx="285">
                  <c:v>416.24</c:v>
                </c:pt>
                <c:pt idx="286">
                  <c:v>0</c:v>
                </c:pt>
                <c:pt idx="287">
                  <c:v>0</c:v>
                </c:pt>
                <c:pt idx="288">
                  <c:v>0</c:v>
                </c:pt>
                <c:pt idx="289">
                  <c:v>12.798</c:v>
                </c:pt>
                <c:pt idx="290">
                  <c:v>597.78200000000004</c:v>
                </c:pt>
                <c:pt idx="291">
                  <c:v>621.60599999999999</c:v>
                </c:pt>
                <c:pt idx="292">
                  <c:v>310.29500000000002</c:v>
                </c:pt>
                <c:pt idx="293">
                  <c:v>0</c:v>
                </c:pt>
                <c:pt idx="294">
                  <c:v>0</c:v>
                </c:pt>
                <c:pt idx="295">
                  <c:v>0</c:v>
                </c:pt>
                <c:pt idx="296">
                  <c:v>0</c:v>
                </c:pt>
                <c:pt idx="297">
                  <c:v>0</c:v>
                </c:pt>
                <c:pt idx="298">
                  <c:v>0</c:v>
                </c:pt>
                <c:pt idx="299">
                  <c:v>0</c:v>
                </c:pt>
                <c:pt idx="300">
                  <c:v>601.93899999999996</c:v>
                </c:pt>
                <c:pt idx="301">
                  <c:v>197.249</c:v>
                </c:pt>
                <c:pt idx="302">
                  <c:v>0</c:v>
                </c:pt>
                <c:pt idx="303">
                  <c:v>0</c:v>
                </c:pt>
                <c:pt idx="304">
                  <c:v>0</c:v>
                </c:pt>
                <c:pt idx="305">
                  <c:v>0</c:v>
                </c:pt>
                <c:pt idx="306">
                  <c:v>0</c:v>
                </c:pt>
                <c:pt idx="307">
                  <c:v>0</c:v>
                </c:pt>
                <c:pt idx="308">
                  <c:v>351.76400000000001</c:v>
                </c:pt>
                <c:pt idx="309">
                  <c:v>351.29399999999998</c:v>
                </c:pt>
                <c:pt idx="310">
                  <c:v>561.86699999999996</c:v>
                </c:pt>
                <c:pt idx="311">
                  <c:v>621.80600000000004</c:v>
                </c:pt>
                <c:pt idx="312">
                  <c:v>602.10299999999995</c:v>
                </c:pt>
                <c:pt idx="313">
                  <c:v>621.93799999999999</c:v>
                </c:pt>
                <c:pt idx="314">
                  <c:v>601.02200000000005</c:v>
                </c:pt>
                <c:pt idx="315">
                  <c:v>620.02200000000005</c:v>
                </c:pt>
                <c:pt idx="316">
                  <c:v>619.803</c:v>
                </c:pt>
                <c:pt idx="317">
                  <c:v>599.36199999999997</c:v>
                </c:pt>
                <c:pt idx="318">
                  <c:v>199.52199999999999</c:v>
                </c:pt>
                <c:pt idx="319">
                  <c:v>0</c:v>
                </c:pt>
                <c:pt idx="320">
                  <c:v>0</c:v>
                </c:pt>
                <c:pt idx="321">
                  <c:v>20.898</c:v>
                </c:pt>
                <c:pt idx="322">
                  <c:v>576.48</c:v>
                </c:pt>
                <c:pt idx="323">
                  <c:v>621.78700000000003</c:v>
                </c:pt>
                <c:pt idx="324">
                  <c:v>601.69500000000005</c:v>
                </c:pt>
                <c:pt idx="325">
                  <c:v>621.68499999999995</c:v>
                </c:pt>
                <c:pt idx="326">
                  <c:v>601.37300000000005</c:v>
                </c:pt>
                <c:pt idx="327">
                  <c:v>620.68499999999995</c:v>
                </c:pt>
                <c:pt idx="328">
                  <c:v>619.51900000000001</c:v>
                </c:pt>
                <c:pt idx="329">
                  <c:v>599.50300000000004</c:v>
                </c:pt>
                <c:pt idx="330">
                  <c:v>620.04100000000005</c:v>
                </c:pt>
                <c:pt idx="331">
                  <c:v>600.54200000000003</c:v>
                </c:pt>
                <c:pt idx="332">
                  <c:v>620.86500000000001</c:v>
                </c:pt>
                <c:pt idx="333">
                  <c:v>620.84100000000001</c:v>
                </c:pt>
                <c:pt idx="334">
                  <c:v>560.98699999999997</c:v>
                </c:pt>
                <c:pt idx="335">
                  <c:v>492.97800000000001</c:v>
                </c:pt>
                <c:pt idx="336">
                  <c:v>0</c:v>
                </c:pt>
                <c:pt idx="337">
                  <c:v>0</c:v>
                </c:pt>
                <c:pt idx="338">
                  <c:v>0</c:v>
                </c:pt>
                <c:pt idx="339">
                  <c:v>0</c:v>
                </c:pt>
                <c:pt idx="340">
                  <c:v>0</c:v>
                </c:pt>
                <c:pt idx="341">
                  <c:v>60.698</c:v>
                </c:pt>
                <c:pt idx="342">
                  <c:v>621.43200000000002</c:v>
                </c:pt>
                <c:pt idx="343">
                  <c:v>601.64599999999996</c:v>
                </c:pt>
                <c:pt idx="344">
                  <c:v>622.08500000000004</c:v>
                </c:pt>
                <c:pt idx="345">
                  <c:v>622.32899999999995</c:v>
                </c:pt>
                <c:pt idx="346">
                  <c:v>562.15200000000004</c:v>
                </c:pt>
                <c:pt idx="347">
                  <c:v>622.26499999999999</c:v>
                </c:pt>
                <c:pt idx="348">
                  <c:v>602.05999999999995</c:v>
                </c:pt>
                <c:pt idx="349">
                  <c:v>621.91</c:v>
                </c:pt>
                <c:pt idx="350">
                  <c:v>601.16300000000001</c:v>
                </c:pt>
                <c:pt idx="351">
                  <c:v>620.79399999999998</c:v>
                </c:pt>
                <c:pt idx="352">
                  <c:v>619.16700000000003</c:v>
                </c:pt>
                <c:pt idx="353">
                  <c:v>598.48800000000006</c:v>
                </c:pt>
                <c:pt idx="354">
                  <c:v>606.80600000000004</c:v>
                </c:pt>
                <c:pt idx="355">
                  <c:v>89.171000000000006</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formatCode="General">
                  <c:v>0</c:v>
                </c:pt>
                <c:pt idx="374" formatCode="General">
                  <c:v>0</c:v>
                </c:pt>
                <c:pt idx="375" formatCode="General">
                  <c:v>0</c:v>
                </c:pt>
                <c:pt idx="376" formatCode="General">
                  <c:v>0</c:v>
                </c:pt>
                <c:pt idx="377" formatCode="General">
                  <c:v>0</c:v>
                </c:pt>
                <c:pt idx="378" formatCode="General">
                  <c:v>0</c:v>
                </c:pt>
                <c:pt idx="379" formatCode="General">
                  <c:v>0</c:v>
                </c:pt>
                <c:pt idx="380" formatCode="General">
                  <c:v>0</c:v>
                </c:pt>
                <c:pt idx="381" formatCode="General">
                  <c:v>0</c:v>
                </c:pt>
                <c:pt idx="382" formatCode="General">
                  <c:v>0</c:v>
                </c:pt>
                <c:pt idx="383" formatCode="General">
                  <c:v>0</c:v>
                </c:pt>
                <c:pt idx="384" formatCode="General">
                  <c:v>0</c:v>
                </c:pt>
                <c:pt idx="385" formatCode="General">
                  <c:v>0</c:v>
                </c:pt>
                <c:pt idx="386" formatCode="General">
                  <c:v>0</c:v>
                </c:pt>
                <c:pt idx="387" formatCode="General">
                  <c:v>0</c:v>
                </c:pt>
                <c:pt idx="388" formatCode="General">
                  <c:v>0</c:v>
                </c:pt>
                <c:pt idx="389" formatCode="General">
                  <c:v>0</c:v>
                </c:pt>
                <c:pt idx="390" formatCode="General">
                  <c:v>0</c:v>
                </c:pt>
                <c:pt idx="391" formatCode="General">
                  <c:v>0</c:v>
                </c:pt>
                <c:pt idx="392" formatCode="General">
                  <c:v>0</c:v>
                </c:pt>
                <c:pt idx="393" formatCode="General">
                  <c:v>0</c:v>
                </c:pt>
                <c:pt idx="394" formatCode="General">
                  <c:v>0</c:v>
                </c:pt>
                <c:pt idx="395" formatCode="General">
                  <c:v>0</c:v>
                </c:pt>
                <c:pt idx="396" formatCode="General">
                  <c:v>0</c:v>
                </c:pt>
                <c:pt idx="397" formatCode="General">
                  <c:v>0</c:v>
                </c:pt>
                <c:pt idx="398" formatCode="General">
                  <c:v>0</c:v>
                </c:pt>
                <c:pt idx="399" formatCode="General">
                  <c:v>0</c:v>
                </c:pt>
                <c:pt idx="400" formatCode="General">
                  <c:v>0</c:v>
                </c:pt>
                <c:pt idx="401" formatCode="General">
                  <c:v>0</c:v>
                </c:pt>
                <c:pt idx="402" formatCode="General">
                  <c:v>0</c:v>
                </c:pt>
                <c:pt idx="403" formatCode="General">
                  <c:v>0</c:v>
                </c:pt>
                <c:pt idx="404" formatCode="General">
                  <c:v>0</c:v>
                </c:pt>
                <c:pt idx="405" formatCode="General">
                  <c:v>0</c:v>
                </c:pt>
                <c:pt idx="406" formatCode="General">
                  <c:v>0</c:v>
                </c:pt>
                <c:pt idx="407" formatCode="General">
                  <c:v>0</c:v>
                </c:pt>
                <c:pt idx="408" formatCode="General">
                  <c:v>0</c:v>
                </c:pt>
                <c:pt idx="409" formatCode="General">
                  <c:v>0</c:v>
                </c:pt>
                <c:pt idx="410" formatCode="General">
                  <c:v>0</c:v>
                </c:pt>
                <c:pt idx="411" formatCode="General">
                  <c:v>0</c:v>
                </c:pt>
                <c:pt idx="412" formatCode="General">
                  <c:v>0</c:v>
                </c:pt>
                <c:pt idx="413" formatCode="General">
                  <c:v>0</c:v>
                </c:pt>
                <c:pt idx="414" formatCode="General">
                  <c:v>0</c:v>
                </c:pt>
                <c:pt idx="415" formatCode="General">
                  <c:v>0</c:v>
                </c:pt>
                <c:pt idx="416" formatCode="General">
                  <c:v>0</c:v>
                </c:pt>
                <c:pt idx="417" formatCode="General">
                  <c:v>0</c:v>
                </c:pt>
                <c:pt idx="418" formatCode="General">
                  <c:v>0</c:v>
                </c:pt>
                <c:pt idx="419" formatCode="General">
                  <c:v>0</c:v>
                </c:pt>
                <c:pt idx="420" formatCode="General">
                  <c:v>0</c:v>
                </c:pt>
                <c:pt idx="421" formatCode="General">
                  <c:v>0</c:v>
                </c:pt>
                <c:pt idx="422" formatCode="General">
                  <c:v>0</c:v>
                </c:pt>
                <c:pt idx="423" formatCode="General">
                  <c:v>0</c:v>
                </c:pt>
                <c:pt idx="424" formatCode="General">
                  <c:v>0</c:v>
                </c:pt>
                <c:pt idx="425" formatCode="General">
                  <c:v>0</c:v>
                </c:pt>
                <c:pt idx="426" formatCode="General">
                  <c:v>0</c:v>
                </c:pt>
                <c:pt idx="427" formatCode="General">
                  <c:v>0</c:v>
                </c:pt>
                <c:pt idx="428" formatCode="General">
                  <c:v>0</c:v>
                </c:pt>
                <c:pt idx="429" formatCode="General">
                  <c:v>0</c:v>
                </c:pt>
                <c:pt idx="430" formatCode="General">
                  <c:v>0</c:v>
                </c:pt>
                <c:pt idx="431" formatCode="General">
                  <c:v>0</c:v>
                </c:pt>
                <c:pt idx="432" formatCode="General">
                  <c:v>0</c:v>
                </c:pt>
                <c:pt idx="433" formatCode="General">
                  <c:v>0</c:v>
                </c:pt>
                <c:pt idx="434" formatCode="General">
                  <c:v>0</c:v>
                </c:pt>
                <c:pt idx="435" formatCode="General">
                  <c:v>0</c:v>
                </c:pt>
                <c:pt idx="436" formatCode="General">
                  <c:v>0</c:v>
                </c:pt>
                <c:pt idx="437" formatCode="General">
                  <c:v>0</c:v>
                </c:pt>
                <c:pt idx="438" formatCode="General">
                  <c:v>0</c:v>
                </c:pt>
                <c:pt idx="439" formatCode="General">
                  <c:v>0</c:v>
                </c:pt>
                <c:pt idx="440" formatCode="General">
                  <c:v>0</c:v>
                </c:pt>
                <c:pt idx="441" formatCode="General">
                  <c:v>0</c:v>
                </c:pt>
                <c:pt idx="442" formatCode="General">
                  <c:v>0</c:v>
                </c:pt>
                <c:pt idx="443" formatCode="General">
                  <c:v>0</c:v>
                </c:pt>
                <c:pt idx="444" formatCode="General">
                  <c:v>0</c:v>
                </c:pt>
                <c:pt idx="445" formatCode="General">
                  <c:v>0</c:v>
                </c:pt>
                <c:pt idx="446" formatCode="General">
                  <c:v>0</c:v>
                </c:pt>
                <c:pt idx="447" formatCode="General">
                  <c:v>0</c:v>
                </c:pt>
                <c:pt idx="448" formatCode="General">
                  <c:v>0</c:v>
                </c:pt>
                <c:pt idx="449" formatCode="General">
                  <c:v>0</c:v>
                </c:pt>
                <c:pt idx="450" formatCode="General">
                  <c:v>0</c:v>
                </c:pt>
                <c:pt idx="451" formatCode="General">
                  <c:v>0</c:v>
                </c:pt>
                <c:pt idx="452" formatCode="General">
                  <c:v>0</c:v>
                </c:pt>
                <c:pt idx="453" formatCode="General">
                  <c:v>0</c:v>
                </c:pt>
                <c:pt idx="454" formatCode="General">
                  <c:v>0</c:v>
                </c:pt>
                <c:pt idx="455" formatCode="General">
                  <c:v>0</c:v>
                </c:pt>
                <c:pt idx="456" formatCode="General">
                  <c:v>0</c:v>
                </c:pt>
                <c:pt idx="457" formatCode="General">
                  <c:v>0</c:v>
                </c:pt>
                <c:pt idx="458" formatCode="General">
                  <c:v>0</c:v>
                </c:pt>
                <c:pt idx="459" formatCode="General">
                  <c:v>0</c:v>
                </c:pt>
                <c:pt idx="460" formatCode="General">
                  <c:v>0</c:v>
                </c:pt>
                <c:pt idx="461" formatCode="General">
                  <c:v>0</c:v>
                </c:pt>
                <c:pt idx="462" formatCode="General">
                  <c:v>0</c:v>
                </c:pt>
                <c:pt idx="463" formatCode="General">
                  <c:v>0</c:v>
                </c:pt>
                <c:pt idx="464" formatCode="General">
                  <c:v>0</c:v>
                </c:pt>
                <c:pt idx="465" formatCode="General">
                  <c:v>0</c:v>
                </c:pt>
                <c:pt idx="466" formatCode="General">
                  <c:v>0</c:v>
                </c:pt>
                <c:pt idx="467" formatCode="General">
                  <c:v>0</c:v>
                </c:pt>
                <c:pt idx="468" formatCode="General">
                  <c:v>0</c:v>
                </c:pt>
                <c:pt idx="469" formatCode="General">
                  <c:v>0</c:v>
                </c:pt>
                <c:pt idx="470" formatCode="General">
                  <c:v>0</c:v>
                </c:pt>
                <c:pt idx="471" formatCode="General">
                  <c:v>0</c:v>
                </c:pt>
                <c:pt idx="472" formatCode="General">
                  <c:v>0</c:v>
                </c:pt>
                <c:pt idx="473" formatCode="General">
                  <c:v>0</c:v>
                </c:pt>
                <c:pt idx="474" formatCode="General">
                  <c:v>0</c:v>
                </c:pt>
                <c:pt idx="475" formatCode="General">
                  <c:v>0</c:v>
                </c:pt>
                <c:pt idx="476" formatCode="General">
                  <c:v>0</c:v>
                </c:pt>
                <c:pt idx="477" formatCode="General">
                  <c:v>0</c:v>
                </c:pt>
                <c:pt idx="478" formatCode="General">
                  <c:v>0</c:v>
                </c:pt>
                <c:pt idx="479" formatCode="General">
                  <c:v>0</c:v>
                </c:pt>
                <c:pt idx="480" formatCode="General">
                  <c:v>0</c:v>
                </c:pt>
              </c:numCache>
            </c:numRef>
          </c:val>
        </c:ser>
        <c:ser>
          <c:idx val="2"/>
          <c:order val="2"/>
          <c:tx>
            <c:strRef>
              <c:f>女発放廃!$AI$3</c:f>
              <c:strCache>
                <c:ptCount val="1"/>
                <c:pt idx="0">
                  <c:v>３号機</c:v>
                </c:pt>
              </c:strCache>
            </c:strRef>
          </c:tx>
          <c:spPr>
            <a:pattFill prst="ltDnDiag">
              <a:fgClr>
                <a:srgbClr xmlns:mc="http://schemas.openxmlformats.org/markup-compatibility/2006" xmlns:a14="http://schemas.microsoft.com/office/drawing/2010/main" val="339933" mc:Ignorable="a14" a14:legacySpreadsheetColorIndex="50"/>
              </a:fgClr>
              <a:bgClr>
                <a:srgbClr xmlns:mc="http://schemas.openxmlformats.org/markup-compatibility/2006" xmlns:a14="http://schemas.microsoft.com/office/drawing/2010/main" val="FFFFFF" mc:Ignorable="a14" a14:legacySpreadsheetColorIndex="9"/>
              </a:bgClr>
            </a:pattFill>
            <a:ln w="12700">
              <a:solidFill>
                <a:srgbClr val="969696"/>
              </a:solidFill>
              <a:prstDash val="solid"/>
            </a:ln>
          </c:spPr>
          <c:cat>
            <c:numRef>
              <c:f>女発放廃!$AF$4:$AF$484</c:f>
              <c:numCache>
                <c:formatCode>[$-411]ge\.m</c:formatCode>
                <c:ptCount val="481"/>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34060</c:v>
                </c:pt>
                <c:pt idx="145">
                  <c:v>34090</c:v>
                </c:pt>
                <c:pt idx="146">
                  <c:v>34121</c:v>
                </c:pt>
                <c:pt idx="147">
                  <c:v>34151</c:v>
                </c:pt>
                <c:pt idx="148">
                  <c:v>34182</c:v>
                </c:pt>
                <c:pt idx="149">
                  <c:v>34213</c:v>
                </c:pt>
                <c:pt idx="150">
                  <c:v>34243</c:v>
                </c:pt>
                <c:pt idx="151">
                  <c:v>34274</c:v>
                </c:pt>
                <c:pt idx="152">
                  <c:v>34304</c:v>
                </c:pt>
                <c:pt idx="153">
                  <c:v>34335</c:v>
                </c:pt>
                <c:pt idx="154">
                  <c:v>34366</c:v>
                </c:pt>
                <c:pt idx="155">
                  <c:v>34394</c:v>
                </c:pt>
                <c:pt idx="156">
                  <c:v>34425</c:v>
                </c:pt>
                <c:pt idx="157">
                  <c:v>34455</c:v>
                </c:pt>
                <c:pt idx="158">
                  <c:v>34486</c:v>
                </c:pt>
                <c:pt idx="159">
                  <c:v>34516</c:v>
                </c:pt>
                <c:pt idx="160">
                  <c:v>34547</c:v>
                </c:pt>
                <c:pt idx="161">
                  <c:v>34578</c:v>
                </c:pt>
                <c:pt idx="162">
                  <c:v>34608</c:v>
                </c:pt>
                <c:pt idx="163">
                  <c:v>34639</c:v>
                </c:pt>
                <c:pt idx="164">
                  <c:v>34669</c:v>
                </c:pt>
                <c:pt idx="165">
                  <c:v>34700</c:v>
                </c:pt>
                <c:pt idx="166">
                  <c:v>34731</c:v>
                </c:pt>
                <c:pt idx="167">
                  <c:v>34759</c:v>
                </c:pt>
                <c:pt idx="168">
                  <c:v>34790</c:v>
                </c:pt>
                <c:pt idx="169">
                  <c:v>34820</c:v>
                </c:pt>
                <c:pt idx="170">
                  <c:v>34851</c:v>
                </c:pt>
                <c:pt idx="171">
                  <c:v>34881</c:v>
                </c:pt>
                <c:pt idx="172">
                  <c:v>34912</c:v>
                </c:pt>
                <c:pt idx="173">
                  <c:v>34943</c:v>
                </c:pt>
                <c:pt idx="174">
                  <c:v>34973</c:v>
                </c:pt>
                <c:pt idx="175">
                  <c:v>35004</c:v>
                </c:pt>
                <c:pt idx="176">
                  <c:v>35034</c:v>
                </c:pt>
                <c:pt idx="177">
                  <c:v>35065</c:v>
                </c:pt>
                <c:pt idx="178">
                  <c:v>35096</c:v>
                </c:pt>
                <c:pt idx="179">
                  <c:v>35125</c:v>
                </c:pt>
                <c:pt idx="180">
                  <c:v>35156</c:v>
                </c:pt>
                <c:pt idx="181">
                  <c:v>35186</c:v>
                </c:pt>
                <c:pt idx="182">
                  <c:v>35217</c:v>
                </c:pt>
                <c:pt idx="183">
                  <c:v>35247</c:v>
                </c:pt>
                <c:pt idx="184">
                  <c:v>35278</c:v>
                </c:pt>
                <c:pt idx="185">
                  <c:v>35309</c:v>
                </c:pt>
                <c:pt idx="186">
                  <c:v>35339</c:v>
                </c:pt>
                <c:pt idx="187">
                  <c:v>35370</c:v>
                </c:pt>
                <c:pt idx="188">
                  <c:v>35400</c:v>
                </c:pt>
                <c:pt idx="189">
                  <c:v>35431</c:v>
                </c:pt>
                <c:pt idx="190">
                  <c:v>35462</c:v>
                </c:pt>
                <c:pt idx="191">
                  <c:v>35490</c:v>
                </c:pt>
                <c:pt idx="192">
                  <c:v>35521</c:v>
                </c:pt>
                <c:pt idx="193">
                  <c:v>35551</c:v>
                </c:pt>
                <c:pt idx="194">
                  <c:v>35582</c:v>
                </c:pt>
                <c:pt idx="195">
                  <c:v>35612</c:v>
                </c:pt>
                <c:pt idx="196">
                  <c:v>35643</c:v>
                </c:pt>
                <c:pt idx="197">
                  <c:v>35674</c:v>
                </c:pt>
                <c:pt idx="198">
                  <c:v>35704</c:v>
                </c:pt>
                <c:pt idx="199">
                  <c:v>35735</c:v>
                </c:pt>
                <c:pt idx="200">
                  <c:v>35765</c:v>
                </c:pt>
                <c:pt idx="201">
                  <c:v>35796</c:v>
                </c:pt>
                <c:pt idx="202">
                  <c:v>35827</c:v>
                </c:pt>
                <c:pt idx="203">
                  <c:v>35855</c:v>
                </c:pt>
                <c:pt idx="204">
                  <c:v>35886</c:v>
                </c:pt>
                <c:pt idx="205">
                  <c:v>35916</c:v>
                </c:pt>
                <c:pt idx="206">
                  <c:v>35947</c:v>
                </c:pt>
                <c:pt idx="207">
                  <c:v>35977</c:v>
                </c:pt>
                <c:pt idx="208">
                  <c:v>36008</c:v>
                </c:pt>
                <c:pt idx="209">
                  <c:v>36039</c:v>
                </c:pt>
                <c:pt idx="210">
                  <c:v>36069</c:v>
                </c:pt>
                <c:pt idx="211">
                  <c:v>36100</c:v>
                </c:pt>
                <c:pt idx="212">
                  <c:v>36130</c:v>
                </c:pt>
                <c:pt idx="213">
                  <c:v>36161</c:v>
                </c:pt>
                <c:pt idx="214">
                  <c:v>36192</c:v>
                </c:pt>
                <c:pt idx="215">
                  <c:v>36220</c:v>
                </c:pt>
                <c:pt idx="216">
                  <c:v>36251</c:v>
                </c:pt>
                <c:pt idx="217">
                  <c:v>36281</c:v>
                </c:pt>
                <c:pt idx="218">
                  <c:v>36312</c:v>
                </c:pt>
                <c:pt idx="219">
                  <c:v>36342</c:v>
                </c:pt>
                <c:pt idx="220">
                  <c:v>36373</c:v>
                </c:pt>
                <c:pt idx="221">
                  <c:v>36404</c:v>
                </c:pt>
                <c:pt idx="222">
                  <c:v>36434</c:v>
                </c:pt>
                <c:pt idx="223">
                  <c:v>36465</c:v>
                </c:pt>
                <c:pt idx="224">
                  <c:v>36495</c:v>
                </c:pt>
                <c:pt idx="225">
                  <c:v>36526</c:v>
                </c:pt>
                <c:pt idx="226">
                  <c:v>36557</c:v>
                </c:pt>
                <c:pt idx="227">
                  <c:v>36586</c:v>
                </c:pt>
                <c:pt idx="228">
                  <c:v>36617</c:v>
                </c:pt>
                <c:pt idx="229">
                  <c:v>36647</c:v>
                </c:pt>
                <c:pt idx="230">
                  <c:v>36678</c:v>
                </c:pt>
                <c:pt idx="231">
                  <c:v>36708</c:v>
                </c:pt>
                <c:pt idx="232">
                  <c:v>36739</c:v>
                </c:pt>
                <c:pt idx="233">
                  <c:v>36770</c:v>
                </c:pt>
                <c:pt idx="234">
                  <c:v>36800</c:v>
                </c:pt>
                <c:pt idx="235">
                  <c:v>36831</c:v>
                </c:pt>
                <c:pt idx="236">
                  <c:v>36861</c:v>
                </c:pt>
                <c:pt idx="237">
                  <c:v>36892</c:v>
                </c:pt>
                <c:pt idx="238">
                  <c:v>36923</c:v>
                </c:pt>
                <c:pt idx="239">
                  <c:v>36951</c:v>
                </c:pt>
                <c:pt idx="240">
                  <c:v>36982</c:v>
                </c:pt>
                <c:pt idx="241">
                  <c:v>37012</c:v>
                </c:pt>
                <c:pt idx="242">
                  <c:v>37043</c:v>
                </c:pt>
                <c:pt idx="243">
                  <c:v>37073</c:v>
                </c:pt>
                <c:pt idx="244">
                  <c:v>37104</c:v>
                </c:pt>
                <c:pt idx="245">
                  <c:v>37135</c:v>
                </c:pt>
                <c:pt idx="246">
                  <c:v>37165</c:v>
                </c:pt>
                <c:pt idx="247">
                  <c:v>37196</c:v>
                </c:pt>
                <c:pt idx="248">
                  <c:v>37226</c:v>
                </c:pt>
                <c:pt idx="249">
                  <c:v>37257</c:v>
                </c:pt>
                <c:pt idx="250">
                  <c:v>37288</c:v>
                </c:pt>
                <c:pt idx="251">
                  <c:v>37316</c:v>
                </c:pt>
                <c:pt idx="252">
                  <c:v>37347</c:v>
                </c:pt>
                <c:pt idx="253">
                  <c:v>37377</c:v>
                </c:pt>
                <c:pt idx="254">
                  <c:v>37408</c:v>
                </c:pt>
                <c:pt idx="255">
                  <c:v>37438</c:v>
                </c:pt>
                <c:pt idx="256">
                  <c:v>37469</c:v>
                </c:pt>
                <c:pt idx="257">
                  <c:v>37500</c:v>
                </c:pt>
                <c:pt idx="258">
                  <c:v>37530</c:v>
                </c:pt>
                <c:pt idx="259">
                  <c:v>37561</c:v>
                </c:pt>
                <c:pt idx="260">
                  <c:v>37591</c:v>
                </c:pt>
                <c:pt idx="261">
                  <c:v>37622</c:v>
                </c:pt>
                <c:pt idx="262">
                  <c:v>37653</c:v>
                </c:pt>
                <c:pt idx="263">
                  <c:v>37681</c:v>
                </c:pt>
                <c:pt idx="264">
                  <c:v>37712</c:v>
                </c:pt>
                <c:pt idx="265">
                  <c:v>37742</c:v>
                </c:pt>
                <c:pt idx="266">
                  <c:v>37773</c:v>
                </c:pt>
                <c:pt idx="267">
                  <c:v>37803</c:v>
                </c:pt>
                <c:pt idx="268">
                  <c:v>37834</c:v>
                </c:pt>
                <c:pt idx="269">
                  <c:v>37865</c:v>
                </c:pt>
                <c:pt idx="270">
                  <c:v>37895</c:v>
                </c:pt>
                <c:pt idx="271">
                  <c:v>37926</c:v>
                </c:pt>
                <c:pt idx="272">
                  <c:v>37956</c:v>
                </c:pt>
                <c:pt idx="273">
                  <c:v>37987</c:v>
                </c:pt>
                <c:pt idx="274">
                  <c:v>38018</c:v>
                </c:pt>
                <c:pt idx="275">
                  <c:v>38047</c:v>
                </c:pt>
                <c:pt idx="276">
                  <c:v>38078</c:v>
                </c:pt>
                <c:pt idx="277">
                  <c:v>38108</c:v>
                </c:pt>
                <c:pt idx="278">
                  <c:v>38139</c:v>
                </c:pt>
                <c:pt idx="279">
                  <c:v>38169</c:v>
                </c:pt>
                <c:pt idx="280">
                  <c:v>38200</c:v>
                </c:pt>
                <c:pt idx="281">
                  <c:v>38231</c:v>
                </c:pt>
                <c:pt idx="282">
                  <c:v>38261</c:v>
                </c:pt>
                <c:pt idx="283">
                  <c:v>38292</c:v>
                </c:pt>
                <c:pt idx="284">
                  <c:v>38322</c:v>
                </c:pt>
                <c:pt idx="285">
                  <c:v>38353</c:v>
                </c:pt>
                <c:pt idx="286">
                  <c:v>38384</c:v>
                </c:pt>
                <c:pt idx="287">
                  <c:v>38412</c:v>
                </c:pt>
                <c:pt idx="288">
                  <c:v>38443</c:v>
                </c:pt>
                <c:pt idx="289">
                  <c:v>38473</c:v>
                </c:pt>
                <c:pt idx="290">
                  <c:v>38504</c:v>
                </c:pt>
                <c:pt idx="291">
                  <c:v>38534</c:v>
                </c:pt>
                <c:pt idx="292">
                  <c:v>38565</c:v>
                </c:pt>
                <c:pt idx="293">
                  <c:v>38596</c:v>
                </c:pt>
                <c:pt idx="294">
                  <c:v>38626</c:v>
                </c:pt>
                <c:pt idx="295">
                  <c:v>38657</c:v>
                </c:pt>
                <c:pt idx="296">
                  <c:v>38687</c:v>
                </c:pt>
                <c:pt idx="297">
                  <c:v>38718</c:v>
                </c:pt>
                <c:pt idx="298">
                  <c:v>38749</c:v>
                </c:pt>
                <c:pt idx="299">
                  <c:v>38777</c:v>
                </c:pt>
                <c:pt idx="300">
                  <c:v>38808</c:v>
                </c:pt>
                <c:pt idx="301">
                  <c:v>38838</c:v>
                </c:pt>
                <c:pt idx="302">
                  <c:v>38869</c:v>
                </c:pt>
                <c:pt idx="303">
                  <c:v>38899</c:v>
                </c:pt>
                <c:pt idx="304">
                  <c:v>38930</c:v>
                </c:pt>
                <c:pt idx="305">
                  <c:v>38961</c:v>
                </c:pt>
                <c:pt idx="306">
                  <c:v>38991</c:v>
                </c:pt>
                <c:pt idx="307">
                  <c:v>39022</c:v>
                </c:pt>
                <c:pt idx="308">
                  <c:v>39052</c:v>
                </c:pt>
                <c:pt idx="309">
                  <c:v>39083</c:v>
                </c:pt>
                <c:pt idx="310">
                  <c:v>39114</c:v>
                </c:pt>
                <c:pt idx="311">
                  <c:v>39142</c:v>
                </c:pt>
                <c:pt idx="312">
                  <c:v>39173</c:v>
                </c:pt>
                <c:pt idx="313">
                  <c:v>39203</c:v>
                </c:pt>
                <c:pt idx="314">
                  <c:v>39234</c:v>
                </c:pt>
                <c:pt idx="315">
                  <c:v>39264</c:v>
                </c:pt>
                <c:pt idx="316">
                  <c:v>39295</c:v>
                </c:pt>
                <c:pt idx="317">
                  <c:v>39326</c:v>
                </c:pt>
                <c:pt idx="318">
                  <c:v>39356</c:v>
                </c:pt>
                <c:pt idx="319">
                  <c:v>39387</c:v>
                </c:pt>
                <c:pt idx="320">
                  <c:v>39417</c:v>
                </c:pt>
                <c:pt idx="321">
                  <c:v>39448</c:v>
                </c:pt>
                <c:pt idx="322">
                  <c:v>39479</c:v>
                </c:pt>
                <c:pt idx="323">
                  <c:v>39508</c:v>
                </c:pt>
                <c:pt idx="324">
                  <c:v>39539</c:v>
                </c:pt>
                <c:pt idx="325">
                  <c:v>39569</c:v>
                </c:pt>
                <c:pt idx="326">
                  <c:v>39600</c:v>
                </c:pt>
                <c:pt idx="327">
                  <c:v>39630</c:v>
                </c:pt>
                <c:pt idx="328">
                  <c:v>39661</c:v>
                </c:pt>
                <c:pt idx="329">
                  <c:v>39692</c:v>
                </c:pt>
                <c:pt idx="330">
                  <c:v>39722</c:v>
                </c:pt>
                <c:pt idx="331">
                  <c:v>39753</c:v>
                </c:pt>
                <c:pt idx="332">
                  <c:v>39783</c:v>
                </c:pt>
                <c:pt idx="333">
                  <c:v>39814</c:v>
                </c:pt>
                <c:pt idx="334">
                  <c:v>39845</c:v>
                </c:pt>
                <c:pt idx="335">
                  <c:v>39873</c:v>
                </c:pt>
                <c:pt idx="336">
                  <c:v>39904</c:v>
                </c:pt>
                <c:pt idx="337">
                  <c:v>39934</c:v>
                </c:pt>
                <c:pt idx="338">
                  <c:v>39965</c:v>
                </c:pt>
                <c:pt idx="339">
                  <c:v>39995</c:v>
                </c:pt>
                <c:pt idx="340">
                  <c:v>40026</c:v>
                </c:pt>
                <c:pt idx="341">
                  <c:v>40057</c:v>
                </c:pt>
                <c:pt idx="342">
                  <c:v>40087</c:v>
                </c:pt>
                <c:pt idx="343">
                  <c:v>40118</c:v>
                </c:pt>
                <c:pt idx="344">
                  <c:v>40148</c:v>
                </c:pt>
                <c:pt idx="345">
                  <c:v>40179</c:v>
                </c:pt>
                <c:pt idx="346">
                  <c:v>40210</c:v>
                </c:pt>
                <c:pt idx="347">
                  <c:v>40238</c:v>
                </c:pt>
                <c:pt idx="348">
                  <c:v>40269</c:v>
                </c:pt>
                <c:pt idx="349">
                  <c:v>40299</c:v>
                </c:pt>
                <c:pt idx="350">
                  <c:v>40330</c:v>
                </c:pt>
                <c:pt idx="351">
                  <c:v>40360</c:v>
                </c:pt>
                <c:pt idx="352">
                  <c:v>40391</c:v>
                </c:pt>
                <c:pt idx="353">
                  <c:v>40422</c:v>
                </c:pt>
                <c:pt idx="354">
                  <c:v>40452</c:v>
                </c:pt>
                <c:pt idx="355">
                  <c:v>40483</c:v>
                </c:pt>
                <c:pt idx="356">
                  <c:v>40513</c:v>
                </c:pt>
                <c:pt idx="357">
                  <c:v>40544</c:v>
                </c:pt>
                <c:pt idx="358">
                  <c:v>40575</c:v>
                </c:pt>
                <c:pt idx="359">
                  <c:v>40603</c:v>
                </c:pt>
                <c:pt idx="360">
                  <c:v>40634</c:v>
                </c:pt>
                <c:pt idx="361">
                  <c:v>40664</c:v>
                </c:pt>
                <c:pt idx="362">
                  <c:v>40695</c:v>
                </c:pt>
                <c:pt idx="363">
                  <c:v>40725</c:v>
                </c:pt>
                <c:pt idx="364">
                  <c:v>40756</c:v>
                </c:pt>
                <c:pt idx="365">
                  <c:v>40787</c:v>
                </c:pt>
                <c:pt idx="366">
                  <c:v>40817</c:v>
                </c:pt>
                <c:pt idx="367">
                  <c:v>40848</c:v>
                </c:pt>
                <c:pt idx="368">
                  <c:v>40878</c:v>
                </c:pt>
                <c:pt idx="369">
                  <c:v>40909</c:v>
                </c:pt>
                <c:pt idx="370">
                  <c:v>40940</c:v>
                </c:pt>
                <c:pt idx="371">
                  <c:v>40969</c:v>
                </c:pt>
                <c:pt idx="372">
                  <c:v>41000</c:v>
                </c:pt>
                <c:pt idx="373">
                  <c:v>41030</c:v>
                </c:pt>
                <c:pt idx="374">
                  <c:v>41061</c:v>
                </c:pt>
                <c:pt idx="375">
                  <c:v>41091</c:v>
                </c:pt>
                <c:pt idx="376">
                  <c:v>41122</c:v>
                </c:pt>
                <c:pt idx="377">
                  <c:v>41153</c:v>
                </c:pt>
                <c:pt idx="378">
                  <c:v>41183</c:v>
                </c:pt>
                <c:pt idx="379">
                  <c:v>41214</c:v>
                </c:pt>
                <c:pt idx="380">
                  <c:v>41244</c:v>
                </c:pt>
                <c:pt idx="381">
                  <c:v>41275</c:v>
                </c:pt>
                <c:pt idx="382">
                  <c:v>41306</c:v>
                </c:pt>
                <c:pt idx="383">
                  <c:v>41334</c:v>
                </c:pt>
                <c:pt idx="384">
                  <c:v>41365</c:v>
                </c:pt>
                <c:pt idx="385">
                  <c:v>41395</c:v>
                </c:pt>
                <c:pt idx="386">
                  <c:v>41426</c:v>
                </c:pt>
                <c:pt idx="387">
                  <c:v>41456</c:v>
                </c:pt>
                <c:pt idx="388">
                  <c:v>41487</c:v>
                </c:pt>
                <c:pt idx="389">
                  <c:v>41518</c:v>
                </c:pt>
                <c:pt idx="390">
                  <c:v>41548</c:v>
                </c:pt>
                <c:pt idx="391">
                  <c:v>41579</c:v>
                </c:pt>
                <c:pt idx="392">
                  <c:v>41609</c:v>
                </c:pt>
                <c:pt idx="393">
                  <c:v>41640</c:v>
                </c:pt>
                <c:pt idx="394">
                  <c:v>41671</c:v>
                </c:pt>
                <c:pt idx="395">
                  <c:v>41699</c:v>
                </c:pt>
                <c:pt idx="396">
                  <c:v>41730</c:v>
                </c:pt>
                <c:pt idx="397">
                  <c:v>41760</c:v>
                </c:pt>
                <c:pt idx="398">
                  <c:v>41791</c:v>
                </c:pt>
                <c:pt idx="399">
                  <c:v>41821</c:v>
                </c:pt>
                <c:pt idx="400">
                  <c:v>41852</c:v>
                </c:pt>
                <c:pt idx="401">
                  <c:v>41883</c:v>
                </c:pt>
                <c:pt idx="402">
                  <c:v>41913</c:v>
                </c:pt>
                <c:pt idx="403">
                  <c:v>41944</c:v>
                </c:pt>
                <c:pt idx="404">
                  <c:v>41974</c:v>
                </c:pt>
                <c:pt idx="405">
                  <c:v>42005</c:v>
                </c:pt>
                <c:pt idx="406">
                  <c:v>42036</c:v>
                </c:pt>
                <c:pt idx="407">
                  <c:v>42064</c:v>
                </c:pt>
                <c:pt idx="408">
                  <c:v>42095</c:v>
                </c:pt>
                <c:pt idx="409">
                  <c:v>42125</c:v>
                </c:pt>
                <c:pt idx="410">
                  <c:v>42156</c:v>
                </c:pt>
                <c:pt idx="411">
                  <c:v>42186</c:v>
                </c:pt>
                <c:pt idx="412">
                  <c:v>42217</c:v>
                </c:pt>
                <c:pt idx="413">
                  <c:v>42248</c:v>
                </c:pt>
                <c:pt idx="414">
                  <c:v>42278</c:v>
                </c:pt>
                <c:pt idx="415">
                  <c:v>42309</c:v>
                </c:pt>
                <c:pt idx="416">
                  <c:v>42339</c:v>
                </c:pt>
                <c:pt idx="417">
                  <c:v>42370</c:v>
                </c:pt>
                <c:pt idx="418">
                  <c:v>42401</c:v>
                </c:pt>
                <c:pt idx="419">
                  <c:v>42430</c:v>
                </c:pt>
                <c:pt idx="420">
                  <c:v>42461</c:v>
                </c:pt>
                <c:pt idx="421">
                  <c:v>42491</c:v>
                </c:pt>
                <c:pt idx="422">
                  <c:v>42522</c:v>
                </c:pt>
                <c:pt idx="423">
                  <c:v>42552</c:v>
                </c:pt>
                <c:pt idx="424">
                  <c:v>42583</c:v>
                </c:pt>
                <c:pt idx="425">
                  <c:v>42614</c:v>
                </c:pt>
                <c:pt idx="426">
                  <c:v>42644</c:v>
                </c:pt>
                <c:pt idx="427">
                  <c:v>42675</c:v>
                </c:pt>
                <c:pt idx="428">
                  <c:v>42705</c:v>
                </c:pt>
                <c:pt idx="429">
                  <c:v>42736</c:v>
                </c:pt>
                <c:pt idx="430">
                  <c:v>42767</c:v>
                </c:pt>
                <c:pt idx="431">
                  <c:v>42795</c:v>
                </c:pt>
                <c:pt idx="432">
                  <c:v>42826</c:v>
                </c:pt>
                <c:pt idx="433">
                  <c:v>42856</c:v>
                </c:pt>
                <c:pt idx="434">
                  <c:v>42887</c:v>
                </c:pt>
                <c:pt idx="435">
                  <c:v>42917</c:v>
                </c:pt>
                <c:pt idx="436">
                  <c:v>42948</c:v>
                </c:pt>
                <c:pt idx="437">
                  <c:v>42979</c:v>
                </c:pt>
                <c:pt idx="438">
                  <c:v>43009</c:v>
                </c:pt>
                <c:pt idx="439">
                  <c:v>43040</c:v>
                </c:pt>
                <c:pt idx="440">
                  <c:v>43070</c:v>
                </c:pt>
                <c:pt idx="441">
                  <c:v>43101</c:v>
                </c:pt>
                <c:pt idx="442">
                  <c:v>43132</c:v>
                </c:pt>
                <c:pt idx="443">
                  <c:v>43160</c:v>
                </c:pt>
                <c:pt idx="444">
                  <c:v>43191</c:v>
                </c:pt>
                <c:pt idx="445">
                  <c:v>43221</c:v>
                </c:pt>
                <c:pt idx="446">
                  <c:v>43252</c:v>
                </c:pt>
                <c:pt idx="447">
                  <c:v>43282</c:v>
                </c:pt>
                <c:pt idx="448">
                  <c:v>43313</c:v>
                </c:pt>
                <c:pt idx="449">
                  <c:v>43344</c:v>
                </c:pt>
                <c:pt idx="450">
                  <c:v>43374</c:v>
                </c:pt>
                <c:pt idx="451">
                  <c:v>43405</c:v>
                </c:pt>
                <c:pt idx="452">
                  <c:v>43435</c:v>
                </c:pt>
                <c:pt idx="453">
                  <c:v>43466</c:v>
                </c:pt>
                <c:pt idx="454">
                  <c:v>43497</c:v>
                </c:pt>
                <c:pt idx="455">
                  <c:v>43525</c:v>
                </c:pt>
                <c:pt idx="456">
                  <c:v>43556</c:v>
                </c:pt>
                <c:pt idx="457">
                  <c:v>43586</c:v>
                </c:pt>
                <c:pt idx="458">
                  <c:v>43617</c:v>
                </c:pt>
                <c:pt idx="459">
                  <c:v>43647</c:v>
                </c:pt>
                <c:pt idx="460">
                  <c:v>43678</c:v>
                </c:pt>
                <c:pt idx="461">
                  <c:v>43709</c:v>
                </c:pt>
                <c:pt idx="462">
                  <c:v>43739</c:v>
                </c:pt>
                <c:pt idx="463">
                  <c:v>43770</c:v>
                </c:pt>
                <c:pt idx="464">
                  <c:v>43800</c:v>
                </c:pt>
                <c:pt idx="465">
                  <c:v>43831</c:v>
                </c:pt>
                <c:pt idx="466">
                  <c:v>43862</c:v>
                </c:pt>
                <c:pt idx="467">
                  <c:v>43891</c:v>
                </c:pt>
                <c:pt idx="468">
                  <c:v>43922</c:v>
                </c:pt>
                <c:pt idx="469">
                  <c:v>43952</c:v>
                </c:pt>
                <c:pt idx="470">
                  <c:v>43983</c:v>
                </c:pt>
                <c:pt idx="471">
                  <c:v>44013</c:v>
                </c:pt>
                <c:pt idx="472">
                  <c:v>44044</c:v>
                </c:pt>
                <c:pt idx="473">
                  <c:v>44075</c:v>
                </c:pt>
                <c:pt idx="474">
                  <c:v>44105</c:v>
                </c:pt>
                <c:pt idx="475">
                  <c:v>44136</c:v>
                </c:pt>
                <c:pt idx="476">
                  <c:v>44166</c:v>
                </c:pt>
                <c:pt idx="477">
                  <c:v>44197</c:v>
                </c:pt>
                <c:pt idx="478">
                  <c:v>44228</c:v>
                </c:pt>
                <c:pt idx="479">
                  <c:v>44256</c:v>
                </c:pt>
              </c:numCache>
            </c:numRef>
          </c:cat>
          <c:val>
            <c:numRef>
              <c:f>女発放廃!$AI$4:$AI$484</c:f>
              <c:numCache>
                <c:formatCode>0.0;"△ "0.0</c:formatCode>
                <c:ptCount val="481"/>
                <c:pt idx="241">
                  <c:v>4.6790000000000003</c:v>
                </c:pt>
                <c:pt idx="242">
                  <c:v>73.613</c:v>
                </c:pt>
                <c:pt idx="243">
                  <c:v>190.47200000000001</c:v>
                </c:pt>
                <c:pt idx="244">
                  <c:v>454.90699999999998</c:v>
                </c:pt>
                <c:pt idx="245">
                  <c:v>215.37899999999999</c:v>
                </c:pt>
                <c:pt idx="246">
                  <c:v>365.72199999999998</c:v>
                </c:pt>
                <c:pt idx="247">
                  <c:v>144.32400000000001</c:v>
                </c:pt>
                <c:pt idx="248">
                  <c:v>209.27500000000001</c:v>
                </c:pt>
                <c:pt idx="249">
                  <c:v>491.53800000000001</c:v>
                </c:pt>
                <c:pt idx="250">
                  <c:v>554.4</c:v>
                </c:pt>
                <c:pt idx="251">
                  <c:v>613.72199999999998</c:v>
                </c:pt>
                <c:pt idx="252">
                  <c:v>594</c:v>
                </c:pt>
                <c:pt idx="253">
                  <c:v>613.79999999999995</c:v>
                </c:pt>
                <c:pt idx="254">
                  <c:v>594</c:v>
                </c:pt>
                <c:pt idx="255">
                  <c:v>613.79999999999995</c:v>
                </c:pt>
                <c:pt idx="256">
                  <c:v>613.79999999999995</c:v>
                </c:pt>
                <c:pt idx="257">
                  <c:v>594</c:v>
                </c:pt>
                <c:pt idx="258">
                  <c:v>613.68299999999999</c:v>
                </c:pt>
                <c:pt idx="259">
                  <c:v>594</c:v>
                </c:pt>
                <c:pt idx="260">
                  <c:v>613.71299999999997</c:v>
                </c:pt>
                <c:pt idx="261">
                  <c:v>613.42700000000002</c:v>
                </c:pt>
                <c:pt idx="262">
                  <c:v>452.57100000000003</c:v>
                </c:pt>
                <c:pt idx="263">
                  <c:v>0</c:v>
                </c:pt>
                <c:pt idx="264">
                  <c:v>197.57</c:v>
                </c:pt>
                <c:pt idx="265">
                  <c:v>561.77700000000004</c:v>
                </c:pt>
                <c:pt idx="266">
                  <c:v>612.029</c:v>
                </c:pt>
                <c:pt idx="267">
                  <c:v>634.25400000000002</c:v>
                </c:pt>
                <c:pt idx="268">
                  <c:v>633.62699999999995</c:v>
                </c:pt>
                <c:pt idx="269">
                  <c:v>613.53399999999999</c:v>
                </c:pt>
                <c:pt idx="270">
                  <c:v>635.471</c:v>
                </c:pt>
                <c:pt idx="271">
                  <c:v>615.28700000000003</c:v>
                </c:pt>
                <c:pt idx="272">
                  <c:v>635.87400000000002</c:v>
                </c:pt>
                <c:pt idx="273">
                  <c:v>636.06100000000004</c:v>
                </c:pt>
                <c:pt idx="274">
                  <c:v>594.84699999999998</c:v>
                </c:pt>
                <c:pt idx="275">
                  <c:v>635.41300000000001</c:v>
                </c:pt>
                <c:pt idx="276">
                  <c:v>615.221</c:v>
                </c:pt>
                <c:pt idx="277">
                  <c:v>625.78800000000001</c:v>
                </c:pt>
                <c:pt idx="278">
                  <c:v>166.321</c:v>
                </c:pt>
                <c:pt idx="279">
                  <c:v>0</c:v>
                </c:pt>
                <c:pt idx="280">
                  <c:v>0.98099999999999998</c:v>
                </c:pt>
                <c:pt idx="281">
                  <c:v>402.91500000000002</c:v>
                </c:pt>
                <c:pt idx="282">
                  <c:v>634.04</c:v>
                </c:pt>
                <c:pt idx="283">
                  <c:v>613.95799999999997</c:v>
                </c:pt>
                <c:pt idx="284">
                  <c:v>635.51099999999997</c:v>
                </c:pt>
                <c:pt idx="285">
                  <c:v>635.44500000000005</c:v>
                </c:pt>
                <c:pt idx="286">
                  <c:v>573.673</c:v>
                </c:pt>
                <c:pt idx="287">
                  <c:v>635.18799999999999</c:v>
                </c:pt>
                <c:pt idx="288">
                  <c:v>614.60400000000004</c:v>
                </c:pt>
                <c:pt idx="289">
                  <c:v>635.28800000000001</c:v>
                </c:pt>
                <c:pt idx="290">
                  <c:v>614.20000000000005</c:v>
                </c:pt>
                <c:pt idx="291">
                  <c:v>540.78</c:v>
                </c:pt>
                <c:pt idx="292">
                  <c:v>306.28500000000003</c:v>
                </c:pt>
                <c:pt idx="293">
                  <c:v>0</c:v>
                </c:pt>
                <c:pt idx="294">
                  <c:v>0</c:v>
                </c:pt>
                <c:pt idx="295">
                  <c:v>0</c:v>
                </c:pt>
                <c:pt idx="296">
                  <c:v>0</c:v>
                </c:pt>
                <c:pt idx="297">
                  <c:v>0</c:v>
                </c:pt>
                <c:pt idx="298">
                  <c:v>0</c:v>
                </c:pt>
                <c:pt idx="299">
                  <c:v>187.57599999999999</c:v>
                </c:pt>
                <c:pt idx="300">
                  <c:v>615.28800000000001</c:v>
                </c:pt>
                <c:pt idx="301">
                  <c:v>635.84500000000003</c:v>
                </c:pt>
                <c:pt idx="302">
                  <c:v>614.95600000000002</c:v>
                </c:pt>
                <c:pt idx="303">
                  <c:v>119.679</c:v>
                </c:pt>
                <c:pt idx="304">
                  <c:v>0</c:v>
                </c:pt>
                <c:pt idx="305">
                  <c:v>0</c:v>
                </c:pt>
                <c:pt idx="306">
                  <c:v>0</c:v>
                </c:pt>
                <c:pt idx="307">
                  <c:v>99.134</c:v>
                </c:pt>
                <c:pt idx="308">
                  <c:v>635.98800000000006</c:v>
                </c:pt>
                <c:pt idx="309">
                  <c:v>636.19799999999998</c:v>
                </c:pt>
                <c:pt idx="310">
                  <c:v>574.51700000000005</c:v>
                </c:pt>
                <c:pt idx="311">
                  <c:v>239.85499999999999</c:v>
                </c:pt>
                <c:pt idx="312">
                  <c:v>556.27499999999998</c:v>
                </c:pt>
                <c:pt idx="313">
                  <c:v>175.16499999999999</c:v>
                </c:pt>
                <c:pt idx="314">
                  <c:v>0</c:v>
                </c:pt>
                <c:pt idx="315">
                  <c:v>0</c:v>
                </c:pt>
                <c:pt idx="316">
                  <c:v>0</c:v>
                </c:pt>
                <c:pt idx="317">
                  <c:v>0</c:v>
                </c:pt>
                <c:pt idx="318">
                  <c:v>0</c:v>
                </c:pt>
                <c:pt idx="319">
                  <c:v>5.2919999999999998</c:v>
                </c:pt>
                <c:pt idx="320">
                  <c:v>166.505</c:v>
                </c:pt>
                <c:pt idx="321">
                  <c:v>636.572</c:v>
                </c:pt>
                <c:pt idx="322">
                  <c:v>594.86699999999996</c:v>
                </c:pt>
                <c:pt idx="323">
                  <c:v>634.89099999999996</c:v>
                </c:pt>
                <c:pt idx="324">
                  <c:v>613.91999999999996</c:v>
                </c:pt>
                <c:pt idx="325">
                  <c:v>634.28300000000002</c:v>
                </c:pt>
                <c:pt idx="326">
                  <c:v>615.43899999999996</c:v>
                </c:pt>
                <c:pt idx="327">
                  <c:v>635.47900000000004</c:v>
                </c:pt>
                <c:pt idx="328">
                  <c:v>634.56600000000003</c:v>
                </c:pt>
                <c:pt idx="329">
                  <c:v>613.84500000000003</c:v>
                </c:pt>
                <c:pt idx="330">
                  <c:v>634.29</c:v>
                </c:pt>
                <c:pt idx="331">
                  <c:v>509.05</c:v>
                </c:pt>
                <c:pt idx="332">
                  <c:v>0</c:v>
                </c:pt>
                <c:pt idx="333">
                  <c:v>0</c:v>
                </c:pt>
                <c:pt idx="334">
                  <c:v>0</c:v>
                </c:pt>
                <c:pt idx="335">
                  <c:v>0</c:v>
                </c:pt>
                <c:pt idx="336">
                  <c:v>0</c:v>
                </c:pt>
                <c:pt idx="337">
                  <c:v>0</c:v>
                </c:pt>
                <c:pt idx="338">
                  <c:v>0.60199999999999998</c:v>
                </c:pt>
                <c:pt idx="339">
                  <c:v>444.041</c:v>
                </c:pt>
                <c:pt idx="340">
                  <c:v>600.74099999999999</c:v>
                </c:pt>
                <c:pt idx="341">
                  <c:v>613.16800000000001</c:v>
                </c:pt>
                <c:pt idx="342">
                  <c:v>634.07000000000005</c:v>
                </c:pt>
                <c:pt idx="343">
                  <c:v>614.08199999999999</c:v>
                </c:pt>
                <c:pt idx="344">
                  <c:v>634.75199999999995</c:v>
                </c:pt>
                <c:pt idx="345">
                  <c:v>634.65200000000004</c:v>
                </c:pt>
                <c:pt idx="346">
                  <c:v>572.40200000000004</c:v>
                </c:pt>
                <c:pt idx="347">
                  <c:v>634.83100000000002</c:v>
                </c:pt>
                <c:pt idx="348">
                  <c:v>615.18200000000002</c:v>
                </c:pt>
                <c:pt idx="349">
                  <c:v>635.60299999999995</c:v>
                </c:pt>
                <c:pt idx="350">
                  <c:v>614.55799999999999</c:v>
                </c:pt>
                <c:pt idx="351">
                  <c:v>568.94899999999996</c:v>
                </c:pt>
                <c:pt idx="352">
                  <c:v>0</c:v>
                </c:pt>
                <c:pt idx="353">
                  <c:v>0</c:v>
                </c:pt>
                <c:pt idx="354">
                  <c:v>30.632999999999999</c:v>
                </c:pt>
                <c:pt idx="355">
                  <c:v>614.58799999999997</c:v>
                </c:pt>
                <c:pt idx="356">
                  <c:v>631.60199999999998</c:v>
                </c:pt>
                <c:pt idx="357">
                  <c:v>579.49400000000003</c:v>
                </c:pt>
                <c:pt idx="358">
                  <c:v>574.21600000000001</c:v>
                </c:pt>
                <c:pt idx="359">
                  <c:v>217.68</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formatCode="General">
                  <c:v>0</c:v>
                </c:pt>
                <c:pt idx="374" formatCode="General">
                  <c:v>0</c:v>
                </c:pt>
                <c:pt idx="375" formatCode="General">
                  <c:v>0</c:v>
                </c:pt>
                <c:pt idx="376" formatCode="General">
                  <c:v>0</c:v>
                </c:pt>
                <c:pt idx="377" formatCode="General">
                  <c:v>0</c:v>
                </c:pt>
                <c:pt idx="378" formatCode="General">
                  <c:v>0</c:v>
                </c:pt>
                <c:pt idx="379" formatCode="General">
                  <c:v>0</c:v>
                </c:pt>
                <c:pt idx="380" formatCode="General">
                  <c:v>0</c:v>
                </c:pt>
                <c:pt idx="381" formatCode="General">
                  <c:v>0</c:v>
                </c:pt>
                <c:pt idx="382" formatCode="General">
                  <c:v>0</c:v>
                </c:pt>
                <c:pt idx="383" formatCode="General">
                  <c:v>0</c:v>
                </c:pt>
                <c:pt idx="384" formatCode="General">
                  <c:v>0</c:v>
                </c:pt>
                <c:pt idx="385" formatCode="General">
                  <c:v>0</c:v>
                </c:pt>
                <c:pt idx="386" formatCode="General">
                  <c:v>0</c:v>
                </c:pt>
                <c:pt idx="387" formatCode="General">
                  <c:v>0</c:v>
                </c:pt>
                <c:pt idx="388" formatCode="General">
                  <c:v>0</c:v>
                </c:pt>
                <c:pt idx="389" formatCode="General">
                  <c:v>0</c:v>
                </c:pt>
                <c:pt idx="390" formatCode="General">
                  <c:v>0</c:v>
                </c:pt>
                <c:pt idx="391" formatCode="General">
                  <c:v>0</c:v>
                </c:pt>
                <c:pt idx="392" formatCode="General">
                  <c:v>0</c:v>
                </c:pt>
                <c:pt idx="393" formatCode="General">
                  <c:v>0</c:v>
                </c:pt>
                <c:pt idx="394" formatCode="General">
                  <c:v>0</c:v>
                </c:pt>
                <c:pt idx="395" formatCode="General">
                  <c:v>0</c:v>
                </c:pt>
                <c:pt idx="396" formatCode="General">
                  <c:v>0</c:v>
                </c:pt>
                <c:pt idx="397" formatCode="General">
                  <c:v>0</c:v>
                </c:pt>
                <c:pt idx="398" formatCode="General">
                  <c:v>0</c:v>
                </c:pt>
                <c:pt idx="399" formatCode="General">
                  <c:v>0</c:v>
                </c:pt>
                <c:pt idx="400" formatCode="General">
                  <c:v>0</c:v>
                </c:pt>
                <c:pt idx="401" formatCode="General">
                  <c:v>0</c:v>
                </c:pt>
                <c:pt idx="402" formatCode="General">
                  <c:v>0</c:v>
                </c:pt>
                <c:pt idx="403" formatCode="General">
                  <c:v>0</c:v>
                </c:pt>
                <c:pt idx="404" formatCode="General">
                  <c:v>0</c:v>
                </c:pt>
                <c:pt idx="405" formatCode="General">
                  <c:v>0</c:v>
                </c:pt>
                <c:pt idx="406" formatCode="General">
                  <c:v>0</c:v>
                </c:pt>
                <c:pt idx="407" formatCode="General">
                  <c:v>0</c:v>
                </c:pt>
                <c:pt idx="408" formatCode="General">
                  <c:v>0</c:v>
                </c:pt>
                <c:pt idx="409" formatCode="General">
                  <c:v>0</c:v>
                </c:pt>
                <c:pt idx="410" formatCode="General">
                  <c:v>0</c:v>
                </c:pt>
                <c:pt idx="411" formatCode="General">
                  <c:v>0</c:v>
                </c:pt>
                <c:pt idx="412" formatCode="General">
                  <c:v>0</c:v>
                </c:pt>
                <c:pt idx="413" formatCode="General">
                  <c:v>0</c:v>
                </c:pt>
                <c:pt idx="414" formatCode="General">
                  <c:v>0</c:v>
                </c:pt>
                <c:pt idx="415" formatCode="General">
                  <c:v>0</c:v>
                </c:pt>
                <c:pt idx="416" formatCode="General">
                  <c:v>0</c:v>
                </c:pt>
                <c:pt idx="417" formatCode="General">
                  <c:v>0</c:v>
                </c:pt>
                <c:pt idx="418" formatCode="General">
                  <c:v>0</c:v>
                </c:pt>
                <c:pt idx="419" formatCode="General">
                  <c:v>0</c:v>
                </c:pt>
                <c:pt idx="420" formatCode="General">
                  <c:v>0</c:v>
                </c:pt>
                <c:pt idx="421" formatCode="General">
                  <c:v>0</c:v>
                </c:pt>
                <c:pt idx="422" formatCode="General">
                  <c:v>0</c:v>
                </c:pt>
                <c:pt idx="423" formatCode="General">
                  <c:v>0</c:v>
                </c:pt>
                <c:pt idx="424" formatCode="General">
                  <c:v>0</c:v>
                </c:pt>
                <c:pt idx="425" formatCode="General">
                  <c:v>0</c:v>
                </c:pt>
                <c:pt idx="426" formatCode="General">
                  <c:v>0</c:v>
                </c:pt>
                <c:pt idx="427" formatCode="General">
                  <c:v>0</c:v>
                </c:pt>
                <c:pt idx="428" formatCode="General">
                  <c:v>0</c:v>
                </c:pt>
                <c:pt idx="429" formatCode="General">
                  <c:v>0</c:v>
                </c:pt>
                <c:pt idx="430" formatCode="General">
                  <c:v>0</c:v>
                </c:pt>
                <c:pt idx="431" formatCode="General">
                  <c:v>0</c:v>
                </c:pt>
                <c:pt idx="432" formatCode="General">
                  <c:v>0</c:v>
                </c:pt>
                <c:pt idx="433" formatCode="General">
                  <c:v>0</c:v>
                </c:pt>
                <c:pt idx="434" formatCode="General">
                  <c:v>0</c:v>
                </c:pt>
                <c:pt idx="435" formatCode="General">
                  <c:v>0</c:v>
                </c:pt>
                <c:pt idx="436" formatCode="General">
                  <c:v>0</c:v>
                </c:pt>
                <c:pt idx="437" formatCode="General">
                  <c:v>0</c:v>
                </c:pt>
                <c:pt idx="438" formatCode="General">
                  <c:v>0</c:v>
                </c:pt>
                <c:pt idx="439" formatCode="General">
                  <c:v>0</c:v>
                </c:pt>
                <c:pt idx="440" formatCode="General">
                  <c:v>0</c:v>
                </c:pt>
                <c:pt idx="441" formatCode="General">
                  <c:v>0</c:v>
                </c:pt>
                <c:pt idx="442" formatCode="General">
                  <c:v>0</c:v>
                </c:pt>
                <c:pt idx="443" formatCode="General">
                  <c:v>0</c:v>
                </c:pt>
                <c:pt idx="444" formatCode="General">
                  <c:v>0</c:v>
                </c:pt>
                <c:pt idx="445" formatCode="General">
                  <c:v>0</c:v>
                </c:pt>
                <c:pt idx="446" formatCode="General">
                  <c:v>0</c:v>
                </c:pt>
                <c:pt idx="447" formatCode="General">
                  <c:v>0</c:v>
                </c:pt>
                <c:pt idx="448" formatCode="General">
                  <c:v>0</c:v>
                </c:pt>
                <c:pt idx="449" formatCode="General">
                  <c:v>0</c:v>
                </c:pt>
                <c:pt idx="450" formatCode="General">
                  <c:v>0</c:v>
                </c:pt>
                <c:pt idx="451" formatCode="General">
                  <c:v>0</c:v>
                </c:pt>
                <c:pt idx="452" formatCode="General">
                  <c:v>0</c:v>
                </c:pt>
                <c:pt idx="453" formatCode="General">
                  <c:v>0</c:v>
                </c:pt>
                <c:pt idx="454" formatCode="General">
                  <c:v>0</c:v>
                </c:pt>
                <c:pt idx="455" formatCode="General">
                  <c:v>0</c:v>
                </c:pt>
                <c:pt idx="456" formatCode="General">
                  <c:v>0</c:v>
                </c:pt>
                <c:pt idx="457" formatCode="General">
                  <c:v>0</c:v>
                </c:pt>
                <c:pt idx="458" formatCode="General">
                  <c:v>0</c:v>
                </c:pt>
                <c:pt idx="459" formatCode="General">
                  <c:v>0</c:v>
                </c:pt>
                <c:pt idx="460" formatCode="General">
                  <c:v>0</c:v>
                </c:pt>
                <c:pt idx="461" formatCode="General">
                  <c:v>0</c:v>
                </c:pt>
                <c:pt idx="462" formatCode="General">
                  <c:v>0</c:v>
                </c:pt>
                <c:pt idx="463" formatCode="General">
                  <c:v>0</c:v>
                </c:pt>
                <c:pt idx="464" formatCode="General">
                  <c:v>0</c:v>
                </c:pt>
                <c:pt idx="465" formatCode="General">
                  <c:v>0</c:v>
                </c:pt>
                <c:pt idx="466" formatCode="General">
                  <c:v>0</c:v>
                </c:pt>
                <c:pt idx="467" formatCode="General">
                  <c:v>0</c:v>
                </c:pt>
                <c:pt idx="468" formatCode="General">
                  <c:v>0</c:v>
                </c:pt>
                <c:pt idx="469" formatCode="General">
                  <c:v>0</c:v>
                </c:pt>
                <c:pt idx="470" formatCode="General">
                  <c:v>0</c:v>
                </c:pt>
                <c:pt idx="471" formatCode="General">
                  <c:v>0</c:v>
                </c:pt>
                <c:pt idx="472" formatCode="General">
                  <c:v>0</c:v>
                </c:pt>
                <c:pt idx="473" formatCode="General">
                  <c:v>0</c:v>
                </c:pt>
                <c:pt idx="474" formatCode="General">
                  <c:v>0</c:v>
                </c:pt>
                <c:pt idx="475" formatCode="General">
                  <c:v>0</c:v>
                </c:pt>
                <c:pt idx="476" formatCode="General">
                  <c:v>0</c:v>
                </c:pt>
                <c:pt idx="477" formatCode="General">
                  <c:v>0</c:v>
                </c:pt>
                <c:pt idx="478" formatCode="General">
                  <c:v>0</c:v>
                </c:pt>
                <c:pt idx="479" formatCode="General">
                  <c:v>0</c:v>
                </c:pt>
                <c:pt idx="480" formatCode="General">
                  <c:v>0</c:v>
                </c:pt>
              </c:numCache>
            </c:numRef>
          </c:val>
        </c:ser>
        <c:dLbls>
          <c:showLegendKey val="0"/>
          <c:showVal val="0"/>
          <c:showCatName val="0"/>
          <c:showSerName val="0"/>
          <c:showPercent val="0"/>
          <c:showBubbleSize val="0"/>
        </c:dLbls>
        <c:axId val="244114176"/>
        <c:axId val="244115712"/>
      </c:areaChart>
      <c:dateAx>
        <c:axId val="244114176"/>
        <c:scaling>
          <c:orientation val="minMax"/>
        </c:scaling>
        <c:delete val="0"/>
        <c:axPos val="b"/>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numFmt formatCode="[$-411]ge\.m"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44115712"/>
        <c:crosses val="autoZero"/>
        <c:auto val="0"/>
        <c:lblOffset val="100"/>
        <c:baseTimeUnit val="months"/>
      </c:dateAx>
      <c:valAx>
        <c:axId val="244115712"/>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44114176"/>
        <c:crosses val="autoZero"/>
        <c:crossBetween val="midCat"/>
      </c:valAx>
      <c:spPr>
        <a:noFill/>
        <a:ln w="12700">
          <a:solidFill>
            <a:srgbClr val="808080"/>
          </a:solidFill>
          <a:prstDash val="solid"/>
        </a:ln>
      </c:spPr>
    </c:plotArea>
    <c:legend>
      <c:legendPos val="b"/>
      <c:layout>
        <c:manualLayout>
          <c:xMode val="edge"/>
          <c:yMode val="edge"/>
          <c:x val="0.14297731696067545"/>
          <c:y val="0.15885451818522683"/>
          <c:w val="0.19428098674426925"/>
          <c:h val="6.5104451229310634E-2"/>
        </c:manualLayout>
      </c:layout>
      <c:overlay val="0"/>
      <c:spPr>
        <a:solidFill>
          <a:srgbClr val="FFFFFF"/>
        </a:solidFill>
        <a:ln w="25400">
          <a:noFill/>
        </a:ln>
      </c:spPr>
      <c:txPr>
        <a:bodyPr/>
        <a:lstStyle/>
        <a:p>
          <a:pPr>
            <a:defRPr sz="1010" b="0" i="0" u="none" strike="noStrike" baseline="0">
              <a:solidFill>
                <a:srgbClr val="000000"/>
              </a:solidFill>
              <a:latin typeface="Meiryo UI"/>
              <a:ea typeface="Meiryo UI"/>
              <a:cs typeface="Meiryo UI"/>
            </a:defRPr>
          </a:pPr>
          <a:endParaRPr lang="ja-JP"/>
        </a:p>
      </c:txPr>
    </c:legend>
    <c:plotVisOnly val="1"/>
    <c:dispBlanksAs val="zero"/>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Meiryo UI"/>
                <a:ea typeface="Meiryo UI"/>
                <a:cs typeface="Meiryo UI"/>
              </a:defRPr>
            </a:pPr>
            <a:r>
              <a:rPr lang="ja-JP" altLang="en-US" sz="1400"/>
              <a:t>排水中推定</a:t>
            </a:r>
            <a:r>
              <a:rPr lang="en-US" altLang="en-US" sz="1400"/>
              <a:t>H-3</a:t>
            </a:r>
            <a:r>
              <a:rPr lang="ja-JP" altLang="en-US" sz="1400"/>
              <a:t>濃度の推移</a:t>
            </a:r>
          </a:p>
        </c:rich>
      </c:tx>
      <c:layout>
        <c:manualLayout>
          <c:xMode val="edge"/>
          <c:yMode val="edge"/>
          <c:x val="0.10877418755679971"/>
          <c:y val="0.50566929133858274"/>
        </c:manualLayout>
      </c:layout>
      <c:overlay val="0"/>
      <c:spPr>
        <a:solidFill>
          <a:srgbClr val="FFFFFF"/>
        </a:solidFill>
        <a:ln w="25400">
          <a:noFill/>
        </a:ln>
      </c:spPr>
    </c:title>
    <c:autoTitleDeleted val="0"/>
    <c:plotArea>
      <c:layout>
        <c:manualLayout>
          <c:layoutTarget val="inner"/>
          <c:xMode val="edge"/>
          <c:yMode val="edge"/>
          <c:x val="4.7058823529411764E-2"/>
          <c:y val="3.9801091712073695E-2"/>
          <c:w val="0.9403361344537815"/>
          <c:h val="0.8184099483295153"/>
        </c:manualLayout>
      </c:layout>
      <c:lineChart>
        <c:grouping val="standard"/>
        <c:varyColors val="0"/>
        <c:ser>
          <c:idx val="0"/>
          <c:order val="0"/>
          <c:tx>
            <c:strRef>
              <c:f>女発放廃!$AP$3</c:f>
              <c:strCache>
                <c:ptCount val="1"/>
                <c:pt idx="0">
                  <c:v>１号機</c:v>
                </c:pt>
              </c:strCache>
            </c:strRef>
          </c:tx>
          <c:spPr>
            <a:ln w="12700">
              <a:solidFill>
                <a:srgbClr val="3333CC"/>
              </a:solidFill>
              <a:prstDash val="solid"/>
            </a:ln>
          </c:spPr>
          <c:marker>
            <c:symbol val="circle"/>
            <c:size val="7"/>
            <c:spPr>
              <a:solidFill>
                <a:srgbClr val="FFFFFF"/>
              </a:solidFill>
              <a:ln>
                <a:solidFill>
                  <a:srgbClr val="3333CC"/>
                </a:solidFill>
                <a:prstDash val="solid"/>
              </a:ln>
            </c:spPr>
          </c:marker>
          <c:cat>
            <c:numRef>
              <c:f>女発放廃!$AF$34:$AF$484</c:f>
              <c:numCache>
                <c:formatCode>[$-411]ge\.m</c:formatCode>
                <c:ptCount val="451"/>
                <c:pt idx="0">
                  <c:v>30590</c:v>
                </c:pt>
                <c:pt idx="1">
                  <c:v>30621</c:v>
                </c:pt>
                <c:pt idx="2">
                  <c:v>30651</c:v>
                </c:pt>
                <c:pt idx="3">
                  <c:v>30682</c:v>
                </c:pt>
                <c:pt idx="4">
                  <c:v>30713</c:v>
                </c:pt>
                <c:pt idx="5">
                  <c:v>30742</c:v>
                </c:pt>
                <c:pt idx="6">
                  <c:v>30773</c:v>
                </c:pt>
                <c:pt idx="7">
                  <c:v>30803</c:v>
                </c:pt>
                <c:pt idx="8">
                  <c:v>30834</c:v>
                </c:pt>
                <c:pt idx="9">
                  <c:v>30864</c:v>
                </c:pt>
                <c:pt idx="10">
                  <c:v>30895</c:v>
                </c:pt>
                <c:pt idx="11">
                  <c:v>30926</c:v>
                </c:pt>
                <c:pt idx="12">
                  <c:v>30956</c:v>
                </c:pt>
                <c:pt idx="13">
                  <c:v>30987</c:v>
                </c:pt>
                <c:pt idx="14">
                  <c:v>31017</c:v>
                </c:pt>
                <c:pt idx="15">
                  <c:v>31048</c:v>
                </c:pt>
                <c:pt idx="16">
                  <c:v>31079</c:v>
                </c:pt>
                <c:pt idx="17">
                  <c:v>31107</c:v>
                </c:pt>
                <c:pt idx="18">
                  <c:v>31138</c:v>
                </c:pt>
                <c:pt idx="19">
                  <c:v>31168</c:v>
                </c:pt>
                <c:pt idx="20">
                  <c:v>31199</c:v>
                </c:pt>
                <c:pt idx="21">
                  <c:v>31229</c:v>
                </c:pt>
                <c:pt idx="22">
                  <c:v>31260</c:v>
                </c:pt>
                <c:pt idx="23">
                  <c:v>31291</c:v>
                </c:pt>
                <c:pt idx="24">
                  <c:v>31321</c:v>
                </c:pt>
                <c:pt idx="25">
                  <c:v>31352</c:v>
                </c:pt>
                <c:pt idx="26">
                  <c:v>31382</c:v>
                </c:pt>
                <c:pt idx="27">
                  <c:v>31413</c:v>
                </c:pt>
                <c:pt idx="28">
                  <c:v>31444</c:v>
                </c:pt>
                <c:pt idx="29">
                  <c:v>31472</c:v>
                </c:pt>
                <c:pt idx="30">
                  <c:v>31503</c:v>
                </c:pt>
                <c:pt idx="31">
                  <c:v>31533</c:v>
                </c:pt>
                <c:pt idx="32">
                  <c:v>31564</c:v>
                </c:pt>
                <c:pt idx="33">
                  <c:v>31594</c:v>
                </c:pt>
                <c:pt idx="34">
                  <c:v>31625</c:v>
                </c:pt>
                <c:pt idx="35">
                  <c:v>31656</c:v>
                </c:pt>
                <c:pt idx="36">
                  <c:v>31686</c:v>
                </c:pt>
                <c:pt idx="37">
                  <c:v>31717</c:v>
                </c:pt>
                <c:pt idx="38">
                  <c:v>31747</c:v>
                </c:pt>
                <c:pt idx="39">
                  <c:v>31778</c:v>
                </c:pt>
                <c:pt idx="40">
                  <c:v>31809</c:v>
                </c:pt>
                <c:pt idx="41">
                  <c:v>31837</c:v>
                </c:pt>
                <c:pt idx="42">
                  <c:v>31868</c:v>
                </c:pt>
                <c:pt idx="43">
                  <c:v>31898</c:v>
                </c:pt>
                <c:pt idx="44">
                  <c:v>31929</c:v>
                </c:pt>
                <c:pt idx="45">
                  <c:v>31959</c:v>
                </c:pt>
                <c:pt idx="46">
                  <c:v>31990</c:v>
                </c:pt>
                <c:pt idx="47">
                  <c:v>32021</c:v>
                </c:pt>
                <c:pt idx="48">
                  <c:v>32051</c:v>
                </c:pt>
                <c:pt idx="49">
                  <c:v>32082</c:v>
                </c:pt>
                <c:pt idx="50">
                  <c:v>32112</c:v>
                </c:pt>
                <c:pt idx="51">
                  <c:v>32143</c:v>
                </c:pt>
                <c:pt idx="52">
                  <c:v>32174</c:v>
                </c:pt>
                <c:pt idx="53">
                  <c:v>32203</c:v>
                </c:pt>
                <c:pt idx="54">
                  <c:v>32234</c:v>
                </c:pt>
                <c:pt idx="55">
                  <c:v>32264</c:v>
                </c:pt>
                <c:pt idx="56">
                  <c:v>32295</c:v>
                </c:pt>
                <c:pt idx="57">
                  <c:v>32325</c:v>
                </c:pt>
                <c:pt idx="58">
                  <c:v>32356</c:v>
                </c:pt>
                <c:pt idx="59">
                  <c:v>32387</c:v>
                </c:pt>
                <c:pt idx="60">
                  <c:v>32417</c:v>
                </c:pt>
                <c:pt idx="61">
                  <c:v>32448</c:v>
                </c:pt>
                <c:pt idx="62">
                  <c:v>32478</c:v>
                </c:pt>
                <c:pt idx="63">
                  <c:v>32509</c:v>
                </c:pt>
                <c:pt idx="64">
                  <c:v>32540</c:v>
                </c:pt>
                <c:pt idx="65">
                  <c:v>32568</c:v>
                </c:pt>
                <c:pt idx="66">
                  <c:v>32599</c:v>
                </c:pt>
                <c:pt idx="67">
                  <c:v>32629</c:v>
                </c:pt>
                <c:pt idx="68">
                  <c:v>32660</c:v>
                </c:pt>
                <c:pt idx="69">
                  <c:v>32690</c:v>
                </c:pt>
                <c:pt idx="70">
                  <c:v>32721</c:v>
                </c:pt>
                <c:pt idx="71">
                  <c:v>32752</c:v>
                </c:pt>
                <c:pt idx="72">
                  <c:v>32782</c:v>
                </c:pt>
                <c:pt idx="73">
                  <c:v>32813</c:v>
                </c:pt>
                <c:pt idx="74">
                  <c:v>32843</c:v>
                </c:pt>
                <c:pt idx="75">
                  <c:v>32874</c:v>
                </c:pt>
                <c:pt idx="76">
                  <c:v>32905</c:v>
                </c:pt>
                <c:pt idx="77">
                  <c:v>32933</c:v>
                </c:pt>
                <c:pt idx="78">
                  <c:v>32964</c:v>
                </c:pt>
                <c:pt idx="79">
                  <c:v>32994</c:v>
                </c:pt>
                <c:pt idx="80">
                  <c:v>33025</c:v>
                </c:pt>
                <c:pt idx="81">
                  <c:v>33055</c:v>
                </c:pt>
                <c:pt idx="82">
                  <c:v>33086</c:v>
                </c:pt>
                <c:pt idx="83">
                  <c:v>33117</c:v>
                </c:pt>
                <c:pt idx="84">
                  <c:v>33147</c:v>
                </c:pt>
                <c:pt idx="85">
                  <c:v>33178</c:v>
                </c:pt>
                <c:pt idx="86">
                  <c:v>33208</c:v>
                </c:pt>
                <c:pt idx="87">
                  <c:v>33239</c:v>
                </c:pt>
                <c:pt idx="88">
                  <c:v>33270</c:v>
                </c:pt>
                <c:pt idx="89">
                  <c:v>33298</c:v>
                </c:pt>
                <c:pt idx="90">
                  <c:v>33329</c:v>
                </c:pt>
                <c:pt idx="91">
                  <c:v>33359</c:v>
                </c:pt>
                <c:pt idx="92">
                  <c:v>33390</c:v>
                </c:pt>
                <c:pt idx="93">
                  <c:v>33420</c:v>
                </c:pt>
                <c:pt idx="94">
                  <c:v>33451</c:v>
                </c:pt>
                <c:pt idx="95">
                  <c:v>33482</c:v>
                </c:pt>
                <c:pt idx="96">
                  <c:v>33512</c:v>
                </c:pt>
                <c:pt idx="97">
                  <c:v>33543</c:v>
                </c:pt>
                <c:pt idx="98">
                  <c:v>33573</c:v>
                </c:pt>
                <c:pt idx="99">
                  <c:v>33604</c:v>
                </c:pt>
                <c:pt idx="100">
                  <c:v>33635</c:v>
                </c:pt>
                <c:pt idx="101">
                  <c:v>33664</c:v>
                </c:pt>
                <c:pt idx="102">
                  <c:v>33695</c:v>
                </c:pt>
                <c:pt idx="103">
                  <c:v>33725</c:v>
                </c:pt>
                <c:pt idx="104">
                  <c:v>33756</c:v>
                </c:pt>
                <c:pt idx="105">
                  <c:v>33786</c:v>
                </c:pt>
                <c:pt idx="106">
                  <c:v>33817</c:v>
                </c:pt>
                <c:pt idx="107">
                  <c:v>33848</c:v>
                </c:pt>
                <c:pt idx="108">
                  <c:v>33878</c:v>
                </c:pt>
                <c:pt idx="109">
                  <c:v>33909</c:v>
                </c:pt>
                <c:pt idx="110">
                  <c:v>33939</c:v>
                </c:pt>
                <c:pt idx="111">
                  <c:v>33970</c:v>
                </c:pt>
                <c:pt idx="112">
                  <c:v>34001</c:v>
                </c:pt>
                <c:pt idx="113">
                  <c:v>34029</c:v>
                </c:pt>
                <c:pt idx="114">
                  <c:v>34060</c:v>
                </c:pt>
                <c:pt idx="115">
                  <c:v>34090</c:v>
                </c:pt>
                <c:pt idx="116">
                  <c:v>34121</c:v>
                </c:pt>
                <c:pt idx="117">
                  <c:v>34151</c:v>
                </c:pt>
                <c:pt idx="118">
                  <c:v>34182</c:v>
                </c:pt>
                <c:pt idx="119">
                  <c:v>34213</c:v>
                </c:pt>
                <c:pt idx="120">
                  <c:v>34243</c:v>
                </c:pt>
                <c:pt idx="121">
                  <c:v>34274</c:v>
                </c:pt>
                <c:pt idx="122">
                  <c:v>34304</c:v>
                </c:pt>
                <c:pt idx="123">
                  <c:v>34335</c:v>
                </c:pt>
                <c:pt idx="124">
                  <c:v>34366</c:v>
                </c:pt>
                <c:pt idx="125">
                  <c:v>34394</c:v>
                </c:pt>
                <c:pt idx="126">
                  <c:v>34425</c:v>
                </c:pt>
                <c:pt idx="127">
                  <c:v>34455</c:v>
                </c:pt>
                <c:pt idx="128">
                  <c:v>34486</c:v>
                </c:pt>
                <c:pt idx="129">
                  <c:v>34516</c:v>
                </c:pt>
                <c:pt idx="130">
                  <c:v>34547</c:v>
                </c:pt>
                <c:pt idx="131">
                  <c:v>34578</c:v>
                </c:pt>
                <c:pt idx="132">
                  <c:v>34608</c:v>
                </c:pt>
                <c:pt idx="133">
                  <c:v>34639</c:v>
                </c:pt>
                <c:pt idx="134">
                  <c:v>34669</c:v>
                </c:pt>
                <c:pt idx="135">
                  <c:v>34700</c:v>
                </c:pt>
                <c:pt idx="136">
                  <c:v>34731</c:v>
                </c:pt>
                <c:pt idx="137">
                  <c:v>34759</c:v>
                </c:pt>
                <c:pt idx="138">
                  <c:v>34790</c:v>
                </c:pt>
                <c:pt idx="139">
                  <c:v>34820</c:v>
                </c:pt>
                <c:pt idx="140">
                  <c:v>34851</c:v>
                </c:pt>
                <c:pt idx="141">
                  <c:v>34881</c:v>
                </c:pt>
                <c:pt idx="142">
                  <c:v>34912</c:v>
                </c:pt>
                <c:pt idx="143">
                  <c:v>34943</c:v>
                </c:pt>
                <c:pt idx="144">
                  <c:v>34973</c:v>
                </c:pt>
                <c:pt idx="145">
                  <c:v>35004</c:v>
                </c:pt>
                <c:pt idx="146">
                  <c:v>35034</c:v>
                </c:pt>
                <c:pt idx="147">
                  <c:v>35065</c:v>
                </c:pt>
                <c:pt idx="148">
                  <c:v>35096</c:v>
                </c:pt>
                <c:pt idx="149">
                  <c:v>35125</c:v>
                </c:pt>
                <c:pt idx="150">
                  <c:v>35156</c:v>
                </c:pt>
                <c:pt idx="151">
                  <c:v>35186</c:v>
                </c:pt>
                <c:pt idx="152">
                  <c:v>35217</c:v>
                </c:pt>
                <c:pt idx="153">
                  <c:v>35247</c:v>
                </c:pt>
                <c:pt idx="154">
                  <c:v>35278</c:v>
                </c:pt>
                <c:pt idx="155">
                  <c:v>35309</c:v>
                </c:pt>
                <c:pt idx="156">
                  <c:v>35339</c:v>
                </c:pt>
                <c:pt idx="157">
                  <c:v>35370</c:v>
                </c:pt>
                <c:pt idx="158">
                  <c:v>35400</c:v>
                </c:pt>
                <c:pt idx="159">
                  <c:v>35431</c:v>
                </c:pt>
                <c:pt idx="160">
                  <c:v>35462</c:v>
                </c:pt>
                <c:pt idx="161">
                  <c:v>35490</c:v>
                </c:pt>
                <c:pt idx="162">
                  <c:v>35521</c:v>
                </c:pt>
                <c:pt idx="163">
                  <c:v>35551</c:v>
                </c:pt>
                <c:pt idx="164">
                  <c:v>35582</c:v>
                </c:pt>
                <c:pt idx="165">
                  <c:v>35612</c:v>
                </c:pt>
                <c:pt idx="166">
                  <c:v>35643</c:v>
                </c:pt>
                <c:pt idx="167">
                  <c:v>35674</c:v>
                </c:pt>
                <c:pt idx="168">
                  <c:v>35704</c:v>
                </c:pt>
                <c:pt idx="169">
                  <c:v>35735</c:v>
                </c:pt>
                <c:pt idx="170">
                  <c:v>35765</c:v>
                </c:pt>
                <c:pt idx="171">
                  <c:v>35796</c:v>
                </c:pt>
                <c:pt idx="172">
                  <c:v>35827</c:v>
                </c:pt>
                <c:pt idx="173">
                  <c:v>35855</c:v>
                </c:pt>
                <c:pt idx="174">
                  <c:v>35886</c:v>
                </c:pt>
                <c:pt idx="175">
                  <c:v>35916</c:v>
                </c:pt>
                <c:pt idx="176">
                  <c:v>35947</c:v>
                </c:pt>
                <c:pt idx="177">
                  <c:v>35977</c:v>
                </c:pt>
                <c:pt idx="178">
                  <c:v>36008</c:v>
                </c:pt>
                <c:pt idx="179">
                  <c:v>36039</c:v>
                </c:pt>
                <c:pt idx="180">
                  <c:v>36069</c:v>
                </c:pt>
                <c:pt idx="181">
                  <c:v>36100</c:v>
                </c:pt>
                <c:pt idx="182">
                  <c:v>36130</c:v>
                </c:pt>
                <c:pt idx="183">
                  <c:v>36161</c:v>
                </c:pt>
                <c:pt idx="184">
                  <c:v>36192</c:v>
                </c:pt>
                <c:pt idx="185">
                  <c:v>36220</c:v>
                </c:pt>
                <c:pt idx="186">
                  <c:v>36251</c:v>
                </c:pt>
                <c:pt idx="187">
                  <c:v>36281</c:v>
                </c:pt>
                <c:pt idx="188">
                  <c:v>36312</c:v>
                </c:pt>
                <c:pt idx="189">
                  <c:v>36342</c:v>
                </c:pt>
                <c:pt idx="190">
                  <c:v>36373</c:v>
                </c:pt>
                <c:pt idx="191">
                  <c:v>36404</c:v>
                </c:pt>
                <c:pt idx="192">
                  <c:v>36434</c:v>
                </c:pt>
                <c:pt idx="193">
                  <c:v>36465</c:v>
                </c:pt>
                <c:pt idx="194">
                  <c:v>36495</c:v>
                </c:pt>
                <c:pt idx="195">
                  <c:v>36526</c:v>
                </c:pt>
                <c:pt idx="196">
                  <c:v>36557</c:v>
                </c:pt>
                <c:pt idx="197">
                  <c:v>36586</c:v>
                </c:pt>
                <c:pt idx="198">
                  <c:v>36617</c:v>
                </c:pt>
                <c:pt idx="199">
                  <c:v>36647</c:v>
                </c:pt>
                <c:pt idx="200">
                  <c:v>36678</c:v>
                </c:pt>
                <c:pt idx="201">
                  <c:v>36708</c:v>
                </c:pt>
                <c:pt idx="202">
                  <c:v>36739</c:v>
                </c:pt>
                <c:pt idx="203">
                  <c:v>36770</c:v>
                </c:pt>
                <c:pt idx="204">
                  <c:v>36800</c:v>
                </c:pt>
                <c:pt idx="205">
                  <c:v>36831</c:v>
                </c:pt>
                <c:pt idx="206">
                  <c:v>36861</c:v>
                </c:pt>
                <c:pt idx="207">
                  <c:v>36892</c:v>
                </c:pt>
                <c:pt idx="208">
                  <c:v>36923</c:v>
                </c:pt>
                <c:pt idx="209">
                  <c:v>36951</c:v>
                </c:pt>
                <c:pt idx="210">
                  <c:v>36982</c:v>
                </c:pt>
                <c:pt idx="211">
                  <c:v>37012</c:v>
                </c:pt>
                <c:pt idx="212">
                  <c:v>37043</c:v>
                </c:pt>
                <c:pt idx="213">
                  <c:v>37073</c:v>
                </c:pt>
                <c:pt idx="214">
                  <c:v>37104</c:v>
                </c:pt>
                <c:pt idx="215">
                  <c:v>37135</c:v>
                </c:pt>
                <c:pt idx="216">
                  <c:v>37165</c:v>
                </c:pt>
                <c:pt idx="217">
                  <c:v>37196</c:v>
                </c:pt>
                <c:pt idx="218">
                  <c:v>37226</c:v>
                </c:pt>
                <c:pt idx="219">
                  <c:v>37257</c:v>
                </c:pt>
                <c:pt idx="220">
                  <c:v>37288</c:v>
                </c:pt>
                <c:pt idx="221">
                  <c:v>37316</c:v>
                </c:pt>
                <c:pt idx="222">
                  <c:v>37347</c:v>
                </c:pt>
                <c:pt idx="223">
                  <c:v>37377</c:v>
                </c:pt>
                <c:pt idx="224">
                  <c:v>37408</c:v>
                </c:pt>
                <c:pt idx="225">
                  <c:v>37438</c:v>
                </c:pt>
                <c:pt idx="226">
                  <c:v>37469</c:v>
                </c:pt>
                <c:pt idx="227">
                  <c:v>37500</c:v>
                </c:pt>
                <c:pt idx="228">
                  <c:v>37530</c:v>
                </c:pt>
                <c:pt idx="229">
                  <c:v>37561</c:v>
                </c:pt>
                <c:pt idx="230">
                  <c:v>37591</c:v>
                </c:pt>
                <c:pt idx="231">
                  <c:v>37622</c:v>
                </c:pt>
                <c:pt idx="232">
                  <c:v>37653</c:v>
                </c:pt>
                <c:pt idx="233">
                  <c:v>37681</c:v>
                </c:pt>
                <c:pt idx="234">
                  <c:v>37712</c:v>
                </c:pt>
                <c:pt idx="235">
                  <c:v>37742</c:v>
                </c:pt>
                <c:pt idx="236">
                  <c:v>37773</c:v>
                </c:pt>
                <c:pt idx="237">
                  <c:v>37803</c:v>
                </c:pt>
                <c:pt idx="238">
                  <c:v>37834</c:v>
                </c:pt>
                <c:pt idx="239">
                  <c:v>37865</c:v>
                </c:pt>
                <c:pt idx="240">
                  <c:v>37895</c:v>
                </c:pt>
                <c:pt idx="241">
                  <c:v>37926</c:v>
                </c:pt>
                <c:pt idx="242">
                  <c:v>37956</c:v>
                </c:pt>
                <c:pt idx="243">
                  <c:v>37987</c:v>
                </c:pt>
                <c:pt idx="244">
                  <c:v>38018</c:v>
                </c:pt>
                <c:pt idx="245">
                  <c:v>38047</c:v>
                </c:pt>
                <c:pt idx="246">
                  <c:v>38078</c:v>
                </c:pt>
                <c:pt idx="247">
                  <c:v>38108</c:v>
                </c:pt>
                <c:pt idx="248">
                  <c:v>38139</c:v>
                </c:pt>
                <c:pt idx="249">
                  <c:v>38169</c:v>
                </c:pt>
                <c:pt idx="250">
                  <c:v>38200</c:v>
                </c:pt>
                <c:pt idx="251">
                  <c:v>38231</c:v>
                </c:pt>
                <c:pt idx="252">
                  <c:v>38261</c:v>
                </c:pt>
                <c:pt idx="253">
                  <c:v>38292</c:v>
                </c:pt>
                <c:pt idx="254">
                  <c:v>38322</c:v>
                </c:pt>
                <c:pt idx="255">
                  <c:v>38353</c:v>
                </c:pt>
                <c:pt idx="256">
                  <c:v>38384</c:v>
                </c:pt>
                <c:pt idx="257">
                  <c:v>38412</c:v>
                </c:pt>
                <c:pt idx="258">
                  <c:v>38443</c:v>
                </c:pt>
                <c:pt idx="259">
                  <c:v>38473</c:v>
                </c:pt>
                <c:pt idx="260">
                  <c:v>38504</c:v>
                </c:pt>
                <c:pt idx="261">
                  <c:v>38534</c:v>
                </c:pt>
                <c:pt idx="262">
                  <c:v>38565</c:v>
                </c:pt>
                <c:pt idx="263">
                  <c:v>38596</c:v>
                </c:pt>
                <c:pt idx="264">
                  <c:v>38626</c:v>
                </c:pt>
                <c:pt idx="265">
                  <c:v>38657</c:v>
                </c:pt>
                <c:pt idx="266">
                  <c:v>38687</c:v>
                </c:pt>
                <c:pt idx="267">
                  <c:v>38718</c:v>
                </c:pt>
                <c:pt idx="268">
                  <c:v>38749</c:v>
                </c:pt>
                <c:pt idx="269">
                  <c:v>38777</c:v>
                </c:pt>
                <c:pt idx="270">
                  <c:v>38808</c:v>
                </c:pt>
                <c:pt idx="271">
                  <c:v>38838</c:v>
                </c:pt>
                <c:pt idx="272">
                  <c:v>38869</c:v>
                </c:pt>
                <c:pt idx="273">
                  <c:v>38899</c:v>
                </c:pt>
                <c:pt idx="274">
                  <c:v>38930</c:v>
                </c:pt>
                <c:pt idx="275">
                  <c:v>38961</c:v>
                </c:pt>
                <c:pt idx="276">
                  <c:v>38991</c:v>
                </c:pt>
                <c:pt idx="277">
                  <c:v>39022</c:v>
                </c:pt>
                <c:pt idx="278">
                  <c:v>39052</c:v>
                </c:pt>
                <c:pt idx="279">
                  <c:v>39083</c:v>
                </c:pt>
                <c:pt idx="280">
                  <c:v>39114</c:v>
                </c:pt>
                <c:pt idx="281">
                  <c:v>39142</c:v>
                </c:pt>
                <c:pt idx="282">
                  <c:v>39173</c:v>
                </c:pt>
                <c:pt idx="283">
                  <c:v>39203</c:v>
                </c:pt>
                <c:pt idx="284">
                  <c:v>39234</c:v>
                </c:pt>
                <c:pt idx="285">
                  <c:v>39264</c:v>
                </c:pt>
                <c:pt idx="286">
                  <c:v>39295</c:v>
                </c:pt>
                <c:pt idx="287">
                  <c:v>39326</c:v>
                </c:pt>
                <c:pt idx="288">
                  <c:v>39356</c:v>
                </c:pt>
                <c:pt idx="289">
                  <c:v>39387</c:v>
                </c:pt>
                <c:pt idx="290">
                  <c:v>39417</c:v>
                </c:pt>
                <c:pt idx="291">
                  <c:v>39448</c:v>
                </c:pt>
                <c:pt idx="292">
                  <c:v>39479</c:v>
                </c:pt>
                <c:pt idx="293">
                  <c:v>39508</c:v>
                </c:pt>
                <c:pt idx="294">
                  <c:v>39539</c:v>
                </c:pt>
                <c:pt idx="295">
                  <c:v>39569</c:v>
                </c:pt>
                <c:pt idx="296">
                  <c:v>39600</c:v>
                </c:pt>
                <c:pt idx="297">
                  <c:v>39630</c:v>
                </c:pt>
                <c:pt idx="298">
                  <c:v>39661</c:v>
                </c:pt>
                <c:pt idx="299">
                  <c:v>39692</c:v>
                </c:pt>
                <c:pt idx="300">
                  <c:v>39722</c:v>
                </c:pt>
                <c:pt idx="301">
                  <c:v>39753</c:v>
                </c:pt>
                <c:pt idx="302">
                  <c:v>39783</c:v>
                </c:pt>
                <c:pt idx="303">
                  <c:v>39814</c:v>
                </c:pt>
                <c:pt idx="304">
                  <c:v>39845</c:v>
                </c:pt>
                <c:pt idx="305">
                  <c:v>39873</c:v>
                </c:pt>
                <c:pt idx="306">
                  <c:v>39904</c:v>
                </c:pt>
                <c:pt idx="307">
                  <c:v>39934</c:v>
                </c:pt>
                <c:pt idx="308">
                  <c:v>39965</c:v>
                </c:pt>
                <c:pt idx="309">
                  <c:v>39995</c:v>
                </c:pt>
                <c:pt idx="310">
                  <c:v>40026</c:v>
                </c:pt>
                <c:pt idx="311">
                  <c:v>40057</c:v>
                </c:pt>
                <c:pt idx="312">
                  <c:v>40087</c:v>
                </c:pt>
                <c:pt idx="313">
                  <c:v>40118</c:v>
                </c:pt>
                <c:pt idx="314">
                  <c:v>40148</c:v>
                </c:pt>
                <c:pt idx="315">
                  <c:v>40179</c:v>
                </c:pt>
                <c:pt idx="316">
                  <c:v>40210</c:v>
                </c:pt>
                <c:pt idx="317">
                  <c:v>40238</c:v>
                </c:pt>
                <c:pt idx="318">
                  <c:v>40269</c:v>
                </c:pt>
                <c:pt idx="319">
                  <c:v>40299</c:v>
                </c:pt>
                <c:pt idx="320">
                  <c:v>40330</c:v>
                </c:pt>
                <c:pt idx="321">
                  <c:v>40360</c:v>
                </c:pt>
                <c:pt idx="322">
                  <c:v>40391</c:v>
                </c:pt>
                <c:pt idx="323">
                  <c:v>40422</c:v>
                </c:pt>
                <c:pt idx="324">
                  <c:v>40452</c:v>
                </c:pt>
                <c:pt idx="325">
                  <c:v>40483</c:v>
                </c:pt>
                <c:pt idx="326">
                  <c:v>40513</c:v>
                </c:pt>
                <c:pt idx="327">
                  <c:v>40544</c:v>
                </c:pt>
                <c:pt idx="328">
                  <c:v>40575</c:v>
                </c:pt>
                <c:pt idx="329">
                  <c:v>40603</c:v>
                </c:pt>
                <c:pt idx="330">
                  <c:v>40634</c:v>
                </c:pt>
                <c:pt idx="331">
                  <c:v>40664</c:v>
                </c:pt>
                <c:pt idx="332">
                  <c:v>40695</c:v>
                </c:pt>
                <c:pt idx="333">
                  <c:v>40725</c:v>
                </c:pt>
                <c:pt idx="334">
                  <c:v>40756</c:v>
                </c:pt>
                <c:pt idx="335">
                  <c:v>40787</c:v>
                </c:pt>
                <c:pt idx="336">
                  <c:v>40817</c:v>
                </c:pt>
                <c:pt idx="337">
                  <c:v>40848</c:v>
                </c:pt>
                <c:pt idx="338">
                  <c:v>40878</c:v>
                </c:pt>
                <c:pt idx="339">
                  <c:v>40909</c:v>
                </c:pt>
                <c:pt idx="340">
                  <c:v>40940</c:v>
                </c:pt>
                <c:pt idx="341">
                  <c:v>40969</c:v>
                </c:pt>
                <c:pt idx="342">
                  <c:v>41000</c:v>
                </c:pt>
                <c:pt idx="343">
                  <c:v>41030</c:v>
                </c:pt>
                <c:pt idx="344">
                  <c:v>41061</c:v>
                </c:pt>
                <c:pt idx="345">
                  <c:v>41091</c:v>
                </c:pt>
                <c:pt idx="346">
                  <c:v>41122</c:v>
                </c:pt>
                <c:pt idx="347">
                  <c:v>41153</c:v>
                </c:pt>
                <c:pt idx="348">
                  <c:v>41183</c:v>
                </c:pt>
                <c:pt idx="349">
                  <c:v>41214</c:v>
                </c:pt>
                <c:pt idx="350">
                  <c:v>41244</c:v>
                </c:pt>
                <c:pt idx="351">
                  <c:v>41275</c:v>
                </c:pt>
                <c:pt idx="352">
                  <c:v>41306</c:v>
                </c:pt>
                <c:pt idx="353">
                  <c:v>41334</c:v>
                </c:pt>
                <c:pt idx="354">
                  <c:v>41365</c:v>
                </c:pt>
                <c:pt idx="355">
                  <c:v>41395</c:v>
                </c:pt>
                <c:pt idx="356">
                  <c:v>41426</c:v>
                </c:pt>
                <c:pt idx="357">
                  <c:v>41456</c:v>
                </c:pt>
                <c:pt idx="358">
                  <c:v>41487</c:v>
                </c:pt>
                <c:pt idx="359">
                  <c:v>41518</c:v>
                </c:pt>
                <c:pt idx="360">
                  <c:v>41548</c:v>
                </c:pt>
                <c:pt idx="361">
                  <c:v>41579</c:v>
                </c:pt>
                <c:pt idx="362">
                  <c:v>41609</c:v>
                </c:pt>
                <c:pt idx="363">
                  <c:v>41640</c:v>
                </c:pt>
                <c:pt idx="364">
                  <c:v>41671</c:v>
                </c:pt>
                <c:pt idx="365">
                  <c:v>41699</c:v>
                </c:pt>
                <c:pt idx="366">
                  <c:v>41730</c:v>
                </c:pt>
                <c:pt idx="367">
                  <c:v>41760</c:v>
                </c:pt>
                <c:pt idx="368">
                  <c:v>41791</c:v>
                </c:pt>
                <c:pt idx="369">
                  <c:v>41821</c:v>
                </c:pt>
                <c:pt idx="370">
                  <c:v>41852</c:v>
                </c:pt>
                <c:pt idx="371">
                  <c:v>41883</c:v>
                </c:pt>
                <c:pt idx="372">
                  <c:v>41913</c:v>
                </c:pt>
                <c:pt idx="373">
                  <c:v>41944</c:v>
                </c:pt>
                <c:pt idx="374">
                  <c:v>41974</c:v>
                </c:pt>
                <c:pt idx="375">
                  <c:v>42005</c:v>
                </c:pt>
                <c:pt idx="376">
                  <c:v>42036</c:v>
                </c:pt>
                <c:pt idx="377">
                  <c:v>42064</c:v>
                </c:pt>
                <c:pt idx="378">
                  <c:v>42095</c:v>
                </c:pt>
                <c:pt idx="379">
                  <c:v>42125</c:v>
                </c:pt>
                <c:pt idx="380">
                  <c:v>42156</c:v>
                </c:pt>
                <c:pt idx="381">
                  <c:v>42186</c:v>
                </c:pt>
                <c:pt idx="382">
                  <c:v>42217</c:v>
                </c:pt>
                <c:pt idx="383">
                  <c:v>42248</c:v>
                </c:pt>
                <c:pt idx="384">
                  <c:v>42278</c:v>
                </c:pt>
                <c:pt idx="385">
                  <c:v>42309</c:v>
                </c:pt>
                <c:pt idx="386">
                  <c:v>42339</c:v>
                </c:pt>
                <c:pt idx="387">
                  <c:v>42370</c:v>
                </c:pt>
                <c:pt idx="388">
                  <c:v>42401</c:v>
                </c:pt>
                <c:pt idx="389">
                  <c:v>42430</c:v>
                </c:pt>
                <c:pt idx="390">
                  <c:v>42461</c:v>
                </c:pt>
                <c:pt idx="391">
                  <c:v>42491</c:v>
                </c:pt>
                <c:pt idx="392">
                  <c:v>42522</c:v>
                </c:pt>
                <c:pt idx="393">
                  <c:v>42552</c:v>
                </c:pt>
                <c:pt idx="394">
                  <c:v>42583</c:v>
                </c:pt>
                <c:pt idx="395">
                  <c:v>42614</c:v>
                </c:pt>
                <c:pt idx="396">
                  <c:v>42644</c:v>
                </c:pt>
                <c:pt idx="397">
                  <c:v>42675</c:v>
                </c:pt>
                <c:pt idx="398">
                  <c:v>42705</c:v>
                </c:pt>
                <c:pt idx="399">
                  <c:v>42736</c:v>
                </c:pt>
                <c:pt idx="400">
                  <c:v>42767</c:v>
                </c:pt>
                <c:pt idx="401">
                  <c:v>42795</c:v>
                </c:pt>
                <c:pt idx="402">
                  <c:v>42826</c:v>
                </c:pt>
                <c:pt idx="403">
                  <c:v>42856</c:v>
                </c:pt>
                <c:pt idx="404">
                  <c:v>42887</c:v>
                </c:pt>
                <c:pt idx="405">
                  <c:v>42917</c:v>
                </c:pt>
                <c:pt idx="406">
                  <c:v>42948</c:v>
                </c:pt>
                <c:pt idx="407">
                  <c:v>42979</c:v>
                </c:pt>
                <c:pt idx="408">
                  <c:v>43009</c:v>
                </c:pt>
                <c:pt idx="409">
                  <c:v>43040</c:v>
                </c:pt>
                <c:pt idx="410">
                  <c:v>43070</c:v>
                </c:pt>
                <c:pt idx="411">
                  <c:v>43101</c:v>
                </c:pt>
                <c:pt idx="412">
                  <c:v>43132</c:v>
                </c:pt>
                <c:pt idx="413">
                  <c:v>43160</c:v>
                </c:pt>
                <c:pt idx="414">
                  <c:v>43191</c:v>
                </c:pt>
                <c:pt idx="415">
                  <c:v>43221</c:v>
                </c:pt>
                <c:pt idx="416">
                  <c:v>43252</c:v>
                </c:pt>
                <c:pt idx="417">
                  <c:v>43282</c:v>
                </c:pt>
                <c:pt idx="418">
                  <c:v>43313</c:v>
                </c:pt>
                <c:pt idx="419">
                  <c:v>43344</c:v>
                </c:pt>
                <c:pt idx="420">
                  <c:v>43374</c:v>
                </c:pt>
                <c:pt idx="421">
                  <c:v>43405</c:v>
                </c:pt>
                <c:pt idx="422">
                  <c:v>43435</c:v>
                </c:pt>
                <c:pt idx="423">
                  <c:v>43466</c:v>
                </c:pt>
                <c:pt idx="424">
                  <c:v>43497</c:v>
                </c:pt>
                <c:pt idx="425">
                  <c:v>43525</c:v>
                </c:pt>
                <c:pt idx="426">
                  <c:v>43556</c:v>
                </c:pt>
                <c:pt idx="427">
                  <c:v>43586</c:v>
                </c:pt>
                <c:pt idx="428">
                  <c:v>43617</c:v>
                </c:pt>
                <c:pt idx="429">
                  <c:v>43647</c:v>
                </c:pt>
                <c:pt idx="430">
                  <c:v>43678</c:v>
                </c:pt>
                <c:pt idx="431">
                  <c:v>43709</c:v>
                </c:pt>
                <c:pt idx="432">
                  <c:v>43739</c:v>
                </c:pt>
                <c:pt idx="433">
                  <c:v>43770</c:v>
                </c:pt>
                <c:pt idx="434">
                  <c:v>43800</c:v>
                </c:pt>
                <c:pt idx="435">
                  <c:v>43831</c:v>
                </c:pt>
                <c:pt idx="436">
                  <c:v>43862</c:v>
                </c:pt>
                <c:pt idx="437">
                  <c:v>43891</c:v>
                </c:pt>
                <c:pt idx="438">
                  <c:v>43922</c:v>
                </c:pt>
                <c:pt idx="439">
                  <c:v>43952</c:v>
                </c:pt>
                <c:pt idx="440">
                  <c:v>43983</c:v>
                </c:pt>
                <c:pt idx="441">
                  <c:v>44013</c:v>
                </c:pt>
                <c:pt idx="442">
                  <c:v>44044</c:v>
                </c:pt>
                <c:pt idx="443">
                  <c:v>44075</c:v>
                </c:pt>
                <c:pt idx="444">
                  <c:v>44105</c:v>
                </c:pt>
                <c:pt idx="445">
                  <c:v>44136</c:v>
                </c:pt>
                <c:pt idx="446">
                  <c:v>44166</c:v>
                </c:pt>
                <c:pt idx="447">
                  <c:v>44197</c:v>
                </c:pt>
                <c:pt idx="448">
                  <c:v>44228</c:v>
                </c:pt>
                <c:pt idx="449">
                  <c:v>44256</c:v>
                </c:pt>
              </c:numCache>
            </c:numRef>
          </c:cat>
          <c:val>
            <c:numRef>
              <c:f>女発放廃!$AP$34:$AP$484</c:f>
              <c:numCache>
                <c:formatCode>0.0E+00</c:formatCode>
                <c:ptCount val="451"/>
                <c:pt idx="18">
                  <c:v>89.742432553155538</c:v>
                </c:pt>
                <c:pt idx="19">
                  <c:v>0</c:v>
                </c:pt>
                <c:pt idx="20">
                  <c:v>89.742432553155538</c:v>
                </c:pt>
                <c:pt idx="21">
                  <c:v>0.35183390510128743</c:v>
                </c:pt>
                <c:pt idx="22">
                  <c:v>0.35183390510128737</c:v>
                </c:pt>
                <c:pt idx="23">
                  <c:v>0.35183390510128748</c:v>
                </c:pt>
                <c:pt idx="24">
                  <c:v>0.58502582862565922</c:v>
                </c:pt>
                <c:pt idx="25">
                  <c:v>0.58502582862565922</c:v>
                </c:pt>
                <c:pt idx="26">
                  <c:v>0.58502582862565922</c:v>
                </c:pt>
                <c:pt idx="27">
                  <c:v>3.9411899770404051</c:v>
                </c:pt>
                <c:pt idx="28">
                  <c:v>3.9411899770404051</c:v>
                </c:pt>
                <c:pt idx="29">
                  <c:v>3.9411899770404051</c:v>
                </c:pt>
                <c:pt idx="30">
                  <c:v>21.476266766160478</c:v>
                </c:pt>
                <c:pt idx="31">
                  <c:v>0</c:v>
                </c:pt>
                <c:pt idx="32">
                  <c:v>0</c:v>
                </c:pt>
                <c:pt idx="33">
                  <c:v>0.10896772693816202</c:v>
                </c:pt>
                <c:pt idx="34">
                  <c:v>0.10896772693816202</c:v>
                </c:pt>
                <c:pt idx="35">
                  <c:v>0.10896772693816202</c:v>
                </c:pt>
                <c:pt idx="36">
                  <c:v>7.1047621732209203</c:v>
                </c:pt>
                <c:pt idx="37">
                  <c:v>7.1047621732209203</c:v>
                </c:pt>
                <c:pt idx="38">
                  <c:v>7.1047621732209212</c:v>
                </c:pt>
                <c:pt idx="39">
                  <c:v>1.2458716524974791</c:v>
                </c:pt>
                <c:pt idx="40">
                  <c:v>1.2458716524974791</c:v>
                </c:pt>
                <c:pt idx="41">
                  <c:v>1.2458716524974791</c:v>
                </c:pt>
                <c:pt idx="42">
                  <c:v>12.797507517509077</c:v>
                </c:pt>
                <c:pt idx="43">
                  <c:v>0</c:v>
                </c:pt>
                <c:pt idx="44">
                  <c:v>0</c:v>
                </c:pt>
                <c:pt idx="45">
                  <c:v>1.0445592500616281</c:v>
                </c:pt>
                <c:pt idx="46">
                  <c:v>1.0445592500616281</c:v>
                </c:pt>
                <c:pt idx="47">
                  <c:v>1.0445592500616281</c:v>
                </c:pt>
                <c:pt idx="48">
                  <c:v>6.0209126155170374</c:v>
                </c:pt>
                <c:pt idx="49">
                  <c:v>6.0209126155170374</c:v>
                </c:pt>
                <c:pt idx="50">
                  <c:v>6.0209126155170383</c:v>
                </c:pt>
                <c:pt idx="51">
                  <c:v>12.165197213997661</c:v>
                </c:pt>
                <c:pt idx="52">
                  <c:v>12.165197213997661</c:v>
                </c:pt>
                <c:pt idx="53">
                  <c:v>12.165197213997661</c:v>
                </c:pt>
                <c:pt idx="54">
                  <c:v>29.826870790451107</c:v>
                </c:pt>
                <c:pt idx="55">
                  <c:v>0</c:v>
                </c:pt>
                <c:pt idx="56">
                  <c:v>0</c:v>
                </c:pt>
                <c:pt idx="57">
                  <c:v>3.5923657248042802</c:v>
                </c:pt>
                <c:pt idx="58">
                  <c:v>3.5923657248042802</c:v>
                </c:pt>
                <c:pt idx="59">
                  <c:v>3.5923657248042797</c:v>
                </c:pt>
                <c:pt idx="60">
                  <c:v>4.8499231990596918</c:v>
                </c:pt>
                <c:pt idx="61">
                  <c:v>4.8499231990596918</c:v>
                </c:pt>
                <c:pt idx="62">
                  <c:v>4.8499231990596927</c:v>
                </c:pt>
                <c:pt idx="63">
                  <c:v>18.465775521328474</c:v>
                </c:pt>
                <c:pt idx="64">
                  <c:v>18.465775521328471</c:v>
                </c:pt>
                <c:pt idx="65">
                  <c:v>18.465775521328474</c:v>
                </c:pt>
                <c:pt idx="66">
                  <c:v>65.993346762361156</c:v>
                </c:pt>
                <c:pt idx="67">
                  <c:v>0</c:v>
                </c:pt>
                <c:pt idx="68">
                  <c:v>0</c:v>
                </c:pt>
                <c:pt idx="69">
                  <c:v>15.704681368253746</c:v>
                </c:pt>
                <c:pt idx="70">
                  <c:v>15.704681368253745</c:v>
                </c:pt>
                <c:pt idx="71">
                  <c:v>15.704681368253745</c:v>
                </c:pt>
                <c:pt idx="72">
                  <c:v>2.4838431812372019</c:v>
                </c:pt>
                <c:pt idx="73">
                  <c:v>2.4838431812372015</c:v>
                </c:pt>
                <c:pt idx="74">
                  <c:v>2.4838431812372019</c:v>
                </c:pt>
                <c:pt idx="75">
                  <c:v>3.9569484013928453</c:v>
                </c:pt>
                <c:pt idx="76">
                  <c:v>3.9569484013928453</c:v>
                </c:pt>
                <c:pt idx="77">
                  <c:v>3.9569484013928453</c:v>
                </c:pt>
                <c:pt idx="78">
                  <c:v>26.338659184179654</c:v>
                </c:pt>
                <c:pt idx="79">
                  <c:v>26.338659184179654</c:v>
                </c:pt>
                <c:pt idx="80">
                  <c:v>26.338659184179654</c:v>
                </c:pt>
                <c:pt idx="81">
                  <c:v>4.6958840576234939</c:v>
                </c:pt>
                <c:pt idx="82">
                  <c:v>4.6958840576234939</c:v>
                </c:pt>
                <c:pt idx="83">
                  <c:v>4.695884057623493</c:v>
                </c:pt>
                <c:pt idx="84">
                  <c:v>0</c:v>
                </c:pt>
                <c:pt idx="85">
                  <c:v>8.4511777047492771</c:v>
                </c:pt>
                <c:pt idx="86">
                  <c:v>8.4511777047492789</c:v>
                </c:pt>
                <c:pt idx="87">
                  <c:v>0.31325841511026697</c:v>
                </c:pt>
                <c:pt idx="88">
                  <c:v>0.31325841511026692</c:v>
                </c:pt>
                <c:pt idx="89">
                  <c:v>0.31325841511026697</c:v>
                </c:pt>
                <c:pt idx="90">
                  <c:v>0.68485705252088069</c:v>
                </c:pt>
                <c:pt idx="91">
                  <c:v>0.68485705252088069</c:v>
                </c:pt>
                <c:pt idx="92">
                  <c:v>0.68485705252088069</c:v>
                </c:pt>
                <c:pt idx="93">
                  <c:v>7.3099048094151557</c:v>
                </c:pt>
                <c:pt idx="94">
                  <c:v>7.3099048094151566</c:v>
                </c:pt>
                <c:pt idx="95">
                  <c:v>7.3099048094151557</c:v>
                </c:pt>
                <c:pt idx="96">
                  <c:v>9.7571141465418734</c:v>
                </c:pt>
                <c:pt idx="97">
                  <c:v>0</c:v>
                </c:pt>
                <c:pt idx="98">
                  <c:v>9.7571141465418734</c:v>
                </c:pt>
                <c:pt idx="99">
                  <c:v>9.7836636298174735</c:v>
                </c:pt>
                <c:pt idx="100">
                  <c:v>9.7836636298174753</c:v>
                </c:pt>
                <c:pt idx="101">
                  <c:v>9.7836636298174735</c:v>
                </c:pt>
                <c:pt idx="102">
                  <c:v>0.58851731732422474</c:v>
                </c:pt>
                <c:pt idx="103">
                  <c:v>0.58851731732422474</c:v>
                </c:pt>
                <c:pt idx="104">
                  <c:v>0.58851731732422474</c:v>
                </c:pt>
                <c:pt idx="105">
                  <c:v>1.0568272979620497</c:v>
                </c:pt>
                <c:pt idx="106">
                  <c:v>1.0568272979620497</c:v>
                </c:pt>
                <c:pt idx="107">
                  <c:v>1.0568272979620494</c:v>
                </c:pt>
                <c:pt idx="108">
                  <c:v>8.726346438618144</c:v>
                </c:pt>
                <c:pt idx="109">
                  <c:v>8.7263464386181457</c:v>
                </c:pt>
                <c:pt idx="110">
                  <c:v>8.7263464386181457</c:v>
                </c:pt>
                <c:pt idx="111">
                  <c:v>23.902324308278299</c:v>
                </c:pt>
                <c:pt idx="112">
                  <c:v>0</c:v>
                </c:pt>
                <c:pt idx="113">
                  <c:v>0</c:v>
                </c:pt>
                <c:pt idx="114">
                  <c:v>0</c:v>
                </c:pt>
                <c:pt idx="115">
                  <c:v>0</c:v>
                </c:pt>
                <c:pt idx="116">
                  <c:v>11.348745171845298</c:v>
                </c:pt>
                <c:pt idx="117">
                  <c:v>11.299180988292314</c:v>
                </c:pt>
                <c:pt idx="118">
                  <c:v>11.299180988292314</c:v>
                </c:pt>
                <c:pt idx="119">
                  <c:v>11.299180988292315</c:v>
                </c:pt>
                <c:pt idx="120">
                  <c:v>9.138893946673706</c:v>
                </c:pt>
                <c:pt idx="121">
                  <c:v>9.1388939466737042</c:v>
                </c:pt>
                <c:pt idx="122">
                  <c:v>9.138893946673706</c:v>
                </c:pt>
                <c:pt idx="123">
                  <c:v>8.2568465708736323</c:v>
                </c:pt>
                <c:pt idx="124">
                  <c:v>8.2568465708736305</c:v>
                </c:pt>
                <c:pt idx="125">
                  <c:v>8.2568465708736323</c:v>
                </c:pt>
                <c:pt idx="126">
                  <c:v>4.6978333843460653</c:v>
                </c:pt>
                <c:pt idx="127">
                  <c:v>4.6978333843460653</c:v>
                </c:pt>
                <c:pt idx="128">
                  <c:v>0</c:v>
                </c:pt>
                <c:pt idx="129">
                  <c:v>2.2085142608064832</c:v>
                </c:pt>
                <c:pt idx="130">
                  <c:v>2.2085142608064836</c:v>
                </c:pt>
                <c:pt idx="131">
                  <c:v>2.2085142608064836</c:v>
                </c:pt>
                <c:pt idx="132">
                  <c:v>0.58124955920984045</c:v>
                </c:pt>
                <c:pt idx="133">
                  <c:v>0.58124955920984045</c:v>
                </c:pt>
                <c:pt idx="134">
                  <c:v>0.58124955920984045</c:v>
                </c:pt>
                <c:pt idx="135">
                  <c:v>0.59354226020892675</c:v>
                </c:pt>
                <c:pt idx="136">
                  <c:v>0.59354226020892675</c:v>
                </c:pt>
                <c:pt idx="137">
                  <c:v>0.59354226020892675</c:v>
                </c:pt>
                <c:pt idx="138">
                  <c:v>1.050248816396266</c:v>
                </c:pt>
                <c:pt idx="139">
                  <c:v>1.0502488163962662</c:v>
                </c:pt>
                <c:pt idx="140">
                  <c:v>1.0502488163962658</c:v>
                </c:pt>
                <c:pt idx="141">
                  <c:v>0.86285414234537727</c:v>
                </c:pt>
                <c:pt idx="142">
                  <c:v>0.86285414234537716</c:v>
                </c:pt>
                <c:pt idx="143">
                  <c:v>0.86285414234537716</c:v>
                </c:pt>
                <c:pt idx="144">
                  <c:v>0</c:v>
                </c:pt>
                <c:pt idx="145">
                  <c:v>0</c:v>
                </c:pt>
                <c:pt idx="146">
                  <c:v>0</c:v>
                </c:pt>
                <c:pt idx="147">
                  <c:v>0</c:v>
                </c:pt>
                <c:pt idx="148">
                  <c:v>0.61695812291255214</c:v>
                </c:pt>
                <c:pt idx="149">
                  <c:v>0.61695812291255214</c:v>
                </c:pt>
                <c:pt idx="150">
                  <c:v>4.3243275004344746</c:v>
                </c:pt>
                <c:pt idx="151">
                  <c:v>4.3243275004344754</c:v>
                </c:pt>
                <c:pt idx="152">
                  <c:v>4.3243275004344746</c:v>
                </c:pt>
                <c:pt idx="153">
                  <c:v>1.5508951895041863</c:v>
                </c:pt>
                <c:pt idx="154">
                  <c:v>1.5508951895041865</c:v>
                </c:pt>
                <c:pt idx="155">
                  <c:v>1.5508951895041865</c:v>
                </c:pt>
                <c:pt idx="156">
                  <c:v>0</c:v>
                </c:pt>
                <c:pt idx="157">
                  <c:v>0</c:v>
                </c:pt>
                <c:pt idx="158">
                  <c:v>0.72639005799797651</c:v>
                </c:pt>
                <c:pt idx="159">
                  <c:v>0</c:v>
                </c:pt>
                <c:pt idx="160">
                  <c:v>0</c:v>
                </c:pt>
                <c:pt idx="161">
                  <c:v>0</c:v>
                </c:pt>
                <c:pt idx="162">
                  <c:v>43.621053192396012</c:v>
                </c:pt>
                <c:pt idx="163">
                  <c:v>0</c:v>
                </c:pt>
                <c:pt idx="164">
                  <c:v>43.621053192396012</c:v>
                </c:pt>
                <c:pt idx="165">
                  <c:v>0.7147468702134806</c:v>
                </c:pt>
                <c:pt idx="166">
                  <c:v>0.7147468702134806</c:v>
                </c:pt>
                <c:pt idx="167">
                  <c:v>0.7147468702134806</c:v>
                </c:pt>
                <c:pt idx="168">
                  <c:v>7.4229223745318187</c:v>
                </c:pt>
                <c:pt idx="169">
                  <c:v>7.4229223745318196</c:v>
                </c:pt>
                <c:pt idx="170">
                  <c:v>7.4229223745318187</c:v>
                </c:pt>
                <c:pt idx="171">
                  <c:v>2.3411944708241004</c:v>
                </c:pt>
                <c:pt idx="172">
                  <c:v>2.3411944708241004</c:v>
                </c:pt>
                <c:pt idx="173">
                  <c:v>2.3411944708241004</c:v>
                </c:pt>
                <c:pt idx="174">
                  <c:v>1.1011149880607927</c:v>
                </c:pt>
                <c:pt idx="175">
                  <c:v>1.1011149880607927</c:v>
                </c:pt>
                <c:pt idx="176">
                  <c:v>1.1011149880607924</c:v>
                </c:pt>
                <c:pt idx="177">
                  <c:v>2.110861618073343</c:v>
                </c:pt>
                <c:pt idx="178">
                  <c:v>2.110861618073343</c:v>
                </c:pt>
                <c:pt idx="179">
                  <c:v>2.110861618073343</c:v>
                </c:pt>
                <c:pt idx="180">
                  <c:v>0</c:v>
                </c:pt>
                <c:pt idx="181">
                  <c:v>1.799809113906006</c:v>
                </c:pt>
                <c:pt idx="182">
                  <c:v>1.7998091139060062</c:v>
                </c:pt>
                <c:pt idx="183">
                  <c:v>0.39570847513233143</c:v>
                </c:pt>
                <c:pt idx="184">
                  <c:v>0.39570847513233143</c:v>
                </c:pt>
                <c:pt idx="185">
                  <c:v>0.39570847513233143</c:v>
                </c:pt>
                <c:pt idx="186">
                  <c:v>15.038608119391283</c:v>
                </c:pt>
                <c:pt idx="187">
                  <c:v>15.038608119391283</c:v>
                </c:pt>
                <c:pt idx="188">
                  <c:v>15.038608119391284</c:v>
                </c:pt>
                <c:pt idx="189">
                  <c:v>0.31636174315754195</c:v>
                </c:pt>
                <c:pt idx="190">
                  <c:v>0.31636174315754195</c:v>
                </c:pt>
                <c:pt idx="191">
                  <c:v>0.31636174315754195</c:v>
                </c:pt>
                <c:pt idx="192">
                  <c:v>3.5492891808261753</c:v>
                </c:pt>
                <c:pt idx="193">
                  <c:v>3.5492891808261753</c:v>
                </c:pt>
                <c:pt idx="194">
                  <c:v>3.5492891808261753</c:v>
                </c:pt>
                <c:pt idx="195">
                  <c:v>3.9976368168313328</c:v>
                </c:pt>
                <c:pt idx="196">
                  <c:v>0</c:v>
                </c:pt>
                <c:pt idx="197">
                  <c:v>3.9976368168313314</c:v>
                </c:pt>
                <c:pt idx="198">
                  <c:v>17.610609921965505</c:v>
                </c:pt>
                <c:pt idx="199">
                  <c:v>17.610609921965505</c:v>
                </c:pt>
                <c:pt idx="200">
                  <c:v>17.610609921965501</c:v>
                </c:pt>
                <c:pt idx="201">
                  <c:v>1.0101709086544037</c:v>
                </c:pt>
                <c:pt idx="202">
                  <c:v>1.010170908654404</c:v>
                </c:pt>
                <c:pt idx="203">
                  <c:v>1.0101709086544037</c:v>
                </c:pt>
                <c:pt idx="204">
                  <c:v>8.0654576287094031</c:v>
                </c:pt>
                <c:pt idx="205">
                  <c:v>8.0654576287094049</c:v>
                </c:pt>
                <c:pt idx="206">
                  <c:v>8.0654576287094049</c:v>
                </c:pt>
                <c:pt idx="207">
                  <c:v>2.5742749559499298</c:v>
                </c:pt>
                <c:pt idx="208">
                  <c:v>2.5742749559499303</c:v>
                </c:pt>
                <c:pt idx="209">
                  <c:v>2.5742749559499298</c:v>
                </c:pt>
                <c:pt idx="210">
                  <c:v>2.7866666060832581</c:v>
                </c:pt>
                <c:pt idx="211">
                  <c:v>0</c:v>
                </c:pt>
                <c:pt idx="212">
                  <c:v>0</c:v>
                </c:pt>
                <c:pt idx="213">
                  <c:v>0.57448120290926052</c:v>
                </c:pt>
                <c:pt idx="214">
                  <c:v>0.57448120290926041</c:v>
                </c:pt>
                <c:pt idx="215">
                  <c:v>0.57448120290926041</c:v>
                </c:pt>
                <c:pt idx="216">
                  <c:v>11.935370983107742</c:v>
                </c:pt>
                <c:pt idx="217">
                  <c:v>11.93537098310774</c:v>
                </c:pt>
                <c:pt idx="218">
                  <c:v>11.935370983107742</c:v>
                </c:pt>
                <c:pt idx="219">
                  <c:v>2.5390418908937424</c:v>
                </c:pt>
                <c:pt idx="220">
                  <c:v>2.5390418908937424</c:v>
                </c:pt>
                <c:pt idx="221">
                  <c:v>2.5390418908937424</c:v>
                </c:pt>
                <c:pt idx="222">
                  <c:v>0.27394258163488933</c:v>
                </c:pt>
                <c:pt idx="223">
                  <c:v>0.27394258163488933</c:v>
                </c:pt>
                <c:pt idx="224">
                  <c:v>0.27394258163488933</c:v>
                </c:pt>
                <c:pt idx="225">
                  <c:v>18.50637586536773</c:v>
                </c:pt>
                <c:pt idx="226">
                  <c:v>18.50637586536773</c:v>
                </c:pt>
                <c:pt idx="227">
                  <c:v>18.506375865367733</c:v>
                </c:pt>
                <c:pt idx="228">
                  <c:v>0</c:v>
                </c:pt>
                <c:pt idx="229">
                  <c:v>0</c:v>
                </c:pt>
                <c:pt idx="230">
                  <c:v>0</c:v>
                </c:pt>
                <c:pt idx="231">
                  <c:v>0</c:v>
                </c:pt>
                <c:pt idx="232">
                  <c:v>0</c:v>
                </c:pt>
                <c:pt idx="233">
                  <c:v>0</c:v>
                </c:pt>
                <c:pt idx="234">
                  <c:v>0</c:v>
                </c:pt>
                <c:pt idx="235">
                  <c:v>0</c:v>
                </c:pt>
                <c:pt idx="236">
                  <c:v>0</c:v>
                </c:pt>
                <c:pt idx="237">
                  <c:v>0.44753039713038212</c:v>
                </c:pt>
                <c:pt idx="238">
                  <c:v>0.44753039713038217</c:v>
                </c:pt>
                <c:pt idx="239">
                  <c:v>0.44753039713038217</c:v>
                </c:pt>
                <c:pt idx="240">
                  <c:v>0</c:v>
                </c:pt>
                <c:pt idx="241">
                  <c:v>0</c:v>
                </c:pt>
                <c:pt idx="242">
                  <c:v>0</c:v>
                </c:pt>
                <c:pt idx="243">
                  <c:v>0.10048070528597171</c:v>
                </c:pt>
                <c:pt idx="244">
                  <c:v>0.10048070528597171</c:v>
                </c:pt>
                <c:pt idx="245">
                  <c:v>0.10048070528597171</c:v>
                </c:pt>
                <c:pt idx="246">
                  <c:v>0</c:v>
                </c:pt>
                <c:pt idx="247">
                  <c:v>0</c:v>
                </c:pt>
                <c:pt idx="248">
                  <c:v>0</c:v>
                </c:pt>
                <c:pt idx="249">
                  <c:v>0.33455394446123593</c:v>
                </c:pt>
                <c:pt idx="250">
                  <c:v>0.33455394446123593</c:v>
                </c:pt>
                <c:pt idx="251">
                  <c:v>0.33455394446123599</c:v>
                </c:pt>
                <c:pt idx="252">
                  <c:v>0</c:v>
                </c:pt>
                <c:pt idx="253">
                  <c:v>0</c:v>
                </c:pt>
                <c:pt idx="254">
                  <c:v>0</c:v>
                </c:pt>
                <c:pt idx="255">
                  <c:v>0</c:v>
                </c:pt>
                <c:pt idx="256">
                  <c:v>0</c:v>
                </c:pt>
                <c:pt idx="257">
                  <c:v>0</c:v>
                </c:pt>
                <c:pt idx="258">
                  <c:v>0.24317670696492732</c:v>
                </c:pt>
                <c:pt idx="259">
                  <c:v>0.24317670696492732</c:v>
                </c:pt>
                <c:pt idx="260">
                  <c:v>0.24317670696492732</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8.9973675095934311</c:v>
                </c:pt>
                <c:pt idx="284">
                  <c:v>0</c:v>
                </c:pt>
                <c:pt idx="285">
                  <c:v>0</c:v>
                </c:pt>
                <c:pt idx="286">
                  <c:v>0.66846378307107202</c:v>
                </c:pt>
                <c:pt idx="287">
                  <c:v>0.66846378307107202</c:v>
                </c:pt>
                <c:pt idx="288">
                  <c:v>0.54063769378826743</c:v>
                </c:pt>
                <c:pt idx="289">
                  <c:v>0.54063769378826754</c:v>
                </c:pt>
                <c:pt idx="290">
                  <c:v>0.54063769378826743</c:v>
                </c:pt>
                <c:pt idx="291">
                  <c:v>0.37207524185068236</c:v>
                </c:pt>
                <c:pt idx="292">
                  <c:v>0.37207524185068236</c:v>
                </c:pt>
                <c:pt idx="293">
                  <c:v>0</c:v>
                </c:pt>
                <c:pt idx="294">
                  <c:v>0</c:v>
                </c:pt>
                <c:pt idx="295">
                  <c:v>0</c:v>
                </c:pt>
                <c:pt idx="296">
                  <c:v>0</c:v>
                </c:pt>
                <c:pt idx="297">
                  <c:v>0</c:v>
                </c:pt>
                <c:pt idx="298">
                  <c:v>0</c:v>
                </c:pt>
                <c:pt idx="299">
                  <c:v>0</c:v>
                </c:pt>
                <c:pt idx="300">
                  <c:v>0</c:v>
                </c:pt>
                <c:pt idx="301">
                  <c:v>0</c:v>
                </c:pt>
                <c:pt idx="302">
                  <c:v>0</c:v>
                </c:pt>
                <c:pt idx="303">
                  <c:v>0</c:v>
                </c:pt>
                <c:pt idx="304">
                  <c:v>0</c:v>
                </c:pt>
                <c:pt idx="305">
                  <c:v>39.40881310691725</c:v>
                </c:pt>
                <c:pt idx="306">
                  <c:v>0.82466054831491009</c:v>
                </c:pt>
                <c:pt idx="307">
                  <c:v>0.82466054831491009</c:v>
                </c:pt>
                <c:pt idx="308">
                  <c:v>0.82466054831491009</c:v>
                </c:pt>
                <c:pt idx="309">
                  <c:v>3.8401664111197142</c:v>
                </c:pt>
                <c:pt idx="310">
                  <c:v>3.8401664111197142</c:v>
                </c:pt>
                <c:pt idx="311">
                  <c:v>3.8401664111197142</c:v>
                </c:pt>
                <c:pt idx="312">
                  <c:v>15.334867785857409</c:v>
                </c:pt>
                <c:pt idx="313">
                  <c:v>15.334867785857409</c:v>
                </c:pt>
                <c:pt idx="314">
                  <c:v>15.33486778585741</c:v>
                </c:pt>
                <c:pt idx="315">
                  <c:v>0.71981553820195665</c:v>
                </c:pt>
                <c:pt idx="316">
                  <c:v>0.71981553820195676</c:v>
                </c:pt>
                <c:pt idx="317">
                  <c:v>0</c:v>
                </c:pt>
                <c:pt idx="318">
                  <c:v>0</c:v>
                </c:pt>
                <c:pt idx="319">
                  <c:v>0</c:v>
                </c:pt>
                <c:pt idx="320">
                  <c:v>0</c:v>
                </c:pt>
                <c:pt idx="321">
                  <c:v>1.8323963677921942</c:v>
                </c:pt>
                <c:pt idx="322">
                  <c:v>1.8323963677921942</c:v>
                </c:pt>
                <c:pt idx="323">
                  <c:v>1.8323963677921944</c:v>
                </c:pt>
                <c:pt idx="324">
                  <c:v>4.0892031894161676</c:v>
                </c:pt>
                <c:pt idx="325">
                  <c:v>4.0892031894161676</c:v>
                </c:pt>
                <c:pt idx="326">
                  <c:v>4.0892031894161676</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numCache>
            </c:numRef>
          </c:val>
          <c:smooth val="0"/>
        </c:ser>
        <c:ser>
          <c:idx val="1"/>
          <c:order val="1"/>
          <c:tx>
            <c:strRef>
              <c:f>女発放廃!$AQ$3</c:f>
              <c:strCache>
                <c:ptCount val="1"/>
                <c:pt idx="0">
                  <c:v>２号機</c:v>
                </c:pt>
              </c:strCache>
            </c:strRef>
          </c:tx>
          <c:spPr>
            <a:ln w="12700">
              <a:solidFill>
                <a:srgbClr val="008000"/>
              </a:solidFill>
              <a:prstDash val="solid"/>
            </a:ln>
          </c:spPr>
          <c:marker>
            <c:symbol val="square"/>
            <c:size val="6"/>
            <c:spPr>
              <a:solidFill>
                <a:srgbClr val="FFFFFF"/>
              </a:solidFill>
              <a:ln>
                <a:solidFill>
                  <a:srgbClr val="339933"/>
                </a:solidFill>
                <a:prstDash val="solid"/>
              </a:ln>
            </c:spPr>
          </c:marker>
          <c:cat>
            <c:numRef>
              <c:f>女発放廃!$AF$34:$AF$484</c:f>
              <c:numCache>
                <c:formatCode>[$-411]ge\.m</c:formatCode>
                <c:ptCount val="451"/>
                <c:pt idx="0">
                  <c:v>30590</c:v>
                </c:pt>
                <c:pt idx="1">
                  <c:v>30621</c:v>
                </c:pt>
                <c:pt idx="2">
                  <c:v>30651</c:v>
                </c:pt>
                <c:pt idx="3">
                  <c:v>30682</c:v>
                </c:pt>
                <c:pt idx="4">
                  <c:v>30713</c:v>
                </c:pt>
                <c:pt idx="5">
                  <c:v>30742</c:v>
                </c:pt>
                <c:pt idx="6">
                  <c:v>30773</c:v>
                </c:pt>
                <c:pt idx="7">
                  <c:v>30803</c:v>
                </c:pt>
                <c:pt idx="8">
                  <c:v>30834</c:v>
                </c:pt>
                <c:pt idx="9">
                  <c:v>30864</c:v>
                </c:pt>
                <c:pt idx="10">
                  <c:v>30895</c:v>
                </c:pt>
                <c:pt idx="11">
                  <c:v>30926</c:v>
                </c:pt>
                <c:pt idx="12">
                  <c:v>30956</c:v>
                </c:pt>
                <c:pt idx="13">
                  <c:v>30987</c:v>
                </c:pt>
                <c:pt idx="14">
                  <c:v>31017</c:v>
                </c:pt>
                <c:pt idx="15">
                  <c:v>31048</c:v>
                </c:pt>
                <c:pt idx="16">
                  <c:v>31079</c:v>
                </c:pt>
                <c:pt idx="17">
                  <c:v>31107</c:v>
                </c:pt>
                <c:pt idx="18">
                  <c:v>31138</c:v>
                </c:pt>
                <c:pt idx="19">
                  <c:v>31168</c:v>
                </c:pt>
                <c:pt idx="20">
                  <c:v>31199</c:v>
                </c:pt>
                <c:pt idx="21">
                  <c:v>31229</c:v>
                </c:pt>
                <c:pt idx="22">
                  <c:v>31260</c:v>
                </c:pt>
                <c:pt idx="23">
                  <c:v>31291</c:v>
                </c:pt>
                <c:pt idx="24">
                  <c:v>31321</c:v>
                </c:pt>
                <c:pt idx="25">
                  <c:v>31352</c:v>
                </c:pt>
                <c:pt idx="26">
                  <c:v>31382</c:v>
                </c:pt>
                <c:pt idx="27">
                  <c:v>31413</c:v>
                </c:pt>
                <c:pt idx="28">
                  <c:v>31444</c:v>
                </c:pt>
                <c:pt idx="29">
                  <c:v>31472</c:v>
                </c:pt>
                <c:pt idx="30">
                  <c:v>31503</c:v>
                </c:pt>
                <c:pt idx="31">
                  <c:v>31533</c:v>
                </c:pt>
                <c:pt idx="32">
                  <c:v>31564</c:v>
                </c:pt>
                <c:pt idx="33">
                  <c:v>31594</c:v>
                </c:pt>
                <c:pt idx="34">
                  <c:v>31625</c:v>
                </c:pt>
                <c:pt idx="35">
                  <c:v>31656</c:v>
                </c:pt>
                <c:pt idx="36">
                  <c:v>31686</c:v>
                </c:pt>
                <c:pt idx="37">
                  <c:v>31717</c:v>
                </c:pt>
                <c:pt idx="38">
                  <c:v>31747</c:v>
                </c:pt>
                <c:pt idx="39">
                  <c:v>31778</c:v>
                </c:pt>
                <c:pt idx="40">
                  <c:v>31809</c:v>
                </c:pt>
                <c:pt idx="41">
                  <c:v>31837</c:v>
                </c:pt>
                <c:pt idx="42">
                  <c:v>31868</c:v>
                </c:pt>
                <c:pt idx="43">
                  <c:v>31898</c:v>
                </c:pt>
                <c:pt idx="44">
                  <c:v>31929</c:v>
                </c:pt>
                <c:pt idx="45">
                  <c:v>31959</c:v>
                </c:pt>
                <c:pt idx="46">
                  <c:v>31990</c:v>
                </c:pt>
                <c:pt idx="47">
                  <c:v>32021</c:v>
                </c:pt>
                <c:pt idx="48">
                  <c:v>32051</c:v>
                </c:pt>
                <c:pt idx="49">
                  <c:v>32082</c:v>
                </c:pt>
                <c:pt idx="50">
                  <c:v>32112</c:v>
                </c:pt>
                <c:pt idx="51">
                  <c:v>32143</c:v>
                </c:pt>
                <c:pt idx="52">
                  <c:v>32174</c:v>
                </c:pt>
                <c:pt idx="53">
                  <c:v>32203</c:v>
                </c:pt>
                <c:pt idx="54">
                  <c:v>32234</c:v>
                </c:pt>
                <c:pt idx="55">
                  <c:v>32264</c:v>
                </c:pt>
                <c:pt idx="56">
                  <c:v>32295</c:v>
                </c:pt>
                <c:pt idx="57">
                  <c:v>32325</c:v>
                </c:pt>
                <c:pt idx="58">
                  <c:v>32356</c:v>
                </c:pt>
                <c:pt idx="59">
                  <c:v>32387</c:v>
                </c:pt>
                <c:pt idx="60">
                  <c:v>32417</c:v>
                </c:pt>
                <c:pt idx="61">
                  <c:v>32448</c:v>
                </c:pt>
                <c:pt idx="62">
                  <c:v>32478</c:v>
                </c:pt>
                <c:pt idx="63">
                  <c:v>32509</c:v>
                </c:pt>
                <c:pt idx="64">
                  <c:v>32540</c:v>
                </c:pt>
                <c:pt idx="65">
                  <c:v>32568</c:v>
                </c:pt>
                <c:pt idx="66">
                  <c:v>32599</c:v>
                </c:pt>
                <c:pt idx="67">
                  <c:v>32629</c:v>
                </c:pt>
                <c:pt idx="68">
                  <c:v>32660</c:v>
                </c:pt>
                <c:pt idx="69">
                  <c:v>32690</c:v>
                </c:pt>
                <c:pt idx="70">
                  <c:v>32721</c:v>
                </c:pt>
                <c:pt idx="71">
                  <c:v>32752</c:v>
                </c:pt>
                <c:pt idx="72">
                  <c:v>32782</c:v>
                </c:pt>
                <c:pt idx="73">
                  <c:v>32813</c:v>
                </c:pt>
                <c:pt idx="74">
                  <c:v>32843</c:v>
                </c:pt>
                <c:pt idx="75">
                  <c:v>32874</c:v>
                </c:pt>
                <c:pt idx="76">
                  <c:v>32905</c:v>
                </c:pt>
                <c:pt idx="77">
                  <c:v>32933</c:v>
                </c:pt>
                <c:pt idx="78">
                  <c:v>32964</c:v>
                </c:pt>
                <c:pt idx="79">
                  <c:v>32994</c:v>
                </c:pt>
                <c:pt idx="80">
                  <c:v>33025</c:v>
                </c:pt>
                <c:pt idx="81">
                  <c:v>33055</c:v>
                </c:pt>
                <c:pt idx="82">
                  <c:v>33086</c:v>
                </c:pt>
                <c:pt idx="83">
                  <c:v>33117</c:v>
                </c:pt>
                <c:pt idx="84">
                  <c:v>33147</c:v>
                </c:pt>
                <c:pt idx="85">
                  <c:v>33178</c:v>
                </c:pt>
                <c:pt idx="86">
                  <c:v>33208</c:v>
                </c:pt>
                <c:pt idx="87">
                  <c:v>33239</c:v>
                </c:pt>
                <c:pt idx="88">
                  <c:v>33270</c:v>
                </c:pt>
                <c:pt idx="89">
                  <c:v>33298</c:v>
                </c:pt>
                <c:pt idx="90">
                  <c:v>33329</c:v>
                </c:pt>
                <c:pt idx="91">
                  <c:v>33359</c:v>
                </c:pt>
                <c:pt idx="92">
                  <c:v>33390</c:v>
                </c:pt>
                <c:pt idx="93">
                  <c:v>33420</c:v>
                </c:pt>
                <c:pt idx="94">
                  <c:v>33451</c:v>
                </c:pt>
                <c:pt idx="95">
                  <c:v>33482</c:v>
                </c:pt>
                <c:pt idx="96">
                  <c:v>33512</c:v>
                </c:pt>
                <c:pt idx="97">
                  <c:v>33543</c:v>
                </c:pt>
                <c:pt idx="98">
                  <c:v>33573</c:v>
                </c:pt>
                <c:pt idx="99">
                  <c:v>33604</c:v>
                </c:pt>
                <c:pt idx="100">
                  <c:v>33635</c:v>
                </c:pt>
                <c:pt idx="101">
                  <c:v>33664</c:v>
                </c:pt>
                <c:pt idx="102">
                  <c:v>33695</c:v>
                </c:pt>
                <c:pt idx="103">
                  <c:v>33725</c:v>
                </c:pt>
                <c:pt idx="104">
                  <c:v>33756</c:v>
                </c:pt>
                <c:pt idx="105">
                  <c:v>33786</c:v>
                </c:pt>
                <c:pt idx="106">
                  <c:v>33817</c:v>
                </c:pt>
                <c:pt idx="107">
                  <c:v>33848</c:v>
                </c:pt>
                <c:pt idx="108">
                  <c:v>33878</c:v>
                </c:pt>
                <c:pt idx="109">
                  <c:v>33909</c:v>
                </c:pt>
                <c:pt idx="110">
                  <c:v>33939</c:v>
                </c:pt>
                <c:pt idx="111">
                  <c:v>33970</c:v>
                </c:pt>
                <c:pt idx="112">
                  <c:v>34001</c:v>
                </c:pt>
                <c:pt idx="113">
                  <c:v>34029</c:v>
                </c:pt>
                <c:pt idx="114">
                  <c:v>34060</c:v>
                </c:pt>
                <c:pt idx="115">
                  <c:v>34090</c:v>
                </c:pt>
                <c:pt idx="116">
                  <c:v>34121</c:v>
                </c:pt>
                <c:pt idx="117">
                  <c:v>34151</c:v>
                </c:pt>
                <c:pt idx="118">
                  <c:v>34182</c:v>
                </c:pt>
                <c:pt idx="119">
                  <c:v>34213</c:v>
                </c:pt>
                <c:pt idx="120">
                  <c:v>34243</c:v>
                </c:pt>
                <c:pt idx="121">
                  <c:v>34274</c:v>
                </c:pt>
                <c:pt idx="122">
                  <c:v>34304</c:v>
                </c:pt>
                <c:pt idx="123">
                  <c:v>34335</c:v>
                </c:pt>
                <c:pt idx="124">
                  <c:v>34366</c:v>
                </c:pt>
                <c:pt idx="125">
                  <c:v>34394</c:v>
                </c:pt>
                <c:pt idx="126">
                  <c:v>34425</c:v>
                </c:pt>
                <c:pt idx="127">
                  <c:v>34455</c:v>
                </c:pt>
                <c:pt idx="128">
                  <c:v>34486</c:v>
                </c:pt>
                <c:pt idx="129">
                  <c:v>34516</c:v>
                </c:pt>
                <c:pt idx="130">
                  <c:v>34547</c:v>
                </c:pt>
                <c:pt idx="131">
                  <c:v>34578</c:v>
                </c:pt>
                <c:pt idx="132">
                  <c:v>34608</c:v>
                </c:pt>
                <c:pt idx="133">
                  <c:v>34639</c:v>
                </c:pt>
                <c:pt idx="134">
                  <c:v>34669</c:v>
                </c:pt>
                <c:pt idx="135">
                  <c:v>34700</c:v>
                </c:pt>
                <c:pt idx="136">
                  <c:v>34731</c:v>
                </c:pt>
                <c:pt idx="137">
                  <c:v>34759</c:v>
                </c:pt>
                <c:pt idx="138">
                  <c:v>34790</c:v>
                </c:pt>
                <c:pt idx="139">
                  <c:v>34820</c:v>
                </c:pt>
                <c:pt idx="140">
                  <c:v>34851</c:v>
                </c:pt>
                <c:pt idx="141">
                  <c:v>34881</c:v>
                </c:pt>
                <c:pt idx="142">
                  <c:v>34912</c:v>
                </c:pt>
                <c:pt idx="143">
                  <c:v>34943</c:v>
                </c:pt>
                <c:pt idx="144">
                  <c:v>34973</c:v>
                </c:pt>
                <c:pt idx="145">
                  <c:v>35004</c:v>
                </c:pt>
                <c:pt idx="146">
                  <c:v>35034</c:v>
                </c:pt>
                <c:pt idx="147">
                  <c:v>35065</c:v>
                </c:pt>
                <c:pt idx="148">
                  <c:v>35096</c:v>
                </c:pt>
                <c:pt idx="149">
                  <c:v>35125</c:v>
                </c:pt>
                <c:pt idx="150">
                  <c:v>35156</c:v>
                </c:pt>
                <c:pt idx="151">
                  <c:v>35186</c:v>
                </c:pt>
                <c:pt idx="152">
                  <c:v>35217</c:v>
                </c:pt>
                <c:pt idx="153">
                  <c:v>35247</c:v>
                </c:pt>
                <c:pt idx="154">
                  <c:v>35278</c:v>
                </c:pt>
                <c:pt idx="155">
                  <c:v>35309</c:v>
                </c:pt>
                <c:pt idx="156">
                  <c:v>35339</c:v>
                </c:pt>
                <c:pt idx="157">
                  <c:v>35370</c:v>
                </c:pt>
                <c:pt idx="158">
                  <c:v>35400</c:v>
                </c:pt>
                <c:pt idx="159">
                  <c:v>35431</c:v>
                </c:pt>
                <c:pt idx="160">
                  <c:v>35462</c:v>
                </c:pt>
                <c:pt idx="161">
                  <c:v>35490</c:v>
                </c:pt>
                <c:pt idx="162">
                  <c:v>35521</c:v>
                </c:pt>
                <c:pt idx="163">
                  <c:v>35551</c:v>
                </c:pt>
                <c:pt idx="164">
                  <c:v>35582</c:v>
                </c:pt>
                <c:pt idx="165">
                  <c:v>35612</c:v>
                </c:pt>
                <c:pt idx="166">
                  <c:v>35643</c:v>
                </c:pt>
                <c:pt idx="167">
                  <c:v>35674</c:v>
                </c:pt>
                <c:pt idx="168">
                  <c:v>35704</c:v>
                </c:pt>
                <c:pt idx="169">
                  <c:v>35735</c:v>
                </c:pt>
                <c:pt idx="170">
                  <c:v>35765</c:v>
                </c:pt>
                <c:pt idx="171">
                  <c:v>35796</c:v>
                </c:pt>
                <c:pt idx="172">
                  <c:v>35827</c:v>
                </c:pt>
                <c:pt idx="173">
                  <c:v>35855</c:v>
                </c:pt>
                <c:pt idx="174">
                  <c:v>35886</c:v>
                </c:pt>
                <c:pt idx="175">
                  <c:v>35916</c:v>
                </c:pt>
                <c:pt idx="176">
                  <c:v>35947</c:v>
                </c:pt>
                <c:pt idx="177">
                  <c:v>35977</c:v>
                </c:pt>
                <c:pt idx="178">
                  <c:v>36008</c:v>
                </c:pt>
                <c:pt idx="179">
                  <c:v>36039</c:v>
                </c:pt>
                <c:pt idx="180">
                  <c:v>36069</c:v>
                </c:pt>
                <c:pt idx="181">
                  <c:v>36100</c:v>
                </c:pt>
                <c:pt idx="182">
                  <c:v>36130</c:v>
                </c:pt>
                <c:pt idx="183">
                  <c:v>36161</c:v>
                </c:pt>
                <c:pt idx="184">
                  <c:v>36192</c:v>
                </c:pt>
                <c:pt idx="185">
                  <c:v>36220</c:v>
                </c:pt>
                <c:pt idx="186">
                  <c:v>36251</c:v>
                </c:pt>
                <c:pt idx="187">
                  <c:v>36281</c:v>
                </c:pt>
                <c:pt idx="188">
                  <c:v>36312</c:v>
                </c:pt>
                <c:pt idx="189">
                  <c:v>36342</c:v>
                </c:pt>
                <c:pt idx="190">
                  <c:v>36373</c:v>
                </c:pt>
                <c:pt idx="191">
                  <c:v>36404</c:v>
                </c:pt>
                <c:pt idx="192">
                  <c:v>36434</c:v>
                </c:pt>
                <c:pt idx="193">
                  <c:v>36465</c:v>
                </c:pt>
                <c:pt idx="194">
                  <c:v>36495</c:v>
                </c:pt>
                <c:pt idx="195">
                  <c:v>36526</c:v>
                </c:pt>
                <c:pt idx="196">
                  <c:v>36557</c:v>
                </c:pt>
                <c:pt idx="197">
                  <c:v>36586</c:v>
                </c:pt>
                <c:pt idx="198">
                  <c:v>36617</c:v>
                </c:pt>
                <c:pt idx="199">
                  <c:v>36647</c:v>
                </c:pt>
                <c:pt idx="200">
                  <c:v>36678</c:v>
                </c:pt>
                <c:pt idx="201">
                  <c:v>36708</c:v>
                </c:pt>
                <c:pt idx="202">
                  <c:v>36739</c:v>
                </c:pt>
                <c:pt idx="203">
                  <c:v>36770</c:v>
                </c:pt>
                <c:pt idx="204">
                  <c:v>36800</c:v>
                </c:pt>
                <c:pt idx="205">
                  <c:v>36831</c:v>
                </c:pt>
                <c:pt idx="206">
                  <c:v>36861</c:v>
                </c:pt>
                <c:pt idx="207">
                  <c:v>36892</c:v>
                </c:pt>
                <c:pt idx="208">
                  <c:v>36923</c:v>
                </c:pt>
                <c:pt idx="209">
                  <c:v>36951</c:v>
                </c:pt>
                <c:pt idx="210">
                  <c:v>36982</c:v>
                </c:pt>
                <c:pt idx="211">
                  <c:v>37012</c:v>
                </c:pt>
                <c:pt idx="212">
                  <c:v>37043</c:v>
                </c:pt>
                <c:pt idx="213">
                  <c:v>37073</c:v>
                </c:pt>
                <c:pt idx="214">
                  <c:v>37104</c:v>
                </c:pt>
                <c:pt idx="215">
                  <c:v>37135</c:v>
                </c:pt>
                <c:pt idx="216">
                  <c:v>37165</c:v>
                </c:pt>
                <c:pt idx="217">
                  <c:v>37196</c:v>
                </c:pt>
                <c:pt idx="218">
                  <c:v>37226</c:v>
                </c:pt>
                <c:pt idx="219">
                  <c:v>37257</c:v>
                </c:pt>
                <c:pt idx="220">
                  <c:v>37288</c:v>
                </c:pt>
                <c:pt idx="221">
                  <c:v>37316</c:v>
                </c:pt>
                <c:pt idx="222">
                  <c:v>37347</c:v>
                </c:pt>
                <c:pt idx="223">
                  <c:v>37377</c:v>
                </c:pt>
                <c:pt idx="224">
                  <c:v>37408</c:v>
                </c:pt>
                <c:pt idx="225">
                  <c:v>37438</c:v>
                </c:pt>
                <c:pt idx="226">
                  <c:v>37469</c:v>
                </c:pt>
                <c:pt idx="227">
                  <c:v>37500</c:v>
                </c:pt>
                <c:pt idx="228">
                  <c:v>37530</c:v>
                </c:pt>
                <c:pt idx="229">
                  <c:v>37561</c:v>
                </c:pt>
                <c:pt idx="230">
                  <c:v>37591</c:v>
                </c:pt>
                <c:pt idx="231">
                  <c:v>37622</c:v>
                </c:pt>
                <c:pt idx="232">
                  <c:v>37653</c:v>
                </c:pt>
                <c:pt idx="233">
                  <c:v>37681</c:v>
                </c:pt>
                <c:pt idx="234">
                  <c:v>37712</c:v>
                </c:pt>
                <c:pt idx="235">
                  <c:v>37742</c:v>
                </c:pt>
                <c:pt idx="236">
                  <c:v>37773</c:v>
                </c:pt>
                <c:pt idx="237">
                  <c:v>37803</c:v>
                </c:pt>
                <c:pt idx="238">
                  <c:v>37834</c:v>
                </c:pt>
                <c:pt idx="239">
                  <c:v>37865</c:v>
                </c:pt>
                <c:pt idx="240">
                  <c:v>37895</c:v>
                </c:pt>
                <c:pt idx="241">
                  <c:v>37926</c:v>
                </c:pt>
                <c:pt idx="242">
                  <c:v>37956</c:v>
                </c:pt>
                <c:pt idx="243">
                  <c:v>37987</c:v>
                </c:pt>
                <c:pt idx="244">
                  <c:v>38018</c:v>
                </c:pt>
                <c:pt idx="245">
                  <c:v>38047</c:v>
                </c:pt>
                <c:pt idx="246">
                  <c:v>38078</c:v>
                </c:pt>
                <c:pt idx="247">
                  <c:v>38108</c:v>
                </c:pt>
                <c:pt idx="248">
                  <c:v>38139</c:v>
                </c:pt>
                <c:pt idx="249">
                  <c:v>38169</c:v>
                </c:pt>
                <c:pt idx="250">
                  <c:v>38200</c:v>
                </c:pt>
                <c:pt idx="251">
                  <c:v>38231</c:v>
                </c:pt>
                <c:pt idx="252">
                  <c:v>38261</c:v>
                </c:pt>
                <c:pt idx="253">
                  <c:v>38292</c:v>
                </c:pt>
                <c:pt idx="254">
                  <c:v>38322</c:v>
                </c:pt>
                <c:pt idx="255">
                  <c:v>38353</c:v>
                </c:pt>
                <c:pt idx="256">
                  <c:v>38384</c:v>
                </c:pt>
                <c:pt idx="257">
                  <c:v>38412</c:v>
                </c:pt>
                <c:pt idx="258">
                  <c:v>38443</c:v>
                </c:pt>
                <c:pt idx="259">
                  <c:v>38473</c:v>
                </c:pt>
                <c:pt idx="260">
                  <c:v>38504</c:v>
                </c:pt>
                <c:pt idx="261">
                  <c:v>38534</c:v>
                </c:pt>
                <c:pt idx="262">
                  <c:v>38565</c:v>
                </c:pt>
                <c:pt idx="263">
                  <c:v>38596</c:v>
                </c:pt>
                <c:pt idx="264">
                  <c:v>38626</c:v>
                </c:pt>
                <c:pt idx="265">
                  <c:v>38657</c:v>
                </c:pt>
                <c:pt idx="266">
                  <c:v>38687</c:v>
                </c:pt>
                <c:pt idx="267">
                  <c:v>38718</c:v>
                </c:pt>
                <c:pt idx="268">
                  <c:v>38749</c:v>
                </c:pt>
                <c:pt idx="269">
                  <c:v>38777</c:v>
                </c:pt>
                <c:pt idx="270">
                  <c:v>38808</c:v>
                </c:pt>
                <c:pt idx="271">
                  <c:v>38838</c:v>
                </c:pt>
                <c:pt idx="272">
                  <c:v>38869</c:v>
                </c:pt>
                <c:pt idx="273">
                  <c:v>38899</c:v>
                </c:pt>
                <c:pt idx="274">
                  <c:v>38930</c:v>
                </c:pt>
                <c:pt idx="275">
                  <c:v>38961</c:v>
                </c:pt>
                <c:pt idx="276">
                  <c:v>38991</c:v>
                </c:pt>
                <c:pt idx="277">
                  <c:v>39022</c:v>
                </c:pt>
                <c:pt idx="278">
                  <c:v>39052</c:v>
                </c:pt>
                <c:pt idx="279">
                  <c:v>39083</c:v>
                </c:pt>
                <c:pt idx="280">
                  <c:v>39114</c:v>
                </c:pt>
                <c:pt idx="281">
                  <c:v>39142</c:v>
                </c:pt>
                <c:pt idx="282">
                  <c:v>39173</c:v>
                </c:pt>
                <c:pt idx="283">
                  <c:v>39203</c:v>
                </c:pt>
                <c:pt idx="284">
                  <c:v>39234</c:v>
                </c:pt>
                <c:pt idx="285">
                  <c:v>39264</c:v>
                </c:pt>
                <c:pt idx="286">
                  <c:v>39295</c:v>
                </c:pt>
                <c:pt idx="287">
                  <c:v>39326</c:v>
                </c:pt>
                <c:pt idx="288">
                  <c:v>39356</c:v>
                </c:pt>
                <c:pt idx="289">
                  <c:v>39387</c:v>
                </c:pt>
                <c:pt idx="290">
                  <c:v>39417</c:v>
                </c:pt>
                <c:pt idx="291">
                  <c:v>39448</c:v>
                </c:pt>
                <c:pt idx="292">
                  <c:v>39479</c:v>
                </c:pt>
                <c:pt idx="293">
                  <c:v>39508</c:v>
                </c:pt>
                <c:pt idx="294">
                  <c:v>39539</c:v>
                </c:pt>
                <c:pt idx="295">
                  <c:v>39569</c:v>
                </c:pt>
                <c:pt idx="296">
                  <c:v>39600</c:v>
                </c:pt>
                <c:pt idx="297">
                  <c:v>39630</c:v>
                </c:pt>
                <c:pt idx="298">
                  <c:v>39661</c:v>
                </c:pt>
                <c:pt idx="299">
                  <c:v>39692</c:v>
                </c:pt>
                <c:pt idx="300">
                  <c:v>39722</c:v>
                </c:pt>
                <c:pt idx="301">
                  <c:v>39753</c:v>
                </c:pt>
                <c:pt idx="302">
                  <c:v>39783</c:v>
                </c:pt>
                <c:pt idx="303">
                  <c:v>39814</c:v>
                </c:pt>
                <c:pt idx="304">
                  <c:v>39845</c:v>
                </c:pt>
                <c:pt idx="305">
                  <c:v>39873</c:v>
                </c:pt>
                <c:pt idx="306">
                  <c:v>39904</c:v>
                </c:pt>
                <c:pt idx="307">
                  <c:v>39934</c:v>
                </c:pt>
                <c:pt idx="308">
                  <c:v>39965</c:v>
                </c:pt>
                <c:pt idx="309">
                  <c:v>39995</c:v>
                </c:pt>
                <c:pt idx="310">
                  <c:v>40026</c:v>
                </c:pt>
                <c:pt idx="311">
                  <c:v>40057</c:v>
                </c:pt>
                <c:pt idx="312">
                  <c:v>40087</c:v>
                </c:pt>
                <c:pt idx="313">
                  <c:v>40118</c:v>
                </c:pt>
                <c:pt idx="314">
                  <c:v>40148</c:v>
                </c:pt>
                <c:pt idx="315">
                  <c:v>40179</c:v>
                </c:pt>
                <c:pt idx="316">
                  <c:v>40210</c:v>
                </c:pt>
                <c:pt idx="317">
                  <c:v>40238</c:v>
                </c:pt>
                <c:pt idx="318">
                  <c:v>40269</c:v>
                </c:pt>
                <c:pt idx="319">
                  <c:v>40299</c:v>
                </c:pt>
                <c:pt idx="320">
                  <c:v>40330</c:v>
                </c:pt>
                <c:pt idx="321">
                  <c:v>40360</c:v>
                </c:pt>
                <c:pt idx="322">
                  <c:v>40391</c:v>
                </c:pt>
                <c:pt idx="323">
                  <c:v>40422</c:v>
                </c:pt>
                <c:pt idx="324">
                  <c:v>40452</c:v>
                </c:pt>
                <c:pt idx="325">
                  <c:v>40483</c:v>
                </c:pt>
                <c:pt idx="326">
                  <c:v>40513</c:v>
                </c:pt>
                <c:pt idx="327">
                  <c:v>40544</c:v>
                </c:pt>
                <c:pt idx="328">
                  <c:v>40575</c:v>
                </c:pt>
                <c:pt idx="329">
                  <c:v>40603</c:v>
                </c:pt>
                <c:pt idx="330">
                  <c:v>40634</c:v>
                </c:pt>
                <c:pt idx="331">
                  <c:v>40664</c:v>
                </c:pt>
                <c:pt idx="332">
                  <c:v>40695</c:v>
                </c:pt>
                <c:pt idx="333">
                  <c:v>40725</c:v>
                </c:pt>
                <c:pt idx="334">
                  <c:v>40756</c:v>
                </c:pt>
                <c:pt idx="335">
                  <c:v>40787</c:v>
                </c:pt>
                <c:pt idx="336">
                  <c:v>40817</c:v>
                </c:pt>
                <c:pt idx="337">
                  <c:v>40848</c:v>
                </c:pt>
                <c:pt idx="338">
                  <c:v>40878</c:v>
                </c:pt>
                <c:pt idx="339">
                  <c:v>40909</c:v>
                </c:pt>
                <c:pt idx="340">
                  <c:v>40940</c:v>
                </c:pt>
                <c:pt idx="341">
                  <c:v>40969</c:v>
                </c:pt>
                <c:pt idx="342">
                  <c:v>41000</c:v>
                </c:pt>
                <c:pt idx="343">
                  <c:v>41030</c:v>
                </c:pt>
                <c:pt idx="344">
                  <c:v>41061</c:v>
                </c:pt>
                <c:pt idx="345">
                  <c:v>41091</c:v>
                </c:pt>
                <c:pt idx="346">
                  <c:v>41122</c:v>
                </c:pt>
                <c:pt idx="347">
                  <c:v>41153</c:v>
                </c:pt>
                <c:pt idx="348">
                  <c:v>41183</c:v>
                </c:pt>
                <c:pt idx="349">
                  <c:v>41214</c:v>
                </c:pt>
                <c:pt idx="350">
                  <c:v>41244</c:v>
                </c:pt>
                <c:pt idx="351">
                  <c:v>41275</c:v>
                </c:pt>
                <c:pt idx="352">
                  <c:v>41306</c:v>
                </c:pt>
                <c:pt idx="353">
                  <c:v>41334</c:v>
                </c:pt>
                <c:pt idx="354">
                  <c:v>41365</c:v>
                </c:pt>
                <c:pt idx="355">
                  <c:v>41395</c:v>
                </c:pt>
                <c:pt idx="356">
                  <c:v>41426</c:v>
                </c:pt>
                <c:pt idx="357">
                  <c:v>41456</c:v>
                </c:pt>
                <c:pt idx="358">
                  <c:v>41487</c:v>
                </c:pt>
                <c:pt idx="359">
                  <c:v>41518</c:v>
                </c:pt>
                <c:pt idx="360">
                  <c:v>41548</c:v>
                </c:pt>
                <c:pt idx="361">
                  <c:v>41579</c:v>
                </c:pt>
                <c:pt idx="362">
                  <c:v>41609</c:v>
                </c:pt>
                <c:pt idx="363">
                  <c:v>41640</c:v>
                </c:pt>
                <c:pt idx="364">
                  <c:v>41671</c:v>
                </c:pt>
                <c:pt idx="365">
                  <c:v>41699</c:v>
                </c:pt>
                <c:pt idx="366">
                  <c:v>41730</c:v>
                </c:pt>
                <c:pt idx="367">
                  <c:v>41760</c:v>
                </c:pt>
                <c:pt idx="368">
                  <c:v>41791</c:v>
                </c:pt>
                <c:pt idx="369">
                  <c:v>41821</c:v>
                </c:pt>
                <c:pt idx="370">
                  <c:v>41852</c:v>
                </c:pt>
                <c:pt idx="371">
                  <c:v>41883</c:v>
                </c:pt>
                <c:pt idx="372">
                  <c:v>41913</c:v>
                </c:pt>
                <c:pt idx="373">
                  <c:v>41944</c:v>
                </c:pt>
                <c:pt idx="374">
                  <c:v>41974</c:v>
                </c:pt>
                <c:pt idx="375">
                  <c:v>42005</c:v>
                </c:pt>
                <c:pt idx="376">
                  <c:v>42036</c:v>
                </c:pt>
                <c:pt idx="377">
                  <c:v>42064</c:v>
                </c:pt>
                <c:pt idx="378">
                  <c:v>42095</c:v>
                </c:pt>
                <c:pt idx="379">
                  <c:v>42125</c:v>
                </c:pt>
                <c:pt idx="380">
                  <c:v>42156</c:v>
                </c:pt>
                <c:pt idx="381">
                  <c:v>42186</c:v>
                </c:pt>
                <c:pt idx="382">
                  <c:v>42217</c:v>
                </c:pt>
                <c:pt idx="383">
                  <c:v>42248</c:v>
                </c:pt>
                <c:pt idx="384">
                  <c:v>42278</c:v>
                </c:pt>
                <c:pt idx="385">
                  <c:v>42309</c:v>
                </c:pt>
                <c:pt idx="386">
                  <c:v>42339</c:v>
                </c:pt>
                <c:pt idx="387">
                  <c:v>42370</c:v>
                </c:pt>
                <c:pt idx="388">
                  <c:v>42401</c:v>
                </c:pt>
                <c:pt idx="389">
                  <c:v>42430</c:v>
                </c:pt>
                <c:pt idx="390">
                  <c:v>42461</c:v>
                </c:pt>
                <c:pt idx="391">
                  <c:v>42491</c:v>
                </c:pt>
                <c:pt idx="392">
                  <c:v>42522</c:v>
                </c:pt>
                <c:pt idx="393">
                  <c:v>42552</c:v>
                </c:pt>
                <c:pt idx="394">
                  <c:v>42583</c:v>
                </c:pt>
                <c:pt idx="395">
                  <c:v>42614</c:v>
                </c:pt>
                <c:pt idx="396">
                  <c:v>42644</c:v>
                </c:pt>
                <c:pt idx="397">
                  <c:v>42675</c:v>
                </c:pt>
                <c:pt idx="398">
                  <c:v>42705</c:v>
                </c:pt>
                <c:pt idx="399">
                  <c:v>42736</c:v>
                </c:pt>
                <c:pt idx="400">
                  <c:v>42767</c:v>
                </c:pt>
                <c:pt idx="401">
                  <c:v>42795</c:v>
                </c:pt>
                <c:pt idx="402">
                  <c:v>42826</c:v>
                </c:pt>
                <c:pt idx="403">
                  <c:v>42856</c:v>
                </c:pt>
                <c:pt idx="404">
                  <c:v>42887</c:v>
                </c:pt>
                <c:pt idx="405">
                  <c:v>42917</c:v>
                </c:pt>
                <c:pt idx="406">
                  <c:v>42948</c:v>
                </c:pt>
                <c:pt idx="407">
                  <c:v>42979</c:v>
                </c:pt>
                <c:pt idx="408">
                  <c:v>43009</c:v>
                </c:pt>
                <c:pt idx="409">
                  <c:v>43040</c:v>
                </c:pt>
                <c:pt idx="410">
                  <c:v>43070</c:v>
                </c:pt>
                <c:pt idx="411">
                  <c:v>43101</c:v>
                </c:pt>
                <c:pt idx="412">
                  <c:v>43132</c:v>
                </c:pt>
                <c:pt idx="413">
                  <c:v>43160</c:v>
                </c:pt>
                <c:pt idx="414">
                  <c:v>43191</c:v>
                </c:pt>
                <c:pt idx="415">
                  <c:v>43221</c:v>
                </c:pt>
                <c:pt idx="416">
                  <c:v>43252</c:v>
                </c:pt>
                <c:pt idx="417">
                  <c:v>43282</c:v>
                </c:pt>
                <c:pt idx="418">
                  <c:v>43313</c:v>
                </c:pt>
                <c:pt idx="419">
                  <c:v>43344</c:v>
                </c:pt>
                <c:pt idx="420">
                  <c:v>43374</c:v>
                </c:pt>
                <c:pt idx="421">
                  <c:v>43405</c:v>
                </c:pt>
                <c:pt idx="422">
                  <c:v>43435</c:v>
                </c:pt>
                <c:pt idx="423">
                  <c:v>43466</c:v>
                </c:pt>
                <c:pt idx="424">
                  <c:v>43497</c:v>
                </c:pt>
                <c:pt idx="425">
                  <c:v>43525</c:v>
                </c:pt>
                <c:pt idx="426">
                  <c:v>43556</c:v>
                </c:pt>
                <c:pt idx="427">
                  <c:v>43586</c:v>
                </c:pt>
                <c:pt idx="428">
                  <c:v>43617</c:v>
                </c:pt>
                <c:pt idx="429">
                  <c:v>43647</c:v>
                </c:pt>
                <c:pt idx="430">
                  <c:v>43678</c:v>
                </c:pt>
                <c:pt idx="431">
                  <c:v>43709</c:v>
                </c:pt>
                <c:pt idx="432">
                  <c:v>43739</c:v>
                </c:pt>
                <c:pt idx="433">
                  <c:v>43770</c:v>
                </c:pt>
                <c:pt idx="434">
                  <c:v>43800</c:v>
                </c:pt>
                <c:pt idx="435">
                  <c:v>43831</c:v>
                </c:pt>
                <c:pt idx="436">
                  <c:v>43862</c:v>
                </c:pt>
                <c:pt idx="437">
                  <c:v>43891</c:v>
                </c:pt>
                <c:pt idx="438">
                  <c:v>43922</c:v>
                </c:pt>
                <c:pt idx="439">
                  <c:v>43952</c:v>
                </c:pt>
                <c:pt idx="440">
                  <c:v>43983</c:v>
                </c:pt>
                <c:pt idx="441">
                  <c:v>44013</c:v>
                </c:pt>
                <c:pt idx="442">
                  <c:v>44044</c:v>
                </c:pt>
                <c:pt idx="443">
                  <c:v>44075</c:v>
                </c:pt>
                <c:pt idx="444">
                  <c:v>44105</c:v>
                </c:pt>
                <c:pt idx="445">
                  <c:v>44136</c:v>
                </c:pt>
                <c:pt idx="446">
                  <c:v>44166</c:v>
                </c:pt>
                <c:pt idx="447">
                  <c:v>44197</c:v>
                </c:pt>
                <c:pt idx="448">
                  <c:v>44228</c:v>
                </c:pt>
                <c:pt idx="449">
                  <c:v>44256</c:v>
                </c:pt>
              </c:numCache>
            </c:numRef>
          </c:cat>
          <c:val>
            <c:numRef>
              <c:f>女発放廃!$AQ$34:$AQ$484</c:f>
              <c:numCache>
                <c:formatCode>0.0E+00</c:formatCode>
                <c:ptCount val="451"/>
                <c:pt idx="126">
                  <c:v>0</c:v>
                </c:pt>
                <c:pt idx="127">
                  <c:v>0</c:v>
                </c:pt>
                <c:pt idx="128">
                  <c:v>0</c:v>
                </c:pt>
                <c:pt idx="129">
                  <c:v>0</c:v>
                </c:pt>
                <c:pt idx="130">
                  <c:v>0</c:v>
                </c:pt>
                <c:pt idx="131">
                  <c:v>0</c:v>
                </c:pt>
                <c:pt idx="132">
                  <c:v>0</c:v>
                </c:pt>
                <c:pt idx="133">
                  <c:v>0</c:v>
                </c:pt>
                <c:pt idx="134">
                  <c:v>0</c:v>
                </c:pt>
                <c:pt idx="135">
                  <c:v>0</c:v>
                </c:pt>
                <c:pt idx="136">
                  <c:v>0</c:v>
                </c:pt>
                <c:pt idx="137">
                  <c:v>0</c:v>
                </c:pt>
                <c:pt idx="138">
                  <c:v>7.3702435128456645E-2</c:v>
                </c:pt>
                <c:pt idx="139">
                  <c:v>7.3702435128456645E-2</c:v>
                </c:pt>
                <c:pt idx="140">
                  <c:v>7.3702435128456645E-2</c:v>
                </c:pt>
                <c:pt idx="141">
                  <c:v>0</c:v>
                </c:pt>
                <c:pt idx="142">
                  <c:v>0</c:v>
                </c:pt>
                <c:pt idx="143">
                  <c:v>0</c:v>
                </c:pt>
                <c:pt idx="144">
                  <c:v>0.14086772934968317</c:v>
                </c:pt>
                <c:pt idx="145">
                  <c:v>0.14086772934968317</c:v>
                </c:pt>
                <c:pt idx="146">
                  <c:v>0.14086772934968317</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0.74192864880278231</c:v>
                </c:pt>
                <c:pt idx="163">
                  <c:v>0.74192864880278231</c:v>
                </c:pt>
                <c:pt idx="164">
                  <c:v>0.74192864880278231</c:v>
                </c:pt>
                <c:pt idx="165">
                  <c:v>0.16371854222628646</c:v>
                </c:pt>
                <c:pt idx="166">
                  <c:v>0.16371854222628643</c:v>
                </c:pt>
                <c:pt idx="167">
                  <c:v>0.16371854222628643</c:v>
                </c:pt>
                <c:pt idx="168">
                  <c:v>0</c:v>
                </c:pt>
                <c:pt idx="169">
                  <c:v>0</c:v>
                </c:pt>
                <c:pt idx="170">
                  <c:v>0</c:v>
                </c:pt>
                <c:pt idx="171">
                  <c:v>0</c:v>
                </c:pt>
                <c:pt idx="172">
                  <c:v>0</c:v>
                </c:pt>
                <c:pt idx="173">
                  <c:v>0</c:v>
                </c:pt>
                <c:pt idx="174">
                  <c:v>0</c:v>
                </c:pt>
                <c:pt idx="175">
                  <c:v>0</c:v>
                </c:pt>
                <c:pt idx="176">
                  <c:v>0</c:v>
                </c:pt>
                <c:pt idx="177">
                  <c:v>0</c:v>
                </c:pt>
                <c:pt idx="178">
                  <c:v>0</c:v>
                </c:pt>
                <c:pt idx="179">
                  <c:v>0</c:v>
                </c:pt>
                <c:pt idx="180">
                  <c:v>0.52492498039414737</c:v>
                </c:pt>
                <c:pt idx="181">
                  <c:v>0.52492498039414737</c:v>
                </c:pt>
                <c:pt idx="182">
                  <c:v>0.52492498039414737</c:v>
                </c:pt>
                <c:pt idx="183">
                  <c:v>0</c:v>
                </c:pt>
                <c:pt idx="184">
                  <c:v>0</c:v>
                </c:pt>
                <c:pt idx="185">
                  <c:v>0</c:v>
                </c:pt>
                <c:pt idx="186">
                  <c:v>0</c:v>
                </c:pt>
                <c:pt idx="187">
                  <c:v>0</c:v>
                </c:pt>
                <c:pt idx="188">
                  <c:v>0</c:v>
                </c:pt>
                <c:pt idx="189">
                  <c:v>0</c:v>
                </c:pt>
                <c:pt idx="190">
                  <c:v>0</c:v>
                </c:pt>
                <c:pt idx="191">
                  <c:v>0</c:v>
                </c:pt>
                <c:pt idx="192">
                  <c:v>0</c:v>
                </c:pt>
                <c:pt idx="193">
                  <c:v>0</c:v>
                </c:pt>
                <c:pt idx="194">
                  <c:v>0</c:v>
                </c:pt>
                <c:pt idx="195">
                  <c:v>0.74192782526115875</c:v>
                </c:pt>
                <c:pt idx="196">
                  <c:v>0.74192782526115864</c:v>
                </c:pt>
                <c:pt idx="197">
                  <c:v>0.74192782526115875</c:v>
                </c:pt>
                <c:pt idx="198">
                  <c:v>0</c:v>
                </c:pt>
                <c:pt idx="199">
                  <c:v>0</c:v>
                </c:pt>
                <c:pt idx="200">
                  <c:v>0</c:v>
                </c:pt>
                <c:pt idx="201">
                  <c:v>0</c:v>
                </c:pt>
                <c:pt idx="202">
                  <c:v>0</c:v>
                </c:pt>
                <c:pt idx="203">
                  <c:v>0</c:v>
                </c:pt>
                <c:pt idx="204">
                  <c:v>0</c:v>
                </c:pt>
                <c:pt idx="205">
                  <c:v>0</c:v>
                </c:pt>
                <c:pt idx="206">
                  <c:v>0</c:v>
                </c:pt>
                <c:pt idx="207">
                  <c:v>0</c:v>
                </c:pt>
                <c:pt idx="208">
                  <c:v>0</c:v>
                </c:pt>
                <c:pt idx="209">
                  <c:v>0</c:v>
                </c:pt>
                <c:pt idx="210">
                  <c:v>0.91151132817799496</c:v>
                </c:pt>
                <c:pt idx="211">
                  <c:v>0.91151132817799496</c:v>
                </c:pt>
                <c:pt idx="212">
                  <c:v>0.91151132817799496</c:v>
                </c:pt>
                <c:pt idx="213">
                  <c:v>5.543953170360625E-2</c:v>
                </c:pt>
                <c:pt idx="214">
                  <c:v>5.543953170360625E-2</c:v>
                </c:pt>
                <c:pt idx="215">
                  <c:v>5.5439531703606243E-2</c:v>
                </c:pt>
                <c:pt idx="216">
                  <c:v>1.9437532495090211</c:v>
                </c:pt>
                <c:pt idx="217">
                  <c:v>1.9437532495090211</c:v>
                </c:pt>
                <c:pt idx="218">
                  <c:v>1.9437532495090208</c:v>
                </c:pt>
                <c:pt idx="219">
                  <c:v>0</c:v>
                </c:pt>
                <c:pt idx="220">
                  <c:v>0</c:v>
                </c:pt>
                <c:pt idx="221">
                  <c:v>0</c:v>
                </c:pt>
                <c:pt idx="222">
                  <c:v>0</c:v>
                </c:pt>
                <c:pt idx="223">
                  <c:v>0</c:v>
                </c:pt>
                <c:pt idx="224">
                  <c:v>0</c:v>
                </c:pt>
                <c:pt idx="225">
                  <c:v>1.0483762748255503</c:v>
                </c:pt>
                <c:pt idx="226">
                  <c:v>1.0483762748255503</c:v>
                </c:pt>
                <c:pt idx="227">
                  <c:v>1.0483762748255503</c:v>
                </c:pt>
                <c:pt idx="228">
                  <c:v>1.1112788513150833</c:v>
                </c:pt>
                <c:pt idx="229">
                  <c:v>1.1112788513150833</c:v>
                </c:pt>
                <c:pt idx="230">
                  <c:v>1.1112788513150833</c:v>
                </c:pt>
                <c:pt idx="231">
                  <c:v>1.1359745743715659</c:v>
                </c:pt>
                <c:pt idx="232">
                  <c:v>1.1359745743715657</c:v>
                </c:pt>
                <c:pt idx="233">
                  <c:v>1.1359745743715659</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1.577121611769279</c:v>
                </c:pt>
                <c:pt idx="271">
                  <c:v>1.577121611769279</c:v>
                </c:pt>
                <c:pt idx="272">
                  <c:v>0</c:v>
                </c:pt>
                <c:pt idx="273">
                  <c:v>0</c:v>
                </c:pt>
                <c:pt idx="274">
                  <c:v>0</c:v>
                </c:pt>
                <c:pt idx="275">
                  <c:v>0</c:v>
                </c:pt>
                <c:pt idx="276">
                  <c:v>0</c:v>
                </c:pt>
                <c:pt idx="277">
                  <c:v>0</c:v>
                </c:pt>
                <c:pt idx="278">
                  <c:v>0</c:v>
                </c:pt>
                <c:pt idx="279">
                  <c:v>0.16671549145862924</c:v>
                </c:pt>
                <c:pt idx="280">
                  <c:v>0.16671549145862929</c:v>
                </c:pt>
                <c:pt idx="281">
                  <c:v>0.16671549145862927</c:v>
                </c:pt>
                <c:pt idx="282">
                  <c:v>0</c:v>
                </c:pt>
                <c:pt idx="283">
                  <c:v>0</c:v>
                </c:pt>
                <c:pt idx="284">
                  <c:v>0</c:v>
                </c:pt>
                <c:pt idx="285">
                  <c:v>0</c:v>
                </c:pt>
                <c:pt idx="286">
                  <c:v>1.2385198219918247E-2</c:v>
                </c:pt>
                <c:pt idx="287">
                  <c:v>1.2385198219918245E-2</c:v>
                </c:pt>
                <c:pt idx="288">
                  <c:v>0.21057271322906193</c:v>
                </c:pt>
                <c:pt idx="289">
                  <c:v>0</c:v>
                </c:pt>
                <c:pt idx="290">
                  <c:v>0</c:v>
                </c:pt>
                <c:pt idx="291">
                  <c:v>2.2243138176994547E-2</c:v>
                </c:pt>
                <c:pt idx="292">
                  <c:v>2.224313817699455E-2</c:v>
                </c:pt>
                <c:pt idx="293">
                  <c:v>2.2243138176994543E-2</c:v>
                </c:pt>
                <c:pt idx="294">
                  <c:v>0.23024425162687165</c:v>
                </c:pt>
                <c:pt idx="295">
                  <c:v>0.23024425162687165</c:v>
                </c:pt>
                <c:pt idx="296">
                  <c:v>0.23024425162687165</c:v>
                </c:pt>
                <c:pt idx="297">
                  <c:v>0.29065618722015096</c:v>
                </c:pt>
                <c:pt idx="298">
                  <c:v>0.29065618722015102</c:v>
                </c:pt>
                <c:pt idx="299">
                  <c:v>0.29065618722015096</c:v>
                </c:pt>
                <c:pt idx="300">
                  <c:v>0.31112291341741211</c:v>
                </c:pt>
                <c:pt idx="301">
                  <c:v>0.31112291341741205</c:v>
                </c:pt>
                <c:pt idx="302">
                  <c:v>0.31112291341741211</c:v>
                </c:pt>
                <c:pt idx="303">
                  <c:v>0</c:v>
                </c:pt>
                <c:pt idx="304">
                  <c:v>0</c:v>
                </c:pt>
                <c:pt idx="305">
                  <c:v>0</c:v>
                </c:pt>
                <c:pt idx="306">
                  <c:v>0</c:v>
                </c:pt>
                <c:pt idx="307">
                  <c:v>0</c:v>
                </c:pt>
                <c:pt idx="308">
                  <c:v>0</c:v>
                </c:pt>
                <c:pt idx="309">
                  <c:v>0</c:v>
                </c:pt>
                <c:pt idx="310">
                  <c:v>0</c:v>
                </c:pt>
                <c:pt idx="311">
                  <c:v>0</c:v>
                </c:pt>
                <c:pt idx="312">
                  <c:v>0.57959348005810041</c:v>
                </c:pt>
                <c:pt idx="313">
                  <c:v>0.57959348005810019</c:v>
                </c:pt>
                <c:pt idx="314">
                  <c:v>0.57959348005810019</c:v>
                </c:pt>
                <c:pt idx="315">
                  <c:v>0</c:v>
                </c:pt>
                <c:pt idx="316">
                  <c:v>0</c:v>
                </c:pt>
                <c:pt idx="317">
                  <c:v>0</c:v>
                </c:pt>
                <c:pt idx="318">
                  <c:v>0.20926937622871564</c:v>
                </c:pt>
                <c:pt idx="319">
                  <c:v>0.20926937622871564</c:v>
                </c:pt>
                <c:pt idx="320">
                  <c:v>0.20926937622871564</c:v>
                </c:pt>
                <c:pt idx="321">
                  <c:v>4.9860870041359147E-2</c:v>
                </c:pt>
                <c:pt idx="322">
                  <c:v>4.9860870041359154E-2</c:v>
                </c:pt>
                <c:pt idx="323">
                  <c:v>4.986087004135914E-2</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numCache>
            </c:numRef>
          </c:val>
          <c:smooth val="0"/>
        </c:ser>
        <c:ser>
          <c:idx val="2"/>
          <c:order val="2"/>
          <c:tx>
            <c:strRef>
              <c:f>女発放廃!$AR$3</c:f>
              <c:strCache>
                <c:ptCount val="1"/>
                <c:pt idx="0">
                  <c:v>３号機</c:v>
                </c:pt>
              </c:strCache>
            </c:strRef>
          </c:tx>
          <c:spPr>
            <a:ln w="12700">
              <a:solidFill>
                <a:srgbClr val="FF0000"/>
              </a:solidFill>
              <a:prstDash val="solid"/>
            </a:ln>
          </c:spPr>
          <c:marker>
            <c:symbol val="triangle"/>
            <c:size val="7"/>
            <c:spPr>
              <a:solidFill>
                <a:schemeClr val="bg1"/>
              </a:solidFill>
              <a:ln>
                <a:solidFill>
                  <a:srgbClr val="FF0000"/>
                </a:solidFill>
                <a:prstDash val="solid"/>
              </a:ln>
            </c:spPr>
          </c:marker>
          <c:cat>
            <c:numRef>
              <c:f>女発放廃!$AF$34:$AF$484</c:f>
              <c:numCache>
                <c:formatCode>[$-411]ge\.m</c:formatCode>
                <c:ptCount val="451"/>
                <c:pt idx="0">
                  <c:v>30590</c:v>
                </c:pt>
                <c:pt idx="1">
                  <c:v>30621</c:v>
                </c:pt>
                <c:pt idx="2">
                  <c:v>30651</c:v>
                </c:pt>
                <c:pt idx="3">
                  <c:v>30682</c:v>
                </c:pt>
                <c:pt idx="4">
                  <c:v>30713</c:v>
                </c:pt>
                <c:pt idx="5">
                  <c:v>30742</c:v>
                </c:pt>
                <c:pt idx="6">
                  <c:v>30773</c:v>
                </c:pt>
                <c:pt idx="7">
                  <c:v>30803</c:v>
                </c:pt>
                <c:pt idx="8">
                  <c:v>30834</c:v>
                </c:pt>
                <c:pt idx="9">
                  <c:v>30864</c:v>
                </c:pt>
                <c:pt idx="10">
                  <c:v>30895</c:v>
                </c:pt>
                <c:pt idx="11">
                  <c:v>30926</c:v>
                </c:pt>
                <c:pt idx="12">
                  <c:v>30956</c:v>
                </c:pt>
                <c:pt idx="13">
                  <c:v>30987</c:v>
                </c:pt>
                <c:pt idx="14">
                  <c:v>31017</c:v>
                </c:pt>
                <c:pt idx="15">
                  <c:v>31048</c:v>
                </c:pt>
                <c:pt idx="16">
                  <c:v>31079</c:v>
                </c:pt>
                <c:pt idx="17">
                  <c:v>31107</c:v>
                </c:pt>
                <c:pt idx="18">
                  <c:v>31138</c:v>
                </c:pt>
                <c:pt idx="19">
                  <c:v>31168</c:v>
                </c:pt>
                <c:pt idx="20">
                  <c:v>31199</c:v>
                </c:pt>
                <c:pt idx="21">
                  <c:v>31229</c:v>
                </c:pt>
                <c:pt idx="22">
                  <c:v>31260</c:v>
                </c:pt>
                <c:pt idx="23">
                  <c:v>31291</c:v>
                </c:pt>
                <c:pt idx="24">
                  <c:v>31321</c:v>
                </c:pt>
                <c:pt idx="25">
                  <c:v>31352</c:v>
                </c:pt>
                <c:pt idx="26">
                  <c:v>31382</c:v>
                </c:pt>
                <c:pt idx="27">
                  <c:v>31413</c:v>
                </c:pt>
                <c:pt idx="28">
                  <c:v>31444</c:v>
                </c:pt>
                <c:pt idx="29">
                  <c:v>31472</c:v>
                </c:pt>
                <c:pt idx="30">
                  <c:v>31503</c:v>
                </c:pt>
                <c:pt idx="31">
                  <c:v>31533</c:v>
                </c:pt>
                <c:pt idx="32">
                  <c:v>31564</c:v>
                </c:pt>
                <c:pt idx="33">
                  <c:v>31594</c:v>
                </c:pt>
                <c:pt idx="34">
                  <c:v>31625</c:v>
                </c:pt>
                <c:pt idx="35">
                  <c:v>31656</c:v>
                </c:pt>
                <c:pt idx="36">
                  <c:v>31686</c:v>
                </c:pt>
                <c:pt idx="37">
                  <c:v>31717</c:v>
                </c:pt>
                <c:pt idx="38">
                  <c:v>31747</c:v>
                </c:pt>
                <c:pt idx="39">
                  <c:v>31778</c:v>
                </c:pt>
                <c:pt idx="40">
                  <c:v>31809</c:v>
                </c:pt>
                <c:pt idx="41">
                  <c:v>31837</c:v>
                </c:pt>
                <c:pt idx="42">
                  <c:v>31868</c:v>
                </c:pt>
                <c:pt idx="43">
                  <c:v>31898</c:v>
                </c:pt>
                <c:pt idx="44">
                  <c:v>31929</c:v>
                </c:pt>
                <c:pt idx="45">
                  <c:v>31959</c:v>
                </c:pt>
                <c:pt idx="46">
                  <c:v>31990</c:v>
                </c:pt>
                <c:pt idx="47">
                  <c:v>32021</c:v>
                </c:pt>
                <c:pt idx="48">
                  <c:v>32051</c:v>
                </c:pt>
                <c:pt idx="49">
                  <c:v>32082</c:v>
                </c:pt>
                <c:pt idx="50">
                  <c:v>32112</c:v>
                </c:pt>
                <c:pt idx="51">
                  <c:v>32143</c:v>
                </c:pt>
                <c:pt idx="52">
                  <c:v>32174</c:v>
                </c:pt>
                <c:pt idx="53">
                  <c:v>32203</c:v>
                </c:pt>
                <c:pt idx="54">
                  <c:v>32234</c:v>
                </c:pt>
                <c:pt idx="55">
                  <c:v>32264</c:v>
                </c:pt>
                <c:pt idx="56">
                  <c:v>32295</c:v>
                </c:pt>
                <c:pt idx="57">
                  <c:v>32325</c:v>
                </c:pt>
                <c:pt idx="58">
                  <c:v>32356</c:v>
                </c:pt>
                <c:pt idx="59">
                  <c:v>32387</c:v>
                </c:pt>
                <c:pt idx="60">
                  <c:v>32417</c:v>
                </c:pt>
                <c:pt idx="61">
                  <c:v>32448</c:v>
                </c:pt>
                <c:pt idx="62">
                  <c:v>32478</c:v>
                </c:pt>
                <c:pt idx="63">
                  <c:v>32509</c:v>
                </c:pt>
                <c:pt idx="64">
                  <c:v>32540</c:v>
                </c:pt>
                <c:pt idx="65">
                  <c:v>32568</c:v>
                </c:pt>
                <c:pt idx="66">
                  <c:v>32599</c:v>
                </c:pt>
                <c:pt idx="67">
                  <c:v>32629</c:v>
                </c:pt>
                <c:pt idx="68">
                  <c:v>32660</c:v>
                </c:pt>
                <c:pt idx="69">
                  <c:v>32690</c:v>
                </c:pt>
                <c:pt idx="70">
                  <c:v>32721</c:v>
                </c:pt>
                <c:pt idx="71">
                  <c:v>32752</c:v>
                </c:pt>
                <c:pt idx="72">
                  <c:v>32782</c:v>
                </c:pt>
                <c:pt idx="73">
                  <c:v>32813</c:v>
                </c:pt>
                <c:pt idx="74">
                  <c:v>32843</c:v>
                </c:pt>
                <c:pt idx="75">
                  <c:v>32874</c:v>
                </c:pt>
                <c:pt idx="76">
                  <c:v>32905</c:v>
                </c:pt>
                <c:pt idx="77">
                  <c:v>32933</c:v>
                </c:pt>
                <c:pt idx="78">
                  <c:v>32964</c:v>
                </c:pt>
                <c:pt idx="79">
                  <c:v>32994</c:v>
                </c:pt>
                <c:pt idx="80">
                  <c:v>33025</c:v>
                </c:pt>
                <c:pt idx="81">
                  <c:v>33055</c:v>
                </c:pt>
                <c:pt idx="82">
                  <c:v>33086</c:v>
                </c:pt>
                <c:pt idx="83">
                  <c:v>33117</c:v>
                </c:pt>
                <c:pt idx="84">
                  <c:v>33147</c:v>
                </c:pt>
                <c:pt idx="85">
                  <c:v>33178</c:v>
                </c:pt>
                <c:pt idx="86">
                  <c:v>33208</c:v>
                </c:pt>
                <c:pt idx="87">
                  <c:v>33239</c:v>
                </c:pt>
                <c:pt idx="88">
                  <c:v>33270</c:v>
                </c:pt>
                <c:pt idx="89">
                  <c:v>33298</c:v>
                </c:pt>
                <c:pt idx="90">
                  <c:v>33329</c:v>
                </c:pt>
                <c:pt idx="91">
                  <c:v>33359</c:v>
                </c:pt>
                <c:pt idx="92">
                  <c:v>33390</c:v>
                </c:pt>
                <c:pt idx="93">
                  <c:v>33420</c:v>
                </c:pt>
                <c:pt idx="94">
                  <c:v>33451</c:v>
                </c:pt>
                <c:pt idx="95">
                  <c:v>33482</c:v>
                </c:pt>
                <c:pt idx="96">
                  <c:v>33512</c:v>
                </c:pt>
                <c:pt idx="97">
                  <c:v>33543</c:v>
                </c:pt>
                <c:pt idx="98">
                  <c:v>33573</c:v>
                </c:pt>
                <c:pt idx="99">
                  <c:v>33604</c:v>
                </c:pt>
                <c:pt idx="100">
                  <c:v>33635</c:v>
                </c:pt>
                <c:pt idx="101">
                  <c:v>33664</c:v>
                </c:pt>
                <c:pt idx="102">
                  <c:v>33695</c:v>
                </c:pt>
                <c:pt idx="103">
                  <c:v>33725</c:v>
                </c:pt>
                <c:pt idx="104">
                  <c:v>33756</c:v>
                </c:pt>
                <c:pt idx="105">
                  <c:v>33786</c:v>
                </c:pt>
                <c:pt idx="106">
                  <c:v>33817</c:v>
                </c:pt>
                <c:pt idx="107">
                  <c:v>33848</c:v>
                </c:pt>
                <c:pt idx="108">
                  <c:v>33878</c:v>
                </c:pt>
                <c:pt idx="109">
                  <c:v>33909</c:v>
                </c:pt>
                <c:pt idx="110">
                  <c:v>33939</c:v>
                </c:pt>
                <c:pt idx="111">
                  <c:v>33970</c:v>
                </c:pt>
                <c:pt idx="112">
                  <c:v>34001</c:v>
                </c:pt>
                <c:pt idx="113">
                  <c:v>34029</c:v>
                </c:pt>
                <c:pt idx="114">
                  <c:v>34060</c:v>
                </c:pt>
                <c:pt idx="115">
                  <c:v>34090</c:v>
                </c:pt>
                <c:pt idx="116">
                  <c:v>34121</c:v>
                </c:pt>
                <c:pt idx="117">
                  <c:v>34151</c:v>
                </c:pt>
                <c:pt idx="118">
                  <c:v>34182</c:v>
                </c:pt>
                <c:pt idx="119">
                  <c:v>34213</c:v>
                </c:pt>
                <c:pt idx="120">
                  <c:v>34243</c:v>
                </c:pt>
                <c:pt idx="121">
                  <c:v>34274</c:v>
                </c:pt>
                <c:pt idx="122">
                  <c:v>34304</c:v>
                </c:pt>
                <c:pt idx="123">
                  <c:v>34335</c:v>
                </c:pt>
                <c:pt idx="124">
                  <c:v>34366</c:v>
                </c:pt>
                <c:pt idx="125">
                  <c:v>34394</c:v>
                </c:pt>
                <c:pt idx="126">
                  <c:v>34425</c:v>
                </c:pt>
                <c:pt idx="127">
                  <c:v>34455</c:v>
                </c:pt>
                <c:pt idx="128">
                  <c:v>34486</c:v>
                </c:pt>
                <c:pt idx="129">
                  <c:v>34516</c:v>
                </c:pt>
                <c:pt idx="130">
                  <c:v>34547</c:v>
                </c:pt>
                <c:pt idx="131">
                  <c:v>34578</c:v>
                </c:pt>
                <c:pt idx="132">
                  <c:v>34608</c:v>
                </c:pt>
                <c:pt idx="133">
                  <c:v>34639</c:v>
                </c:pt>
                <c:pt idx="134">
                  <c:v>34669</c:v>
                </c:pt>
                <c:pt idx="135">
                  <c:v>34700</c:v>
                </c:pt>
                <c:pt idx="136">
                  <c:v>34731</c:v>
                </c:pt>
                <c:pt idx="137">
                  <c:v>34759</c:v>
                </c:pt>
                <c:pt idx="138">
                  <c:v>34790</c:v>
                </c:pt>
                <c:pt idx="139">
                  <c:v>34820</c:v>
                </c:pt>
                <c:pt idx="140">
                  <c:v>34851</c:v>
                </c:pt>
                <c:pt idx="141">
                  <c:v>34881</c:v>
                </c:pt>
                <c:pt idx="142">
                  <c:v>34912</c:v>
                </c:pt>
                <c:pt idx="143">
                  <c:v>34943</c:v>
                </c:pt>
                <c:pt idx="144">
                  <c:v>34973</c:v>
                </c:pt>
                <c:pt idx="145">
                  <c:v>35004</c:v>
                </c:pt>
                <c:pt idx="146">
                  <c:v>35034</c:v>
                </c:pt>
                <c:pt idx="147">
                  <c:v>35065</c:v>
                </c:pt>
                <c:pt idx="148">
                  <c:v>35096</c:v>
                </c:pt>
                <c:pt idx="149">
                  <c:v>35125</c:v>
                </c:pt>
                <c:pt idx="150">
                  <c:v>35156</c:v>
                </c:pt>
                <c:pt idx="151">
                  <c:v>35186</c:v>
                </c:pt>
                <c:pt idx="152">
                  <c:v>35217</c:v>
                </c:pt>
                <c:pt idx="153">
                  <c:v>35247</c:v>
                </c:pt>
                <c:pt idx="154">
                  <c:v>35278</c:v>
                </c:pt>
                <c:pt idx="155">
                  <c:v>35309</c:v>
                </c:pt>
                <c:pt idx="156">
                  <c:v>35339</c:v>
                </c:pt>
                <c:pt idx="157">
                  <c:v>35370</c:v>
                </c:pt>
                <c:pt idx="158">
                  <c:v>35400</c:v>
                </c:pt>
                <c:pt idx="159">
                  <c:v>35431</c:v>
                </c:pt>
                <c:pt idx="160">
                  <c:v>35462</c:v>
                </c:pt>
                <c:pt idx="161">
                  <c:v>35490</c:v>
                </c:pt>
                <c:pt idx="162">
                  <c:v>35521</c:v>
                </c:pt>
                <c:pt idx="163">
                  <c:v>35551</c:v>
                </c:pt>
                <c:pt idx="164">
                  <c:v>35582</c:v>
                </c:pt>
                <c:pt idx="165">
                  <c:v>35612</c:v>
                </c:pt>
                <c:pt idx="166">
                  <c:v>35643</c:v>
                </c:pt>
                <c:pt idx="167">
                  <c:v>35674</c:v>
                </c:pt>
                <c:pt idx="168">
                  <c:v>35704</c:v>
                </c:pt>
                <c:pt idx="169">
                  <c:v>35735</c:v>
                </c:pt>
                <c:pt idx="170">
                  <c:v>35765</c:v>
                </c:pt>
                <c:pt idx="171">
                  <c:v>35796</c:v>
                </c:pt>
                <c:pt idx="172">
                  <c:v>35827</c:v>
                </c:pt>
                <c:pt idx="173">
                  <c:v>35855</c:v>
                </c:pt>
                <c:pt idx="174">
                  <c:v>35886</c:v>
                </c:pt>
                <c:pt idx="175">
                  <c:v>35916</c:v>
                </c:pt>
                <c:pt idx="176">
                  <c:v>35947</c:v>
                </c:pt>
                <c:pt idx="177">
                  <c:v>35977</c:v>
                </c:pt>
                <c:pt idx="178">
                  <c:v>36008</c:v>
                </c:pt>
                <c:pt idx="179">
                  <c:v>36039</c:v>
                </c:pt>
                <c:pt idx="180">
                  <c:v>36069</c:v>
                </c:pt>
                <c:pt idx="181">
                  <c:v>36100</c:v>
                </c:pt>
                <c:pt idx="182">
                  <c:v>36130</c:v>
                </c:pt>
                <c:pt idx="183">
                  <c:v>36161</c:v>
                </c:pt>
                <c:pt idx="184">
                  <c:v>36192</c:v>
                </c:pt>
                <c:pt idx="185">
                  <c:v>36220</c:v>
                </c:pt>
                <c:pt idx="186">
                  <c:v>36251</c:v>
                </c:pt>
                <c:pt idx="187">
                  <c:v>36281</c:v>
                </c:pt>
                <c:pt idx="188">
                  <c:v>36312</c:v>
                </c:pt>
                <c:pt idx="189">
                  <c:v>36342</c:v>
                </c:pt>
                <c:pt idx="190">
                  <c:v>36373</c:v>
                </c:pt>
                <c:pt idx="191">
                  <c:v>36404</c:v>
                </c:pt>
                <c:pt idx="192">
                  <c:v>36434</c:v>
                </c:pt>
                <c:pt idx="193">
                  <c:v>36465</c:v>
                </c:pt>
                <c:pt idx="194">
                  <c:v>36495</c:v>
                </c:pt>
                <c:pt idx="195">
                  <c:v>36526</c:v>
                </c:pt>
                <c:pt idx="196">
                  <c:v>36557</c:v>
                </c:pt>
                <c:pt idx="197">
                  <c:v>36586</c:v>
                </c:pt>
                <c:pt idx="198">
                  <c:v>36617</c:v>
                </c:pt>
                <c:pt idx="199">
                  <c:v>36647</c:v>
                </c:pt>
                <c:pt idx="200">
                  <c:v>36678</c:v>
                </c:pt>
                <c:pt idx="201">
                  <c:v>36708</c:v>
                </c:pt>
                <c:pt idx="202">
                  <c:v>36739</c:v>
                </c:pt>
                <c:pt idx="203">
                  <c:v>36770</c:v>
                </c:pt>
                <c:pt idx="204">
                  <c:v>36800</c:v>
                </c:pt>
                <c:pt idx="205">
                  <c:v>36831</c:v>
                </c:pt>
                <c:pt idx="206">
                  <c:v>36861</c:v>
                </c:pt>
                <c:pt idx="207">
                  <c:v>36892</c:v>
                </c:pt>
                <c:pt idx="208">
                  <c:v>36923</c:v>
                </c:pt>
                <c:pt idx="209">
                  <c:v>36951</c:v>
                </c:pt>
                <c:pt idx="210">
                  <c:v>36982</c:v>
                </c:pt>
                <c:pt idx="211">
                  <c:v>37012</c:v>
                </c:pt>
                <c:pt idx="212">
                  <c:v>37043</c:v>
                </c:pt>
                <c:pt idx="213">
                  <c:v>37073</c:v>
                </c:pt>
                <c:pt idx="214">
                  <c:v>37104</c:v>
                </c:pt>
                <c:pt idx="215">
                  <c:v>37135</c:v>
                </c:pt>
                <c:pt idx="216">
                  <c:v>37165</c:v>
                </c:pt>
                <c:pt idx="217">
                  <c:v>37196</c:v>
                </c:pt>
                <c:pt idx="218">
                  <c:v>37226</c:v>
                </c:pt>
                <c:pt idx="219">
                  <c:v>37257</c:v>
                </c:pt>
                <c:pt idx="220">
                  <c:v>37288</c:v>
                </c:pt>
                <c:pt idx="221">
                  <c:v>37316</c:v>
                </c:pt>
                <c:pt idx="222">
                  <c:v>37347</c:v>
                </c:pt>
                <c:pt idx="223">
                  <c:v>37377</c:v>
                </c:pt>
                <c:pt idx="224">
                  <c:v>37408</c:v>
                </c:pt>
                <c:pt idx="225">
                  <c:v>37438</c:v>
                </c:pt>
                <c:pt idx="226">
                  <c:v>37469</c:v>
                </c:pt>
                <c:pt idx="227">
                  <c:v>37500</c:v>
                </c:pt>
                <c:pt idx="228">
                  <c:v>37530</c:v>
                </c:pt>
                <c:pt idx="229">
                  <c:v>37561</c:v>
                </c:pt>
                <c:pt idx="230">
                  <c:v>37591</c:v>
                </c:pt>
                <c:pt idx="231">
                  <c:v>37622</c:v>
                </c:pt>
                <c:pt idx="232">
                  <c:v>37653</c:v>
                </c:pt>
                <c:pt idx="233">
                  <c:v>37681</c:v>
                </c:pt>
                <c:pt idx="234">
                  <c:v>37712</c:v>
                </c:pt>
                <c:pt idx="235">
                  <c:v>37742</c:v>
                </c:pt>
                <c:pt idx="236">
                  <c:v>37773</c:v>
                </c:pt>
                <c:pt idx="237">
                  <c:v>37803</c:v>
                </c:pt>
                <c:pt idx="238">
                  <c:v>37834</c:v>
                </c:pt>
                <c:pt idx="239">
                  <c:v>37865</c:v>
                </c:pt>
                <c:pt idx="240">
                  <c:v>37895</c:v>
                </c:pt>
                <c:pt idx="241">
                  <c:v>37926</c:v>
                </c:pt>
                <c:pt idx="242">
                  <c:v>37956</c:v>
                </c:pt>
                <c:pt idx="243">
                  <c:v>37987</c:v>
                </c:pt>
                <c:pt idx="244">
                  <c:v>38018</c:v>
                </c:pt>
                <c:pt idx="245">
                  <c:v>38047</c:v>
                </c:pt>
                <c:pt idx="246">
                  <c:v>38078</c:v>
                </c:pt>
                <c:pt idx="247">
                  <c:v>38108</c:v>
                </c:pt>
                <c:pt idx="248">
                  <c:v>38139</c:v>
                </c:pt>
                <c:pt idx="249">
                  <c:v>38169</c:v>
                </c:pt>
                <c:pt idx="250">
                  <c:v>38200</c:v>
                </c:pt>
                <c:pt idx="251">
                  <c:v>38231</c:v>
                </c:pt>
                <c:pt idx="252">
                  <c:v>38261</c:v>
                </c:pt>
                <c:pt idx="253">
                  <c:v>38292</c:v>
                </c:pt>
                <c:pt idx="254">
                  <c:v>38322</c:v>
                </c:pt>
                <c:pt idx="255">
                  <c:v>38353</c:v>
                </c:pt>
                <c:pt idx="256">
                  <c:v>38384</c:v>
                </c:pt>
                <c:pt idx="257">
                  <c:v>38412</c:v>
                </c:pt>
                <c:pt idx="258">
                  <c:v>38443</c:v>
                </c:pt>
                <c:pt idx="259">
                  <c:v>38473</c:v>
                </c:pt>
                <c:pt idx="260">
                  <c:v>38504</c:v>
                </c:pt>
                <c:pt idx="261">
                  <c:v>38534</c:v>
                </c:pt>
                <c:pt idx="262">
                  <c:v>38565</c:v>
                </c:pt>
                <c:pt idx="263">
                  <c:v>38596</c:v>
                </c:pt>
                <c:pt idx="264">
                  <c:v>38626</c:v>
                </c:pt>
                <c:pt idx="265">
                  <c:v>38657</c:v>
                </c:pt>
                <c:pt idx="266">
                  <c:v>38687</c:v>
                </c:pt>
                <c:pt idx="267">
                  <c:v>38718</c:v>
                </c:pt>
                <c:pt idx="268">
                  <c:v>38749</c:v>
                </c:pt>
                <c:pt idx="269">
                  <c:v>38777</c:v>
                </c:pt>
                <c:pt idx="270">
                  <c:v>38808</c:v>
                </c:pt>
                <c:pt idx="271">
                  <c:v>38838</c:v>
                </c:pt>
                <c:pt idx="272">
                  <c:v>38869</c:v>
                </c:pt>
                <c:pt idx="273">
                  <c:v>38899</c:v>
                </c:pt>
                <c:pt idx="274">
                  <c:v>38930</c:v>
                </c:pt>
                <c:pt idx="275">
                  <c:v>38961</c:v>
                </c:pt>
                <c:pt idx="276">
                  <c:v>38991</c:v>
                </c:pt>
                <c:pt idx="277">
                  <c:v>39022</c:v>
                </c:pt>
                <c:pt idx="278">
                  <c:v>39052</c:v>
                </c:pt>
                <c:pt idx="279">
                  <c:v>39083</c:v>
                </c:pt>
                <c:pt idx="280">
                  <c:v>39114</c:v>
                </c:pt>
                <c:pt idx="281">
                  <c:v>39142</c:v>
                </c:pt>
                <c:pt idx="282">
                  <c:v>39173</c:v>
                </c:pt>
                <c:pt idx="283">
                  <c:v>39203</c:v>
                </c:pt>
                <c:pt idx="284">
                  <c:v>39234</c:v>
                </c:pt>
                <c:pt idx="285">
                  <c:v>39264</c:v>
                </c:pt>
                <c:pt idx="286">
                  <c:v>39295</c:v>
                </c:pt>
                <c:pt idx="287">
                  <c:v>39326</c:v>
                </c:pt>
                <c:pt idx="288">
                  <c:v>39356</c:v>
                </c:pt>
                <c:pt idx="289">
                  <c:v>39387</c:v>
                </c:pt>
                <c:pt idx="290">
                  <c:v>39417</c:v>
                </c:pt>
                <c:pt idx="291">
                  <c:v>39448</c:v>
                </c:pt>
                <c:pt idx="292">
                  <c:v>39479</c:v>
                </c:pt>
                <c:pt idx="293">
                  <c:v>39508</c:v>
                </c:pt>
                <c:pt idx="294">
                  <c:v>39539</c:v>
                </c:pt>
                <c:pt idx="295">
                  <c:v>39569</c:v>
                </c:pt>
                <c:pt idx="296">
                  <c:v>39600</c:v>
                </c:pt>
                <c:pt idx="297">
                  <c:v>39630</c:v>
                </c:pt>
                <c:pt idx="298">
                  <c:v>39661</c:v>
                </c:pt>
                <c:pt idx="299">
                  <c:v>39692</c:v>
                </c:pt>
                <c:pt idx="300">
                  <c:v>39722</c:v>
                </c:pt>
                <c:pt idx="301">
                  <c:v>39753</c:v>
                </c:pt>
                <c:pt idx="302">
                  <c:v>39783</c:v>
                </c:pt>
                <c:pt idx="303">
                  <c:v>39814</c:v>
                </c:pt>
                <c:pt idx="304">
                  <c:v>39845</c:v>
                </c:pt>
                <c:pt idx="305">
                  <c:v>39873</c:v>
                </c:pt>
                <c:pt idx="306">
                  <c:v>39904</c:v>
                </c:pt>
                <c:pt idx="307">
                  <c:v>39934</c:v>
                </c:pt>
                <c:pt idx="308">
                  <c:v>39965</c:v>
                </c:pt>
                <c:pt idx="309">
                  <c:v>39995</c:v>
                </c:pt>
                <c:pt idx="310">
                  <c:v>40026</c:v>
                </c:pt>
                <c:pt idx="311">
                  <c:v>40057</c:v>
                </c:pt>
                <c:pt idx="312">
                  <c:v>40087</c:v>
                </c:pt>
                <c:pt idx="313">
                  <c:v>40118</c:v>
                </c:pt>
                <c:pt idx="314">
                  <c:v>40148</c:v>
                </c:pt>
                <c:pt idx="315">
                  <c:v>40179</c:v>
                </c:pt>
                <c:pt idx="316">
                  <c:v>40210</c:v>
                </c:pt>
                <c:pt idx="317">
                  <c:v>40238</c:v>
                </c:pt>
                <c:pt idx="318">
                  <c:v>40269</c:v>
                </c:pt>
                <c:pt idx="319">
                  <c:v>40299</c:v>
                </c:pt>
                <c:pt idx="320">
                  <c:v>40330</c:v>
                </c:pt>
                <c:pt idx="321">
                  <c:v>40360</c:v>
                </c:pt>
                <c:pt idx="322">
                  <c:v>40391</c:v>
                </c:pt>
                <c:pt idx="323">
                  <c:v>40422</c:v>
                </c:pt>
                <c:pt idx="324">
                  <c:v>40452</c:v>
                </c:pt>
                <c:pt idx="325">
                  <c:v>40483</c:v>
                </c:pt>
                <c:pt idx="326">
                  <c:v>40513</c:v>
                </c:pt>
                <c:pt idx="327">
                  <c:v>40544</c:v>
                </c:pt>
                <c:pt idx="328">
                  <c:v>40575</c:v>
                </c:pt>
                <c:pt idx="329">
                  <c:v>40603</c:v>
                </c:pt>
                <c:pt idx="330">
                  <c:v>40634</c:v>
                </c:pt>
                <c:pt idx="331">
                  <c:v>40664</c:v>
                </c:pt>
                <c:pt idx="332">
                  <c:v>40695</c:v>
                </c:pt>
                <c:pt idx="333">
                  <c:v>40725</c:v>
                </c:pt>
                <c:pt idx="334">
                  <c:v>40756</c:v>
                </c:pt>
                <c:pt idx="335">
                  <c:v>40787</c:v>
                </c:pt>
                <c:pt idx="336">
                  <c:v>40817</c:v>
                </c:pt>
                <c:pt idx="337">
                  <c:v>40848</c:v>
                </c:pt>
                <c:pt idx="338">
                  <c:v>40878</c:v>
                </c:pt>
                <c:pt idx="339">
                  <c:v>40909</c:v>
                </c:pt>
                <c:pt idx="340">
                  <c:v>40940</c:v>
                </c:pt>
                <c:pt idx="341">
                  <c:v>40969</c:v>
                </c:pt>
                <c:pt idx="342">
                  <c:v>41000</c:v>
                </c:pt>
                <c:pt idx="343">
                  <c:v>41030</c:v>
                </c:pt>
                <c:pt idx="344">
                  <c:v>41061</c:v>
                </c:pt>
                <c:pt idx="345">
                  <c:v>41091</c:v>
                </c:pt>
                <c:pt idx="346">
                  <c:v>41122</c:v>
                </c:pt>
                <c:pt idx="347">
                  <c:v>41153</c:v>
                </c:pt>
                <c:pt idx="348">
                  <c:v>41183</c:v>
                </c:pt>
                <c:pt idx="349">
                  <c:v>41214</c:v>
                </c:pt>
                <c:pt idx="350">
                  <c:v>41244</c:v>
                </c:pt>
                <c:pt idx="351">
                  <c:v>41275</c:v>
                </c:pt>
                <c:pt idx="352">
                  <c:v>41306</c:v>
                </c:pt>
                <c:pt idx="353">
                  <c:v>41334</c:v>
                </c:pt>
                <c:pt idx="354">
                  <c:v>41365</c:v>
                </c:pt>
                <c:pt idx="355">
                  <c:v>41395</c:v>
                </c:pt>
                <c:pt idx="356">
                  <c:v>41426</c:v>
                </c:pt>
                <c:pt idx="357">
                  <c:v>41456</c:v>
                </c:pt>
                <c:pt idx="358">
                  <c:v>41487</c:v>
                </c:pt>
                <c:pt idx="359">
                  <c:v>41518</c:v>
                </c:pt>
                <c:pt idx="360">
                  <c:v>41548</c:v>
                </c:pt>
                <c:pt idx="361">
                  <c:v>41579</c:v>
                </c:pt>
                <c:pt idx="362">
                  <c:v>41609</c:v>
                </c:pt>
                <c:pt idx="363">
                  <c:v>41640</c:v>
                </c:pt>
                <c:pt idx="364">
                  <c:v>41671</c:v>
                </c:pt>
                <c:pt idx="365">
                  <c:v>41699</c:v>
                </c:pt>
                <c:pt idx="366">
                  <c:v>41730</c:v>
                </c:pt>
                <c:pt idx="367">
                  <c:v>41760</c:v>
                </c:pt>
                <c:pt idx="368">
                  <c:v>41791</c:v>
                </c:pt>
                <c:pt idx="369">
                  <c:v>41821</c:v>
                </c:pt>
                <c:pt idx="370">
                  <c:v>41852</c:v>
                </c:pt>
                <c:pt idx="371">
                  <c:v>41883</c:v>
                </c:pt>
                <c:pt idx="372">
                  <c:v>41913</c:v>
                </c:pt>
                <c:pt idx="373">
                  <c:v>41944</c:v>
                </c:pt>
                <c:pt idx="374">
                  <c:v>41974</c:v>
                </c:pt>
                <c:pt idx="375">
                  <c:v>42005</c:v>
                </c:pt>
                <c:pt idx="376">
                  <c:v>42036</c:v>
                </c:pt>
                <c:pt idx="377">
                  <c:v>42064</c:v>
                </c:pt>
                <c:pt idx="378">
                  <c:v>42095</c:v>
                </c:pt>
                <c:pt idx="379">
                  <c:v>42125</c:v>
                </c:pt>
                <c:pt idx="380">
                  <c:v>42156</c:v>
                </c:pt>
                <c:pt idx="381">
                  <c:v>42186</c:v>
                </c:pt>
                <c:pt idx="382">
                  <c:v>42217</c:v>
                </c:pt>
                <c:pt idx="383">
                  <c:v>42248</c:v>
                </c:pt>
                <c:pt idx="384">
                  <c:v>42278</c:v>
                </c:pt>
                <c:pt idx="385">
                  <c:v>42309</c:v>
                </c:pt>
                <c:pt idx="386">
                  <c:v>42339</c:v>
                </c:pt>
                <c:pt idx="387">
                  <c:v>42370</c:v>
                </c:pt>
                <c:pt idx="388">
                  <c:v>42401</c:v>
                </c:pt>
                <c:pt idx="389">
                  <c:v>42430</c:v>
                </c:pt>
                <c:pt idx="390">
                  <c:v>42461</c:v>
                </c:pt>
                <c:pt idx="391">
                  <c:v>42491</c:v>
                </c:pt>
                <c:pt idx="392">
                  <c:v>42522</c:v>
                </c:pt>
                <c:pt idx="393">
                  <c:v>42552</c:v>
                </c:pt>
                <c:pt idx="394">
                  <c:v>42583</c:v>
                </c:pt>
                <c:pt idx="395">
                  <c:v>42614</c:v>
                </c:pt>
                <c:pt idx="396">
                  <c:v>42644</c:v>
                </c:pt>
                <c:pt idx="397">
                  <c:v>42675</c:v>
                </c:pt>
                <c:pt idx="398">
                  <c:v>42705</c:v>
                </c:pt>
                <c:pt idx="399">
                  <c:v>42736</c:v>
                </c:pt>
                <c:pt idx="400">
                  <c:v>42767</c:v>
                </c:pt>
                <c:pt idx="401">
                  <c:v>42795</c:v>
                </c:pt>
                <c:pt idx="402">
                  <c:v>42826</c:v>
                </c:pt>
                <c:pt idx="403">
                  <c:v>42856</c:v>
                </c:pt>
                <c:pt idx="404">
                  <c:v>42887</c:v>
                </c:pt>
                <c:pt idx="405">
                  <c:v>42917</c:v>
                </c:pt>
                <c:pt idx="406">
                  <c:v>42948</c:v>
                </c:pt>
                <c:pt idx="407">
                  <c:v>42979</c:v>
                </c:pt>
                <c:pt idx="408">
                  <c:v>43009</c:v>
                </c:pt>
                <c:pt idx="409">
                  <c:v>43040</c:v>
                </c:pt>
                <c:pt idx="410">
                  <c:v>43070</c:v>
                </c:pt>
                <c:pt idx="411">
                  <c:v>43101</c:v>
                </c:pt>
                <c:pt idx="412">
                  <c:v>43132</c:v>
                </c:pt>
                <c:pt idx="413">
                  <c:v>43160</c:v>
                </c:pt>
                <c:pt idx="414">
                  <c:v>43191</c:v>
                </c:pt>
                <c:pt idx="415">
                  <c:v>43221</c:v>
                </c:pt>
                <c:pt idx="416">
                  <c:v>43252</c:v>
                </c:pt>
                <c:pt idx="417">
                  <c:v>43282</c:v>
                </c:pt>
                <c:pt idx="418">
                  <c:v>43313</c:v>
                </c:pt>
                <c:pt idx="419">
                  <c:v>43344</c:v>
                </c:pt>
                <c:pt idx="420">
                  <c:v>43374</c:v>
                </c:pt>
                <c:pt idx="421">
                  <c:v>43405</c:v>
                </c:pt>
                <c:pt idx="422">
                  <c:v>43435</c:v>
                </c:pt>
                <c:pt idx="423">
                  <c:v>43466</c:v>
                </c:pt>
                <c:pt idx="424">
                  <c:v>43497</c:v>
                </c:pt>
                <c:pt idx="425">
                  <c:v>43525</c:v>
                </c:pt>
                <c:pt idx="426">
                  <c:v>43556</c:v>
                </c:pt>
                <c:pt idx="427">
                  <c:v>43586</c:v>
                </c:pt>
                <c:pt idx="428">
                  <c:v>43617</c:v>
                </c:pt>
                <c:pt idx="429">
                  <c:v>43647</c:v>
                </c:pt>
                <c:pt idx="430">
                  <c:v>43678</c:v>
                </c:pt>
                <c:pt idx="431">
                  <c:v>43709</c:v>
                </c:pt>
                <c:pt idx="432">
                  <c:v>43739</c:v>
                </c:pt>
                <c:pt idx="433">
                  <c:v>43770</c:v>
                </c:pt>
                <c:pt idx="434">
                  <c:v>43800</c:v>
                </c:pt>
                <c:pt idx="435">
                  <c:v>43831</c:v>
                </c:pt>
                <c:pt idx="436">
                  <c:v>43862</c:v>
                </c:pt>
                <c:pt idx="437">
                  <c:v>43891</c:v>
                </c:pt>
                <c:pt idx="438">
                  <c:v>43922</c:v>
                </c:pt>
                <c:pt idx="439">
                  <c:v>43952</c:v>
                </c:pt>
                <c:pt idx="440">
                  <c:v>43983</c:v>
                </c:pt>
                <c:pt idx="441">
                  <c:v>44013</c:v>
                </c:pt>
                <c:pt idx="442">
                  <c:v>44044</c:v>
                </c:pt>
                <c:pt idx="443">
                  <c:v>44075</c:v>
                </c:pt>
                <c:pt idx="444">
                  <c:v>44105</c:v>
                </c:pt>
                <c:pt idx="445">
                  <c:v>44136</c:v>
                </c:pt>
                <c:pt idx="446">
                  <c:v>44166</c:v>
                </c:pt>
                <c:pt idx="447">
                  <c:v>44197</c:v>
                </c:pt>
                <c:pt idx="448">
                  <c:v>44228</c:v>
                </c:pt>
                <c:pt idx="449">
                  <c:v>44256</c:v>
                </c:pt>
              </c:numCache>
            </c:numRef>
          </c:cat>
          <c:val>
            <c:numRef>
              <c:f>女発放廃!$AR$34:$AR$484</c:f>
              <c:numCache>
                <c:formatCode>0.0E+00</c:formatCode>
                <c:ptCount val="451"/>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2.3064278046162102E-3</c:v>
                </c:pt>
                <c:pt idx="226">
                  <c:v>2.3064278046162102E-3</c:v>
                </c:pt>
                <c:pt idx="227">
                  <c:v>2.3064278046162107E-3</c:v>
                </c:pt>
                <c:pt idx="228">
                  <c:v>2.7260836071770099E-3</c:v>
                </c:pt>
                <c:pt idx="229">
                  <c:v>2.7260836071770103E-3</c:v>
                </c:pt>
                <c:pt idx="230">
                  <c:v>2.7260836071770103E-3</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5.0695861347681967E-3</c:v>
                </c:pt>
                <c:pt idx="253">
                  <c:v>5.0695861347681967E-3</c:v>
                </c:pt>
                <c:pt idx="254">
                  <c:v>5.0695861347681958E-3</c:v>
                </c:pt>
                <c:pt idx="255">
                  <c:v>0</c:v>
                </c:pt>
                <c:pt idx="256">
                  <c:v>0</c:v>
                </c:pt>
                <c:pt idx="257">
                  <c:v>0</c:v>
                </c:pt>
                <c:pt idx="258">
                  <c:v>3.0734355743529114E-3</c:v>
                </c:pt>
                <c:pt idx="259">
                  <c:v>3.0734355743529105E-3</c:v>
                </c:pt>
                <c:pt idx="260">
                  <c:v>3.0734355743529105E-3</c:v>
                </c:pt>
                <c:pt idx="261">
                  <c:v>1.3076197091001149E-3</c:v>
                </c:pt>
                <c:pt idx="262">
                  <c:v>1.3076197091001151E-3</c:v>
                </c:pt>
                <c:pt idx="263">
                  <c:v>0</c:v>
                </c:pt>
                <c:pt idx="264">
                  <c:v>0</c:v>
                </c:pt>
                <c:pt idx="265">
                  <c:v>0</c:v>
                </c:pt>
                <c:pt idx="266">
                  <c:v>0</c:v>
                </c:pt>
                <c:pt idx="267">
                  <c:v>0</c:v>
                </c:pt>
                <c:pt idx="268">
                  <c:v>0</c:v>
                </c:pt>
                <c:pt idx="269">
                  <c:v>0.10181058462821589</c:v>
                </c:pt>
                <c:pt idx="270">
                  <c:v>2.2514407881343759E-3</c:v>
                </c:pt>
                <c:pt idx="271">
                  <c:v>2.2514407881343759E-3</c:v>
                </c:pt>
                <c:pt idx="272">
                  <c:v>2.2514407881343754E-3</c:v>
                </c:pt>
                <c:pt idx="273">
                  <c:v>9.255081416864186E-2</c:v>
                </c:pt>
                <c:pt idx="274">
                  <c:v>0</c:v>
                </c:pt>
                <c:pt idx="275">
                  <c:v>0</c:v>
                </c:pt>
                <c:pt idx="276">
                  <c:v>0</c:v>
                </c:pt>
                <c:pt idx="277">
                  <c:v>0</c:v>
                </c:pt>
                <c:pt idx="278">
                  <c:v>0</c:v>
                </c:pt>
                <c:pt idx="279">
                  <c:v>5.2661291002081166E-3</c:v>
                </c:pt>
                <c:pt idx="280">
                  <c:v>5.2661291002081174E-3</c:v>
                </c:pt>
                <c:pt idx="281">
                  <c:v>5.2661291002081166E-3</c:v>
                </c:pt>
                <c:pt idx="282">
                  <c:v>9.9214487100027973E-3</c:v>
                </c:pt>
                <c:pt idx="283">
                  <c:v>9.9214487100027955E-3</c:v>
                </c:pt>
                <c:pt idx="284">
                  <c:v>0</c:v>
                </c:pt>
                <c:pt idx="285">
                  <c:v>0</c:v>
                </c:pt>
                <c:pt idx="286">
                  <c:v>0</c:v>
                </c:pt>
                <c:pt idx="287">
                  <c:v>0</c:v>
                </c:pt>
                <c:pt idx="288">
                  <c:v>0</c:v>
                </c:pt>
                <c:pt idx="289">
                  <c:v>8.2259553103048617E-3</c:v>
                </c:pt>
                <c:pt idx="290">
                  <c:v>8.2259553103048617E-3</c:v>
                </c:pt>
                <c:pt idx="291">
                  <c:v>1.4530150378312279E-3</c:v>
                </c:pt>
                <c:pt idx="292">
                  <c:v>1.4530150378312282E-3</c:v>
                </c:pt>
                <c:pt idx="293">
                  <c:v>1.4530150378312277E-3</c:v>
                </c:pt>
                <c:pt idx="294">
                  <c:v>0</c:v>
                </c:pt>
                <c:pt idx="295">
                  <c:v>0</c:v>
                </c:pt>
                <c:pt idx="296">
                  <c:v>0</c:v>
                </c:pt>
                <c:pt idx="297">
                  <c:v>8.5151822381703099E-4</c:v>
                </c:pt>
                <c:pt idx="298">
                  <c:v>8.5151822381703099E-4</c:v>
                </c:pt>
                <c:pt idx="299">
                  <c:v>8.5151822381703099E-4</c:v>
                </c:pt>
                <c:pt idx="300">
                  <c:v>1.4364590682658799E-2</c:v>
                </c:pt>
                <c:pt idx="301">
                  <c:v>1.4364590682658799E-2</c:v>
                </c:pt>
                <c:pt idx="302">
                  <c:v>0</c:v>
                </c:pt>
                <c:pt idx="303">
                  <c:v>0</c:v>
                </c:pt>
                <c:pt idx="304">
                  <c:v>0</c:v>
                </c:pt>
                <c:pt idx="305">
                  <c:v>0</c:v>
                </c:pt>
                <c:pt idx="306">
                  <c:v>0</c:v>
                </c:pt>
                <c:pt idx="307">
                  <c:v>0</c:v>
                </c:pt>
                <c:pt idx="308">
                  <c:v>15.227021040974531</c:v>
                </c:pt>
                <c:pt idx="309">
                  <c:v>2.0733435869597998E-3</c:v>
                </c:pt>
                <c:pt idx="310">
                  <c:v>2.0733435869598003E-3</c:v>
                </c:pt>
                <c:pt idx="311">
                  <c:v>2.0733435869597998E-3</c:v>
                </c:pt>
                <c:pt idx="312">
                  <c:v>0</c:v>
                </c:pt>
                <c:pt idx="313">
                  <c:v>0</c:v>
                </c:pt>
                <c:pt idx="314">
                  <c:v>0</c:v>
                </c:pt>
                <c:pt idx="315">
                  <c:v>5.5988837522429457E-3</c:v>
                </c:pt>
                <c:pt idx="316">
                  <c:v>5.5988837522429466E-3</c:v>
                </c:pt>
                <c:pt idx="317">
                  <c:v>5.5988837522429457E-3</c:v>
                </c:pt>
                <c:pt idx="318">
                  <c:v>3.0713743620699598E-2</c:v>
                </c:pt>
                <c:pt idx="319">
                  <c:v>3.0713743620699605E-2</c:v>
                </c:pt>
                <c:pt idx="320">
                  <c:v>3.0713743620699605E-2</c:v>
                </c:pt>
                <c:pt idx="321">
                  <c:v>0</c:v>
                </c:pt>
                <c:pt idx="322">
                  <c:v>0</c:v>
                </c:pt>
                <c:pt idx="323">
                  <c:v>0</c:v>
                </c:pt>
                <c:pt idx="324">
                  <c:v>0.13162008794919547</c:v>
                </c:pt>
                <c:pt idx="325">
                  <c:v>0.13162008794919544</c:v>
                </c:pt>
                <c:pt idx="326">
                  <c:v>0.13162008794919547</c:v>
                </c:pt>
                <c:pt idx="327">
                  <c:v>1.5875012456947574E-2</c:v>
                </c:pt>
                <c:pt idx="328">
                  <c:v>1.5875012456947574E-2</c:v>
                </c:pt>
                <c:pt idx="329">
                  <c:v>1.5875012456947574E-2</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numCache>
            </c:numRef>
          </c:val>
          <c:smooth val="0"/>
        </c:ser>
        <c:dLbls>
          <c:showLegendKey val="0"/>
          <c:showVal val="0"/>
          <c:showCatName val="0"/>
          <c:showSerName val="0"/>
          <c:showPercent val="0"/>
          <c:showBubbleSize val="0"/>
        </c:dLbls>
        <c:marker val="1"/>
        <c:smooth val="0"/>
        <c:axId val="244747648"/>
        <c:axId val="245822976"/>
      </c:lineChart>
      <c:dateAx>
        <c:axId val="244747648"/>
        <c:scaling>
          <c:orientation val="minMax"/>
        </c:scaling>
        <c:delete val="0"/>
        <c:axPos val="b"/>
        <c:majorGridlines>
          <c:spPr>
            <a:ln w="3175">
              <a:solidFill>
                <a:schemeClr val="bg1">
                  <a:lumMod val="85000"/>
                </a:schemeClr>
              </a:solid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5822976"/>
        <c:crossesAt val="1E-4"/>
        <c:auto val="0"/>
        <c:lblOffset val="100"/>
        <c:baseTimeUnit val="days"/>
        <c:majorUnit val="6"/>
        <c:majorTimeUnit val="months"/>
        <c:minorUnit val="3"/>
        <c:minorTimeUnit val="months"/>
      </c:dateAx>
      <c:valAx>
        <c:axId val="245822976"/>
        <c:scaling>
          <c:logBase val="10"/>
          <c:orientation val="minMax"/>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rot="0" vert="horz"/>
              <a:lstStyle/>
              <a:p>
                <a:pPr algn="ctr">
                  <a:defRPr sz="1100" b="0" i="0" u="none" strike="noStrike" baseline="0">
                    <a:solidFill>
                      <a:srgbClr val="000000"/>
                    </a:solidFill>
                    <a:latin typeface="Meiryo UI"/>
                    <a:ea typeface="Meiryo UI"/>
                    <a:cs typeface="Meiryo UI"/>
                  </a:defRPr>
                </a:pPr>
                <a:r>
                  <a:rPr lang="en-US" altLang="en-US" sz="1100"/>
                  <a:t>Bq/ℓ</a:t>
                </a:r>
              </a:p>
            </c:rich>
          </c:tx>
          <c:layout>
            <c:manualLayout>
              <c:xMode val="edge"/>
              <c:yMode val="edge"/>
              <c:x val="1.2661399633386181E-2"/>
              <c:y val="0.20805839568561393"/>
            </c:manualLayout>
          </c:layout>
          <c:overlay val="0"/>
          <c:spPr>
            <a:solidFill>
              <a:srgbClr val="FFFFFF"/>
            </a:solid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4747648"/>
        <c:crosses val="autoZero"/>
        <c:crossBetween val="between"/>
      </c:valAx>
      <c:spPr>
        <a:noFill/>
        <a:ln w="12700">
          <a:solidFill>
            <a:srgbClr val="808080"/>
          </a:solidFill>
          <a:prstDash val="solid"/>
        </a:ln>
      </c:spPr>
    </c:plotArea>
    <c:legend>
      <c:legendPos val="r"/>
      <c:layout>
        <c:manualLayout>
          <c:xMode val="edge"/>
          <c:yMode val="edge"/>
          <c:x val="0.19523470092554221"/>
          <c:y val="0.65308108242798768"/>
          <c:w val="0.22605045472938462"/>
          <c:h val="6.4676878076807554E-2"/>
        </c:manualLayout>
      </c:layout>
      <c:overlay val="0"/>
      <c:spPr>
        <a:solidFill>
          <a:schemeClr val="bg1"/>
        </a:solidFill>
        <a:ln w="25400">
          <a:noFill/>
        </a:ln>
      </c:spPr>
      <c:txPr>
        <a:bodyPr/>
        <a:lstStyle/>
        <a:p>
          <a:pPr>
            <a:defRPr sz="105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129</xdr:col>
      <xdr:colOff>0</xdr:colOff>
      <xdr:row>0</xdr:row>
      <xdr:rowOff>0</xdr:rowOff>
    </xdr:from>
    <xdr:to>
      <xdr:col>131</xdr:col>
      <xdr:colOff>447675</xdr:colOff>
      <xdr:row>0</xdr:row>
      <xdr:rowOff>0</xdr:rowOff>
    </xdr:to>
    <xdr:graphicFrame macro="">
      <xdr:nvGraphicFramePr>
        <xdr:cNvPr id="1079"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38100</xdr:colOff>
      <xdr:row>2</xdr:row>
      <xdr:rowOff>38100</xdr:rowOff>
    </xdr:from>
    <xdr:to>
      <xdr:col>27</xdr:col>
      <xdr:colOff>38100</xdr:colOff>
      <xdr:row>26</xdr:row>
      <xdr:rowOff>76200</xdr:rowOff>
    </xdr:to>
    <xdr:graphicFrame macro="">
      <xdr:nvGraphicFramePr>
        <xdr:cNvPr id="1080"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9524</xdr:colOff>
      <xdr:row>83</xdr:row>
      <xdr:rowOff>47625</xdr:rowOff>
    </xdr:from>
    <xdr:to>
      <xdr:col>26</xdr:col>
      <xdr:colOff>368299</xdr:colOff>
      <xdr:row>115</xdr:row>
      <xdr:rowOff>85725</xdr:rowOff>
    </xdr:to>
    <xdr:graphicFrame macro="">
      <xdr:nvGraphicFramePr>
        <xdr:cNvPr id="1081" name="グラフ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47625</xdr:colOff>
      <xdr:row>116</xdr:row>
      <xdr:rowOff>76200</xdr:rowOff>
    </xdr:from>
    <xdr:to>
      <xdr:col>13</xdr:col>
      <xdr:colOff>285750</xdr:colOff>
      <xdr:row>135</xdr:row>
      <xdr:rowOff>76200</xdr:rowOff>
    </xdr:to>
    <xdr:graphicFrame macro="">
      <xdr:nvGraphicFramePr>
        <xdr:cNvPr id="1082" name="グラフ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66675</xdr:colOff>
      <xdr:row>135</xdr:row>
      <xdr:rowOff>85725</xdr:rowOff>
    </xdr:from>
    <xdr:to>
      <xdr:col>13</xdr:col>
      <xdr:colOff>295275</xdr:colOff>
      <xdr:row>155</xdr:row>
      <xdr:rowOff>114300</xdr:rowOff>
    </xdr:to>
    <xdr:graphicFrame macro="">
      <xdr:nvGraphicFramePr>
        <xdr:cNvPr id="1083" name="グラフ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266700</xdr:colOff>
      <xdr:row>116</xdr:row>
      <xdr:rowOff>85725</xdr:rowOff>
    </xdr:from>
    <xdr:to>
      <xdr:col>26</xdr:col>
      <xdr:colOff>238125</xdr:colOff>
      <xdr:row>135</xdr:row>
      <xdr:rowOff>95250</xdr:rowOff>
    </xdr:to>
    <xdr:graphicFrame macro="">
      <xdr:nvGraphicFramePr>
        <xdr:cNvPr id="1084" name="グラフ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13</xdr:col>
      <xdr:colOff>292099</xdr:colOff>
      <xdr:row>135</xdr:row>
      <xdr:rowOff>101600</xdr:rowOff>
    </xdr:from>
    <xdr:to>
      <xdr:col>26</xdr:col>
      <xdr:colOff>254000</xdr:colOff>
      <xdr:row>155</xdr:row>
      <xdr:rowOff>114300</xdr:rowOff>
    </xdr:to>
    <xdr:graphicFrame macro="">
      <xdr:nvGraphicFramePr>
        <xdr:cNvPr id="1085" name="グラフ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55</xdr:row>
      <xdr:rowOff>0</xdr:rowOff>
    </xdr:from>
    <xdr:to>
      <xdr:col>27</xdr:col>
      <xdr:colOff>152400</xdr:colOff>
      <xdr:row>83</xdr:row>
      <xdr:rowOff>0</xdr:rowOff>
    </xdr:to>
    <xdr:graphicFrame macro="">
      <xdr:nvGraphicFramePr>
        <xdr:cNvPr id="1086" name="グラフ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25400</xdr:colOff>
      <xdr:row>26</xdr:row>
      <xdr:rowOff>3175</xdr:rowOff>
    </xdr:from>
    <xdr:to>
      <xdr:col>27</xdr:col>
      <xdr:colOff>104775</xdr:colOff>
      <xdr:row>54</xdr:row>
      <xdr:rowOff>104775</xdr:rowOff>
    </xdr:to>
    <xdr:graphicFrame macro="">
      <xdr:nvGraphicFramePr>
        <xdr:cNvPr id="1087" name="グラフ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pref.miyagi.jp/soshiki/gentai/" TargetMode="External"/><Relationship Id="rId7" Type="http://schemas.openxmlformats.org/officeDocument/2006/relationships/drawing" Target="../drawings/drawing1.xml"/><Relationship Id="rId2" Type="http://schemas.openxmlformats.org/officeDocument/2006/relationships/hyperlink" Target="http://miyagi-ermc.jp/" TargetMode="External"/><Relationship Id="rId1" Type="http://schemas.openxmlformats.org/officeDocument/2006/relationships/hyperlink" Target="http://www.tohoku-epco.co.jp/electr/genshi/data/4_b.html" TargetMode="External"/><Relationship Id="rId6" Type="http://schemas.openxmlformats.org/officeDocument/2006/relationships/printerSettings" Target="../printerSettings/printerSettings1.bin"/><Relationship Id="rId5" Type="http://schemas.openxmlformats.org/officeDocument/2006/relationships/hyperlink" Target="http://kmdmyg.info/index.html" TargetMode="External"/><Relationship Id="rId4" Type="http://schemas.openxmlformats.org/officeDocument/2006/relationships/hyperlink" Target="http://www.r-info-miyagi.jp/r-inf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313" transitionEvaluation="1" codeName="Sheet1"/>
  <dimension ref="A1:EH741"/>
  <sheetViews>
    <sheetView tabSelected="1" topLeftCell="A313" zoomScale="75" zoomScaleNormal="75" workbookViewId="0">
      <selection activeCell="AV337" sqref="AV337"/>
    </sheetView>
  </sheetViews>
  <sheetFormatPr defaultColWidth="3.75" defaultRowHeight="12" customHeight="1" x14ac:dyDescent="0.15"/>
  <cols>
    <col min="1" max="1" width="4.125" style="2" customWidth="1"/>
    <col min="2" max="2" width="2.625" style="2" customWidth="1"/>
    <col min="3" max="3" width="7" style="25" customWidth="1"/>
    <col min="4" max="4" width="5.625" style="2" customWidth="1"/>
    <col min="5" max="6" width="5.625" style="3" customWidth="1"/>
    <col min="7" max="7" width="5.375" style="3" customWidth="1"/>
    <col min="8" max="8" width="6.25" style="3" customWidth="1"/>
    <col min="9" max="12" width="5.5" style="3" customWidth="1"/>
    <col min="13" max="15" width="7.5" style="3" customWidth="1"/>
    <col min="16" max="16" width="6.25" style="3" customWidth="1"/>
    <col min="17" max="17" width="4.75" style="3" customWidth="1"/>
    <col min="18" max="18" width="6.75" style="3" customWidth="1"/>
    <col min="19" max="21" width="6.875" style="3" customWidth="1"/>
    <col min="22" max="23" width="6.25" style="3" customWidth="1"/>
    <col min="24" max="27" width="4.75" style="3" customWidth="1"/>
    <col min="28" max="28" width="5.25" style="3" customWidth="1"/>
    <col min="29" max="31" width="4.75" style="3" customWidth="1"/>
    <col min="32" max="32" width="5.625" style="3" customWidth="1"/>
    <col min="33" max="35" width="4.75" style="3" customWidth="1"/>
    <col min="36" max="36" width="6.25" style="3" customWidth="1"/>
    <col min="37" max="38" width="4.75" style="3" customWidth="1"/>
    <col min="39" max="39" width="6.125" style="3" customWidth="1"/>
    <col min="40" max="40" width="5.625" style="3" customWidth="1"/>
    <col min="41" max="41" width="6.25" style="3" customWidth="1"/>
    <col min="42" max="42" width="5.875" style="44" customWidth="1"/>
    <col min="43" max="44" width="5.375" style="44" customWidth="1"/>
    <col min="45" max="46" width="4.75" style="5" customWidth="1"/>
    <col min="47" max="47" width="7.75" style="82" customWidth="1"/>
    <col min="48" max="49" width="5.25" style="83" customWidth="1"/>
    <col min="50" max="50" width="6.75" style="83" customWidth="1"/>
    <col min="51" max="54" width="4.75" style="5" customWidth="1"/>
    <col min="55" max="124" width="3.625" style="5" customWidth="1"/>
    <col min="125" max="129" width="3.625" style="3" customWidth="1"/>
    <col min="130" max="16384" width="3.75" style="2"/>
  </cols>
  <sheetData>
    <row r="1" spans="1:98" ht="24" customHeight="1" x14ac:dyDescent="0.25">
      <c r="A1" s="84" t="s">
        <v>0</v>
      </c>
      <c r="B1" s="1"/>
      <c r="C1" s="2"/>
      <c r="G1" s="35" t="s">
        <v>40</v>
      </c>
      <c r="O1" s="4"/>
      <c r="AF1" s="110" t="s">
        <v>84</v>
      </c>
      <c r="AG1" s="81"/>
      <c r="AH1" s="81"/>
      <c r="AY1" s="3"/>
      <c r="AZ1" s="3"/>
      <c r="BA1" s="3"/>
      <c r="BB1" s="3"/>
      <c r="BC1" s="3"/>
      <c r="BD1" s="3"/>
      <c r="BE1" s="4"/>
      <c r="CG1" s="2"/>
      <c r="CH1" s="3"/>
      <c r="CI1" s="3"/>
      <c r="CJ1" s="3"/>
      <c r="CK1" s="3"/>
      <c r="CL1" s="3"/>
      <c r="CM1" s="3"/>
      <c r="CN1" s="3"/>
      <c r="CO1" s="3"/>
      <c r="CP1" s="3"/>
      <c r="CQ1" s="3"/>
      <c r="CR1" s="3"/>
      <c r="CS1" s="3"/>
      <c r="CT1" s="4"/>
    </row>
    <row r="2" spans="1:98" ht="10.5" customHeight="1" x14ac:dyDescent="0.15">
      <c r="A2" s="130"/>
      <c r="B2" s="131" t="s">
        <v>97</v>
      </c>
      <c r="C2" s="132"/>
      <c r="D2" s="132"/>
      <c r="E2" s="133"/>
      <c r="F2" s="134" t="s">
        <v>98</v>
      </c>
      <c r="G2" s="130"/>
      <c r="H2" s="130"/>
      <c r="I2" s="134" t="s">
        <v>99</v>
      </c>
      <c r="J2" s="130"/>
      <c r="K2" s="135"/>
      <c r="L2" s="133"/>
      <c r="M2" s="134" t="s">
        <v>134</v>
      </c>
      <c r="N2" s="130"/>
      <c r="O2" s="3" t="s">
        <v>44</v>
      </c>
      <c r="Y2" s="2"/>
      <c r="Z2" s="2"/>
      <c r="AA2" s="2"/>
      <c r="AB2" s="2"/>
      <c r="AC2" s="2"/>
      <c r="AD2" s="2"/>
      <c r="AE2" s="2"/>
      <c r="AF2" s="106" t="s">
        <v>79</v>
      </c>
      <c r="AG2" s="107"/>
      <c r="AH2" s="108"/>
      <c r="AI2" s="109"/>
      <c r="AJ2" s="108" t="s">
        <v>85</v>
      </c>
      <c r="AK2" s="109"/>
      <c r="AL2" s="109"/>
      <c r="AM2" s="106" t="s">
        <v>83</v>
      </c>
      <c r="AN2" s="107"/>
      <c r="AO2" s="108"/>
      <c r="AP2" s="119" t="s">
        <v>87</v>
      </c>
      <c r="AQ2" s="108"/>
      <c r="AR2" s="108"/>
      <c r="AS2" s="2"/>
      <c r="AT2" s="2"/>
      <c r="AU2" s="2"/>
      <c r="AV2" s="2"/>
      <c r="AW2" s="2"/>
      <c r="AX2" s="2"/>
      <c r="AZ2" s="3"/>
      <c r="BA2" s="3"/>
      <c r="BB2" s="3"/>
      <c r="BC2" s="3"/>
      <c r="BD2" s="3"/>
      <c r="BE2" s="4"/>
      <c r="CG2" s="2"/>
      <c r="CH2" s="3"/>
      <c r="CI2" s="3"/>
      <c r="CJ2" s="3"/>
      <c r="CK2" s="3"/>
      <c r="CL2" s="3"/>
      <c r="CM2" s="3"/>
      <c r="CN2" s="3"/>
      <c r="CO2" s="3"/>
      <c r="CP2" s="3"/>
      <c r="CQ2" s="3"/>
      <c r="CR2" s="3"/>
      <c r="CS2" s="3"/>
      <c r="CT2" s="4"/>
    </row>
    <row r="3" spans="1:98" ht="10.5" customHeight="1" x14ac:dyDescent="0.15">
      <c r="A3" s="3"/>
      <c r="B3" s="3"/>
      <c r="C3" s="3"/>
      <c r="D3" s="3"/>
      <c r="AC3" s="2"/>
      <c r="AD3" s="2"/>
      <c r="AE3" s="2"/>
      <c r="AF3" s="100"/>
      <c r="AG3" s="101" t="s">
        <v>80</v>
      </c>
      <c r="AH3" s="101" t="s">
        <v>81</v>
      </c>
      <c r="AI3" s="102" t="s">
        <v>82</v>
      </c>
      <c r="AJ3" s="103" t="s">
        <v>80</v>
      </c>
      <c r="AK3" s="101" t="s">
        <v>81</v>
      </c>
      <c r="AL3" s="102" t="s">
        <v>82</v>
      </c>
      <c r="AM3" s="111" t="s">
        <v>1</v>
      </c>
      <c r="AN3" s="111" t="s">
        <v>2</v>
      </c>
      <c r="AO3" s="102" t="s">
        <v>36</v>
      </c>
      <c r="AP3" s="120" t="s">
        <v>1</v>
      </c>
      <c r="AQ3" s="120" t="s">
        <v>2</v>
      </c>
      <c r="AR3" s="121" t="s">
        <v>36</v>
      </c>
      <c r="AS3" s="2"/>
      <c r="AT3" s="2"/>
      <c r="AU3" s="2"/>
      <c r="AV3" s="2"/>
      <c r="AW3" s="2"/>
      <c r="AX3" s="2"/>
      <c r="AZ3" s="3"/>
      <c r="BA3" s="3"/>
      <c r="BB3" s="3"/>
      <c r="BC3" s="3"/>
      <c r="BD3" s="3"/>
      <c r="BE3" s="4"/>
      <c r="CG3" s="2"/>
      <c r="CH3" s="3"/>
      <c r="CI3" s="3"/>
      <c r="CJ3" s="3"/>
      <c r="CK3" s="3"/>
      <c r="CL3" s="3"/>
      <c r="CM3" s="3"/>
      <c r="CN3" s="3"/>
      <c r="CO3" s="3"/>
      <c r="CP3" s="3"/>
      <c r="CQ3" s="3"/>
      <c r="CR3" s="3"/>
      <c r="CS3" s="3"/>
      <c r="CT3" s="4"/>
    </row>
    <row r="4" spans="1:98" ht="10.5" customHeight="1" x14ac:dyDescent="0.15">
      <c r="A4" s="3"/>
      <c r="B4" s="14"/>
      <c r="C4" s="14"/>
      <c r="D4" s="14"/>
      <c r="E4" s="14"/>
      <c r="F4" s="14"/>
      <c r="G4" s="14"/>
      <c r="H4" s="14"/>
      <c r="I4" s="14"/>
      <c r="J4" s="14"/>
      <c r="K4" s="15"/>
      <c r="L4" s="15"/>
      <c r="M4" s="15"/>
      <c r="N4" s="15"/>
      <c r="O4" s="15"/>
      <c r="P4" s="15"/>
      <c r="Q4" s="15"/>
      <c r="R4" s="15"/>
      <c r="S4" s="15"/>
      <c r="T4" s="15"/>
      <c r="U4" s="15"/>
      <c r="V4" s="15"/>
      <c r="W4" s="15"/>
      <c r="X4" s="15"/>
      <c r="Y4" s="15"/>
      <c r="Z4" s="15"/>
      <c r="AA4" s="15"/>
      <c r="AB4" s="15"/>
      <c r="AC4" s="2"/>
      <c r="AD4" s="2"/>
      <c r="AE4" s="2"/>
      <c r="AF4" s="104">
        <v>29677</v>
      </c>
      <c r="AG4" s="89"/>
      <c r="AH4" s="89"/>
      <c r="AI4" s="96"/>
      <c r="AJ4" s="93"/>
      <c r="AK4" s="89"/>
      <c r="AL4" s="96"/>
      <c r="AM4" s="217"/>
      <c r="AN4" s="217"/>
      <c r="AO4" s="96"/>
      <c r="AP4" s="218"/>
      <c r="AQ4" s="218"/>
      <c r="AR4" s="219"/>
      <c r="AS4" s="2"/>
      <c r="AT4" s="2"/>
      <c r="AU4" s="2"/>
      <c r="AV4" s="2"/>
      <c r="AW4" s="2"/>
      <c r="AX4" s="2"/>
      <c r="AZ4" s="3"/>
      <c r="BA4" s="3"/>
      <c r="BB4" s="3"/>
      <c r="BC4" s="3"/>
      <c r="BD4" s="3"/>
      <c r="BE4" s="4"/>
      <c r="CG4" s="2"/>
      <c r="CH4" s="3"/>
      <c r="CI4" s="3"/>
      <c r="CJ4" s="3"/>
      <c r="CK4" s="3"/>
      <c r="CL4" s="3"/>
      <c r="CM4" s="3"/>
      <c r="CN4" s="3"/>
      <c r="CO4" s="3"/>
      <c r="CP4" s="3"/>
      <c r="CQ4" s="3"/>
      <c r="CR4" s="3"/>
      <c r="CS4" s="3"/>
      <c r="CT4" s="4"/>
    </row>
    <row r="5" spans="1:98" ht="10.5" customHeight="1" x14ac:dyDescent="0.15">
      <c r="A5" s="3"/>
      <c r="B5" s="3"/>
      <c r="C5" s="4"/>
      <c r="D5" s="3"/>
      <c r="AC5" s="2"/>
      <c r="AD5" s="2"/>
      <c r="AE5" s="2"/>
      <c r="AF5" s="104">
        <v>29707</v>
      </c>
      <c r="AG5" s="89"/>
      <c r="AH5" s="89"/>
      <c r="AI5" s="96"/>
      <c r="AJ5" s="93"/>
      <c r="AK5" s="89"/>
      <c r="AL5" s="96"/>
      <c r="AM5" s="217"/>
      <c r="AN5" s="217"/>
      <c r="AO5" s="96"/>
      <c r="AP5" s="218"/>
      <c r="AQ5" s="218"/>
      <c r="AR5" s="219"/>
      <c r="AS5" s="2"/>
      <c r="AT5" s="2"/>
      <c r="AU5" s="2"/>
      <c r="AV5" s="2"/>
      <c r="AW5" s="2"/>
      <c r="AX5" s="2"/>
      <c r="AZ5" s="3"/>
      <c r="BA5" s="3"/>
      <c r="BB5" s="3"/>
      <c r="BC5" s="3"/>
      <c r="BD5" s="3"/>
      <c r="BE5" s="4"/>
      <c r="CG5" s="2"/>
      <c r="CH5" s="3"/>
      <c r="CI5" s="3"/>
      <c r="CJ5" s="3"/>
      <c r="CK5" s="3"/>
      <c r="CL5" s="3"/>
      <c r="CM5" s="3"/>
      <c r="CN5" s="3"/>
      <c r="CO5" s="3"/>
      <c r="CP5" s="3"/>
      <c r="CQ5" s="3"/>
      <c r="CR5" s="3"/>
      <c r="CS5" s="3"/>
      <c r="CT5" s="4"/>
    </row>
    <row r="6" spans="1:98" ht="10.5" customHeight="1" x14ac:dyDescent="0.15">
      <c r="A6" s="3"/>
      <c r="B6" s="14"/>
      <c r="C6" s="14"/>
      <c r="D6" s="14"/>
      <c r="E6" s="14"/>
      <c r="F6" s="14"/>
      <c r="G6" s="14"/>
      <c r="H6" s="14"/>
      <c r="I6" s="14"/>
      <c r="J6" s="14"/>
      <c r="K6" s="15"/>
      <c r="L6" s="15"/>
      <c r="M6" s="15"/>
      <c r="N6" s="15"/>
      <c r="O6" s="15"/>
      <c r="P6" s="15"/>
      <c r="Q6" s="15"/>
      <c r="R6" s="15"/>
      <c r="S6" s="15"/>
      <c r="T6" s="15"/>
      <c r="U6" s="15"/>
      <c r="V6" s="15"/>
      <c r="W6" s="15"/>
      <c r="X6" s="15"/>
      <c r="Y6" s="15"/>
      <c r="Z6" s="15"/>
      <c r="AA6" s="15"/>
      <c r="AB6" s="15"/>
      <c r="AC6" s="2"/>
      <c r="AD6" s="2"/>
      <c r="AE6" s="2"/>
      <c r="AF6" s="104">
        <v>29738</v>
      </c>
      <c r="AG6" s="89"/>
      <c r="AH6" s="89"/>
      <c r="AI6" s="96"/>
      <c r="AJ6" s="93"/>
      <c r="AK6" s="89"/>
      <c r="AL6" s="96"/>
      <c r="AM6" s="220"/>
      <c r="AN6" s="220"/>
      <c r="AO6" s="96"/>
      <c r="AP6" s="221"/>
      <c r="AQ6" s="221"/>
      <c r="AR6" s="222"/>
      <c r="AS6" s="2"/>
      <c r="AT6" s="2"/>
      <c r="AU6" s="2"/>
      <c r="AV6" s="2"/>
      <c r="AW6" s="2"/>
      <c r="AX6" s="2"/>
      <c r="AZ6" s="3"/>
      <c r="BA6" s="3"/>
      <c r="BB6" s="3"/>
      <c r="BC6" s="3"/>
      <c r="BD6" s="3"/>
      <c r="BE6" s="4"/>
      <c r="CG6" s="2"/>
      <c r="CH6" s="3"/>
      <c r="CI6" s="3"/>
      <c r="CJ6" s="3"/>
      <c r="CK6" s="3"/>
      <c r="CL6" s="3"/>
      <c r="CM6" s="3"/>
      <c r="CN6" s="3"/>
      <c r="CO6" s="3"/>
      <c r="CP6" s="3"/>
      <c r="CQ6" s="3"/>
      <c r="CR6" s="3"/>
      <c r="CS6" s="3"/>
      <c r="CT6" s="4"/>
    </row>
    <row r="7" spans="1:98" ht="10.5" customHeight="1" x14ac:dyDescent="0.15">
      <c r="A7" s="3"/>
      <c r="B7" s="14"/>
      <c r="C7" s="14"/>
      <c r="D7" s="14"/>
      <c r="E7" s="14"/>
      <c r="F7" s="14"/>
      <c r="G7" s="14"/>
      <c r="H7" s="14"/>
      <c r="I7" s="14"/>
      <c r="J7" s="14"/>
      <c r="K7" s="15"/>
      <c r="L7" s="15"/>
      <c r="M7" s="15"/>
      <c r="N7" s="15"/>
      <c r="O7" s="15"/>
      <c r="P7" s="15"/>
      <c r="Q7" s="15"/>
      <c r="R7" s="15"/>
      <c r="S7" s="15"/>
      <c r="T7" s="15"/>
      <c r="U7" s="15"/>
      <c r="V7" s="15"/>
      <c r="W7" s="15"/>
      <c r="X7" s="15"/>
      <c r="Y7" s="15"/>
      <c r="Z7" s="15"/>
      <c r="AA7" s="15"/>
      <c r="AB7" s="15"/>
      <c r="AC7" s="2"/>
      <c r="AD7" s="2"/>
      <c r="AE7" s="2"/>
      <c r="AF7" s="104">
        <v>29768</v>
      </c>
      <c r="AG7" s="89"/>
      <c r="AH7" s="89"/>
      <c r="AI7" s="96"/>
      <c r="AJ7" s="93"/>
      <c r="AK7" s="89"/>
      <c r="AL7" s="96"/>
      <c r="AM7" s="220"/>
      <c r="AN7" s="220"/>
      <c r="AO7" s="96"/>
      <c r="AP7" s="221"/>
      <c r="AQ7" s="221"/>
      <c r="AR7" s="222"/>
      <c r="AS7" s="2"/>
      <c r="AT7" s="2"/>
      <c r="AU7" s="2"/>
      <c r="AV7" s="2"/>
      <c r="AW7" s="2"/>
      <c r="AX7" s="2"/>
      <c r="AZ7" s="3"/>
      <c r="BA7" s="3"/>
      <c r="BB7" s="3"/>
      <c r="BC7" s="3"/>
      <c r="BD7" s="3"/>
      <c r="BE7" s="4"/>
      <c r="CG7" s="2"/>
      <c r="CH7" s="3"/>
      <c r="CI7" s="3"/>
      <c r="CJ7" s="3"/>
      <c r="CK7" s="3"/>
      <c r="CL7" s="3"/>
      <c r="CM7" s="3"/>
      <c r="CN7" s="3"/>
      <c r="CO7" s="3"/>
      <c r="CP7" s="3"/>
      <c r="CQ7" s="3"/>
      <c r="CR7" s="3"/>
      <c r="CS7" s="3"/>
      <c r="CT7" s="4"/>
    </row>
    <row r="8" spans="1:98" ht="10.5" customHeight="1" x14ac:dyDescent="0.15">
      <c r="A8" s="3"/>
      <c r="B8" s="3"/>
      <c r="C8" s="3"/>
      <c r="D8" s="3"/>
      <c r="K8" s="20"/>
      <c r="L8" s="20"/>
      <c r="M8" s="20"/>
      <c r="N8" s="20"/>
      <c r="O8" s="20"/>
      <c r="P8" s="20"/>
      <c r="Q8" s="21"/>
      <c r="R8" s="21"/>
      <c r="S8" s="21"/>
      <c r="T8" s="21"/>
      <c r="U8" s="21"/>
      <c r="V8" s="21"/>
      <c r="W8" s="21"/>
      <c r="X8" s="21"/>
      <c r="Y8" s="21"/>
      <c r="Z8" s="21"/>
      <c r="AA8" s="21"/>
      <c r="AB8" s="21"/>
      <c r="AC8" s="2"/>
      <c r="AD8" s="2"/>
      <c r="AE8" s="2"/>
      <c r="AF8" s="104">
        <v>29799</v>
      </c>
      <c r="AG8" s="89"/>
      <c r="AH8" s="89"/>
      <c r="AI8" s="96"/>
      <c r="AJ8" s="93"/>
      <c r="AK8" s="89"/>
      <c r="AL8" s="96"/>
      <c r="AM8" s="220"/>
      <c r="AN8" s="220"/>
      <c r="AO8" s="96"/>
      <c r="AP8" s="221"/>
      <c r="AQ8" s="221"/>
      <c r="AR8" s="222"/>
      <c r="AS8" s="2"/>
      <c r="AT8" s="2"/>
      <c r="AU8" s="2"/>
      <c r="AV8" s="2"/>
      <c r="AW8" s="2"/>
      <c r="AX8" s="2"/>
      <c r="AZ8" s="3"/>
      <c r="BA8" s="3"/>
      <c r="BB8" s="3"/>
      <c r="BC8" s="3"/>
      <c r="BD8" s="3"/>
      <c r="BE8" s="4"/>
      <c r="CG8" s="2"/>
      <c r="CH8" s="3"/>
      <c r="CI8" s="3"/>
      <c r="CJ8" s="3"/>
      <c r="CK8" s="3"/>
      <c r="CL8" s="3"/>
      <c r="CM8" s="3"/>
      <c r="CN8" s="3"/>
      <c r="CO8" s="3"/>
      <c r="CP8" s="3"/>
      <c r="CQ8" s="3"/>
      <c r="CR8" s="3"/>
      <c r="CS8" s="3"/>
      <c r="CT8" s="4"/>
    </row>
    <row r="9" spans="1:98" ht="10.5" customHeight="1" x14ac:dyDescent="0.15">
      <c r="A9" s="3"/>
      <c r="B9" s="3"/>
      <c r="C9" s="3"/>
      <c r="D9" s="3"/>
      <c r="K9" s="20"/>
      <c r="L9" s="20"/>
      <c r="M9" s="20"/>
      <c r="N9" s="20"/>
      <c r="O9" s="20"/>
      <c r="P9" s="20"/>
      <c r="Q9" s="21"/>
      <c r="R9" s="21"/>
      <c r="S9" s="21"/>
      <c r="T9" s="21"/>
      <c r="U9" s="21"/>
      <c r="V9" s="21"/>
      <c r="W9" s="21"/>
      <c r="X9" s="21"/>
      <c r="Y9" s="21"/>
      <c r="Z9" s="21"/>
      <c r="AA9" s="21"/>
      <c r="AB9" s="21"/>
      <c r="AC9" s="2"/>
      <c r="AD9" s="2"/>
      <c r="AE9" s="2"/>
      <c r="AF9" s="104">
        <v>29830</v>
      </c>
      <c r="AG9" s="89"/>
      <c r="AH9" s="89"/>
      <c r="AI9" s="96"/>
      <c r="AJ9" s="93"/>
      <c r="AK9" s="89"/>
      <c r="AL9" s="96"/>
      <c r="AM9" s="220"/>
      <c r="AN9" s="220"/>
      <c r="AO9" s="96"/>
      <c r="AP9" s="221"/>
      <c r="AQ9" s="221"/>
      <c r="AR9" s="222"/>
      <c r="AS9" s="2"/>
      <c r="AT9" s="2"/>
      <c r="AU9" s="2"/>
      <c r="AV9" s="2"/>
      <c r="AW9" s="2"/>
      <c r="AX9" s="2"/>
      <c r="AZ9" s="3"/>
      <c r="BA9" s="3"/>
      <c r="BB9" s="3"/>
      <c r="BC9" s="3"/>
      <c r="BD9" s="3"/>
      <c r="BE9" s="4"/>
      <c r="CG9" s="2"/>
      <c r="CH9" s="3"/>
      <c r="CI9" s="3"/>
      <c r="CJ9" s="3"/>
      <c r="CK9" s="3"/>
      <c r="CL9" s="3"/>
      <c r="CM9" s="3"/>
      <c r="CN9" s="3"/>
      <c r="CO9" s="3"/>
      <c r="CP9" s="3"/>
      <c r="CQ9" s="3"/>
      <c r="CR9" s="3"/>
      <c r="CS9" s="3"/>
      <c r="CT9" s="4"/>
    </row>
    <row r="10" spans="1:98" ht="10.5" customHeight="1" x14ac:dyDescent="0.15">
      <c r="A10" s="3"/>
      <c r="B10" s="3"/>
      <c r="C10" s="3"/>
      <c r="D10" s="3"/>
      <c r="K10" s="20"/>
      <c r="L10" s="20"/>
      <c r="M10" s="20"/>
      <c r="N10" s="20"/>
      <c r="O10" s="20"/>
      <c r="P10" s="20"/>
      <c r="Q10" s="21"/>
      <c r="R10" s="21"/>
      <c r="S10" s="21"/>
      <c r="T10" s="21"/>
      <c r="U10" s="21"/>
      <c r="V10" s="21"/>
      <c r="W10" s="21"/>
      <c r="X10" s="21"/>
      <c r="Y10" s="21"/>
      <c r="Z10" s="21"/>
      <c r="AA10" s="21"/>
      <c r="AB10" s="21"/>
      <c r="AC10" s="2"/>
      <c r="AD10" s="2"/>
      <c r="AE10" s="2"/>
      <c r="AF10" s="104">
        <v>29860</v>
      </c>
      <c r="AG10" s="89"/>
      <c r="AH10" s="89"/>
      <c r="AI10" s="96"/>
      <c r="AJ10" s="93"/>
      <c r="AK10" s="89"/>
      <c r="AL10" s="96"/>
      <c r="AM10" s="220"/>
      <c r="AN10" s="220"/>
      <c r="AO10" s="96"/>
      <c r="AP10" s="221"/>
      <c r="AQ10" s="221"/>
      <c r="AR10" s="222"/>
      <c r="AS10" s="2"/>
      <c r="AT10" s="2"/>
      <c r="AU10" s="2"/>
      <c r="AV10" s="2"/>
      <c r="AW10" s="2"/>
      <c r="AX10" s="2"/>
      <c r="AZ10" s="3"/>
      <c r="BA10" s="3"/>
      <c r="BB10" s="3"/>
      <c r="BC10" s="3"/>
      <c r="BD10" s="3"/>
      <c r="BE10" s="4"/>
      <c r="CG10" s="2"/>
      <c r="CH10" s="3"/>
      <c r="CI10" s="3"/>
      <c r="CJ10" s="3"/>
      <c r="CK10" s="3"/>
      <c r="CL10" s="3"/>
      <c r="CM10" s="3"/>
      <c r="CN10" s="3"/>
      <c r="CO10" s="3"/>
      <c r="CP10" s="3"/>
      <c r="CQ10" s="3"/>
      <c r="CR10" s="3"/>
      <c r="CS10" s="3"/>
      <c r="CT10" s="4"/>
    </row>
    <row r="11" spans="1:98" ht="10.5" customHeight="1" x14ac:dyDescent="0.15">
      <c r="A11" s="3"/>
      <c r="B11" s="3"/>
      <c r="C11" s="3"/>
      <c r="D11" s="3"/>
      <c r="K11" s="20"/>
      <c r="L11" s="20"/>
      <c r="M11" s="20"/>
      <c r="N11" s="20"/>
      <c r="O11" s="20"/>
      <c r="P11" s="20"/>
      <c r="Q11" s="21"/>
      <c r="R11" s="21"/>
      <c r="S11" s="21"/>
      <c r="T11" s="21"/>
      <c r="U11" s="21"/>
      <c r="V11" s="21"/>
      <c r="W11" s="21"/>
      <c r="X11" s="21"/>
      <c r="Y11" s="21"/>
      <c r="Z11" s="21"/>
      <c r="AA11" s="21"/>
      <c r="AB11" s="21"/>
      <c r="AC11" s="2"/>
      <c r="AD11" s="2"/>
      <c r="AE11" s="2"/>
      <c r="AF11" s="104">
        <v>29891</v>
      </c>
      <c r="AG11" s="89"/>
      <c r="AH11" s="89"/>
      <c r="AI11" s="96"/>
      <c r="AJ11" s="93"/>
      <c r="AK11" s="89"/>
      <c r="AL11" s="96"/>
      <c r="AM11" s="220"/>
      <c r="AN11" s="220"/>
      <c r="AO11" s="96"/>
      <c r="AP11" s="221"/>
      <c r="AQ11" s="221"/>
      <c r="AR11" s="222"/>
      <c r="AS11" s="2"/>
      <c r="AT11" s="2"/>
      <c r="AU11" s="2"/>
      <c r="AV11" s="2"/>
      <c r="AW11" s="2"/>
      <c r="AX11" s="2"/>
      <c r="AZ11" s="3"/>
      <c r="BA11" s="3"/>
      <c r="BB11" s="3"/>
      <c r="BC11" s="3"/>
      <c r="BD11" s="3"/>
      <c r="BE11" s="4"/>
      <c r="CG11" s="2"/>
      <c r="CH11" s="3"/>
      <c r="CI11" s="3"/>
      <c r="CJ11" s="3"/>
      <c r="CK11" s="3"/>
      <c r="CL11" s="3"/>
      <c r="CM11" s="3"/>
      <c r="CN11" s="3"/>
      <c r="CO11" s="3"/>
      <c r="CP11" s="3"/>
      <c r="CQ11" s="3"/>
      <c r="CR11" s="3"/>
      <c r="CS11" s="3"/>
      <c r="CT11" s="4"/>
    </row>
    <row r="12" spans="1:98" ht="10.5" customHeight="1" x14ac:dyDescent="0.15">
      <c r="A12" s="3"/>
      <c r="B12" s="3"/>
      <c r="C12" s="3"/>
      <c r="D12" s="3"/>
      <c r="K12" s="20"/>
      <c r="L12" s="20"/>
      <c r="M12" s="20"/>
      <c r="N12" s="20"/>
      <c r="O12" s="20"/>
      <c r="P12" s="20"/>
      <c r="Q12" s="21"/>
      <c r="R12" s="21"/>
      <c r="S12" s="21"/>
      <c r="T12" s="21"/>
      <c r="U12" s="21"/>
      <c r="V12" s="21"/>
      <c r="W12" s="21"/>
      <c r="X12" s="21"/>
      <c r="Y12" s="21"/>
      <c r="Z12" s="21"/>
      <c r="AA12" s="21"/>
      <c r="AB12" s="21"/>
      <c r="AC12" s="2"/>
      <c r="AD12" s="2"/>
      <c r="AE12" s="2"/>
      <c r="AF12" s="104">
        <v>29921</v>
      </c>
      <c r="AG12" s="89"/>
      <c r="AH12" s="89"/>
      <c r="AI12" s="96"/>
      <c r="AJ12" s="93"/>
      <c r="AK12" s="89"/>
      <c r="AL12" s="96"/>
      <c r="AM12" s="220"/>
      <c r="AN12" s="220"/>
      <c r="AO12" s="96"/>
      <c r="AP12" s="221"/>
      <c r="AQ12" s="221"/>
      <c r="AR12" s="222"/>
      <c r="AS12" s="2"/>
      <c r="AT12" s="2"/>
      <c r="AU12" s="2"/>
      <c r="AV12" s="2"/>
      <c r="AW12" s="2"/>
      <c r="AX12" s="2"/>
      <c r="AZ12" s="3"/>
      <c r="BA12" s="3"/>
      <c r="BB12" s="3"/>
      <c r="BC12" s="3"/>
      <c r="BD12" s="3"/>
      <c r="BE12" s="4"/>
      <c r="CG12" s="2"/>
      <c r="CH12" s="3"/>
      <c r="CI12" s="3"/>
      <c r="CJ12" s="3"/>
      <c r="CK12" s="3"/>
      <c r="CL12" s="3"/>
      <c r="CM12" s="3"/>
      <c r="CN12" s="3"/>
      <c r="CO12" s="3"/>
      <c r="CP12" s="3"/>
      <c r="CQ12" s="3"/>
      <c r="CR12" s="3"/>
      <c r="CS12" s="3"/>
      <c r="CT12" s="4"/>
    </row>
    <row r="13" spans="1:98" ht="10.5" customHeight="1" x14ac:dyDescent="0.15">
      <c r="A13" s="3"/>
      <c r="B13" s="3"/>
      <c r="C13" s="3"/>
      <c r="D13" s="3"/>
      <c r="K13" s="20"/>
      <c r="L13" s="20"/>
      <c r="M13" s="20"/>
      <c r="N13" s="20"/>
      <c r="O13" s="20"/>
      <c r="P13" s="20"/>
      <c r="Q13" s="21"/>
      <c r="R13" s="21"/>
      <c r="S13" s="21"/>
      <c r="T13" s="21"/>
      <c r="U13" s="21"/>
      <c r="V13" s="21"/>
      <c r="W13" s="21"/>
      <c r="X13" s="21"/>
      <c r="Y13" s="21"/>
      <c r="Z13" s="21"/>
      <c r="AA13" s="21"/>
      <c r="AB13" s="21"/>
      <c r="AC13" s="2"/>
      <c r="AD13" s="2"/>
      <c r="AE13" s="2"/>
      <c r="AF13" s="104">
        <v>29952</v>
      </c>
      <c r="AG13" s="89"/>
      <c r="AH13" s="89"/>
      <c r="AI13" s="96"/>
      <c r="AJ13" s="93"/>
      <c r="AK13" s="89"/>
      <c r="AL13" s="96"/>
      <c r="AM13" s="220"/>
      <c r="AN13" s="220"/>
      <c r="AO13" s="96"/>
      <c r="AP13" s="221"/>
      <c r="AQ13" s="221"/>
      <c r="AR13" s="222"/>
      <c r="AS13" s="2"/>
      <c r="AT13" s="2"/>
      <c r="AU13" s="2"/>
      <c r="AV13" s="2"/>
      <c r="AW13" s="2"/>
      <c r="AX13" s="2"/>
      <c r="AZ13" s="3"/>
      <c r="BA13" s="3"/>
      <c r="BB13" s="3"/>
      <c r="BC13" s="3"/>
      <c r="BD13" s="3"/>
      <c r="BE13" s="4"/>
      <c r="CG13" s="2"/>
      <c r="CH13" s="3"/>
      <c r="CI13" s="3"/>
      <c r="CJ13" s="3"/>
      <c r="CK13" s="3"/>
      <c r="CL13" s="3"/>
      <c r="CM13" s="3"/>
      <c r="CN13" s="3"/>
      <c r="CO13" s="3"/>
      <c r="CP13" s="3"/>
      <c r="CQ13" s="3"/>
      <c r="CR13" s="3"/>
      <c r="CS13" s="3"/>
      <c r="CT13" s="4"/>
    </row>
    <row r="14" spans="1:98" ht="10.5" customHeight="1" x14ac:dyDescent="0.15">
      <c r="A14" s="3"/>
      <c r="B14" s="3"/>
      <c r="C14" s="3"/>
      <c r="D14" s="3"/>
      <c r="K14" s="20"/>
      <c r="L14" s="20"/>
      <c r="M14" s="20"/>
      <c r="N14" s="20"/>
      <c r="O14" s="20"/>
      <c r="P14" s="20"/>
      <c r="Q14" s="21"/>
      <c r="R14" s="21"/>
      <c r="S14" s="21"/>
      <c r="T14" s="21"/>
      <c r="U14" s="21"/>
      <c r="V14" s="21"/>
      <c r="W14" s="21"/>
      <c r="X14" s="21"/>
      <c r="Y14" s="21"/>
      <c r="Z14" s="21"/>
      <c r="AA14" s="21"/>
      <c r="AB14" s="21"/>
      <c r="AC14" s="2"/>
      <c r="AD14" s="2"/>
      <c r="AE14" s="2"/>
      <c r="AF14" s="104">
        <v>29983</v>
      </c>
      <c r="AG14" s="89"/>
      <c r="AH14" s="89"/>
      <c r="AI14" s="96"/>
      <c r="AJ14" s="93"/>
      <c r="AK14" s="89"/>
      <c r="AL14" s="96"/>
      <c r="AM14" s="220"/>
      <c r="AN14" s="220"/>
      <c r="AO14" s="96"/>
      <c r="AP14" s="221"/>
      <c r="AQ14" s="221"/>
      <c r="AR14" s="222"/>
      <c r="AS14" s="2"/>
      <c r="AT14" s="2"/>
      <c r="AU14" s="2"/>
      <c r="AV14" s="2"/>
      <c r="AW14" s="2"/>
      <c r="AX14" s="2"/>
      <c r="AZ14" s="3"/>
      <c r="BA14" s="3"/>
      <c r="BB14" s="3"/>
      <c r="BC14" s="3"/>
      <c r="BD14" s="3"/>
      <c r="BE14" s="4"/>
      <c r="CG14" s="2"/>
      <c r="CH14" s="3"/>
      <c r="CI14" s="3"/>
      <c r="CJ14" s="3"/>
      <c r="CK14" s="3"/>
      <c r="CL14" s="3"/>
      <c r="CM14" s="3"/>
      <c r="CN14" s="3"/>
      <c r="CO14" s="3"/>
      <c r="CP14" s="3"/>
      <c r="CQ14" s="3"/>
      <c r="CR14" s="3"/>
      <c r="CS14" s="3"/>
      <c r="CT14" s="4"/>
    </row>
    <row r="15" spans="1:98" ht="10.5" customHeight="1" x14ac:dyDescent="0.15">
      <c r="A15" s="3"/>
      <c r="B15" s="3"/>
      <c r="C15" s="3"/>
      <c r="D15" s="3"/>
      <c r="K15" s="20"/>
      <c r="L15" s="20"/>
      <c r="M15" s="20"/>
      <c r="N15" s="20"/>
      <c r="O15" s="20"/>
      <c r="P15" s="20"/>
      <c r="Q15" s="21"/>
      <c r="R15" s="21"/>
      <c r="S15" s="21"/>
      <c r="T15" s="21"/>
      <c r="U15" s="21"/>
      <c r="V15" s="21"/>
      <c r="W15" s="21"/>
      <c r="X15" s="21"/>
      <c r="Y15" s="21"/>
      <c r="Z15" s="21"/>
      <c r="AA15" s="21"/>
      <c r="AB15" s="21"/>
      <c r="AC15" s="2"/>
      <c r="AD15" s="2"/>
      <c r="AE15" s="2"/>
      <c r="AF15" s="104">
        <v>30011</v>
      </c>
      <c r="AG15" s="89"/>
      <c r="AH15" s="89"/>
      <c r="AI15" s="96"/>
      <c r="AJ15" s="93"/>
      <c r="AK15" s="89"/>
      <c r="AL15" s="96"/>
      <c r="AM15" s="220"/>
      <c r="AN15" s="220"/>
      <c r="AO15" s="96"/>
      <c r="AP15" s="221"/>
      <c r="AQ15" s="221"/>
      <c r="AR15" s="222"/>
      <c r="AS15" s="2"/>
      <c r="AT15" s="2"/>
      <c r="AU15" s="2"/>
      <c r="AV15" s="2"/>
      <c r="AW15" s="2"/>
      <c r="AX15" s="2"/>
      <c r="AZ15" s="3"/>
      <c r="BA15" s="3"/>
      <c r="BB15" s="3"/>
      <c r="BC15" s="3"/>
      <c r="BD15" s="3"/>
      <c r="BE15" s="4"/>
      <c r="CG15" s="2"/>
      <c r="CH15" s="3"/>
      <c r="CI15" s="3"/>
      <c r="CJ15" s="3"/>
      <c r="CK15" s="3"/>
      <c r="CL15" s="3"/>
      <c r="CM15" s="3"/>
      <c r="CN15" s="3"/>
      <c r="CO15" s="3"/>
      <c r="CP15" s="3"/>
      <c r="CQ15" s="3"/>
      <c r="CR15" s="3"/>
      <c r="CS15" s="3"/>
      <c r="CT15" s="4"/>
    </row>
    <row r="16" spans="1:98" ht="10.5" customHeight="1" x14ac:dyDescent="0.15">
      <c r="A16" s="3"/>
      <c r="B16" s="3"/>
      <c r="C16" s="3"/>
      <c r="D16" s="3"/>
      <c r="K16" s="20"/>
      <c r="L16" s="20"/>
      <c r="M16" s="20"/>
      <c r="N16" s="20"/>
      <c r="O16" s="20"/>
      <c r="P16" s="20"/>
      <c r="Q16" s="21"/>
      <c r="R16" s="21"/>
      <c r="S16" s="21"/>
      <c r="T16" s="21"/>
      <c r="U16" s="21"/>
      <c r="V16" s="21"/>
      <c r="W16" s="21"/>
      <c r="X16" s="21"/>
      <c r="Y16" s="21"/>
      <c r="Z16" s="21"/>
      <c r="AA16" s="21"/>
      <c r="AB16" s="21"/>
      <c r="AC16" s="2"/>
      <c r="AD16" s="2"/>
      <c r="AE16" s="2"/>
      <c r="AF16" s="105">
        <v>30042</v>
      </c>
      <c r="AG16" s="89"/>
      <c r="AH16" s="89"/>
      <c r="AI16" s="96"/>
      <c r="AJ16" s="93"/>
      <c r="AK16" s="89"/>
      <c r="AL16" s="96"/>
      <c r="AM16" s="220"/>
      <c r="AN16" s="220"/>
      <c r="AO16" s="96"/>
      <c r="AP16" s="221"/>
      <c r="AQ16" s="221"/>
      <c r="AR16" s="222"/>
      <c r="AS16" s="2"/>
      <c r="AT16" s="2"/>
      <c r="AU16" s="2"/>
      <c r="AV16" s="2"/>
      <c r="AW16" s="2"/>
      <c r="AX16" s="2"/>
      <c r="AZ16" s="3"/>
      <c r="BA16" s="3"/>
      <c r="BB16" s="3"/>
      <c r="BC16" s="3"/>
      <c r="BD16" s="3"/>
      <c r="BE16" s="4"/>
      <c r="CG16" s="2"/>
      <c r="CH16" s="3"/>
      <c r="CI16" s="3"/>
      <c r="CJ16" s="3"/>
      <c r="CK16" s="3"/>
      <c r="CL16" s="3"/>
      <c r="CM16" s="3"/>
      <c r="CN16" s="3"/>
      <c r="CO16" s="3"/>
      <c r="CP16" s="3"/>
      <c r="CQ16" s="3"/>
      <c r="CR16" s="3"/>
      <c r="CS16" s="3"/>
      <c r="CT16" s="4"/>
    </row>
    <row r="17" spans="1:98" ht="10.5" customHeight="1" x14ac:dyDescent="0.15">
      <c r="A17" s="3"/>
      <c r="B17" s="3"/>
      <c r="C17" s="3"/>
      <c r="D17" s="3"/>
      <c r="K17" s="20"/>
      <c r="L17" s="20"/>
      <c r="M17" s="20"/>
      <c r="N17" s="20"/>
      <c r="O17" s="20"/>
      <c r="P17" s="20"/>
      <c r="Q17" s="21"/>
      <c r="R17" s="21"/>
      <c r="S17" s="21"/>
      <c r="T17" s="21"/>
      <c r="U17" s="21"/>
      <c r="V17" s="21"/>
      <c r="W17" s="21"/>
      <c r="X17" s="21"/>
      <c r="Y17" s="21"/>
      <c r="Z17" s="21"/>
      <c r="AA17" s="21"/>
      <c r="AB17" s="21"/>
      <c r="AC17" s="2"/>
      <c r="AD17" s="2"/>
      <c r="AE17" s="2"/>
      <c r="AF17" s="105">
        <v>30072</v>
      </c>
      <c r="AG17" s="89"/>
      <c r="AH17" s="89"/>
      <c r="AI17" s="96"/>
      <c r="AJ17" s="93"/>
      <c r="AK17" s="89"/>
      <c r="AL17" s="96"/>
      <c r="AM17" s="220"/>
      <c r="AN17" s="220"/>
      <c r="AO17" s="96"/>
      <c r="AP17" s="221"/>
      <c r="AQ17" s="221"/>
      <c r="AR17" s="222"/>
      <c r="AS17" s="2"/>
      <c r="AT17" s="2"/>
      <c r="AU17" s="2"/>
      <c r="AV17" s="2"/>
      <c r="AW17" s="2"/>
      <c r="AX17" s="2"/>
      <c r="AZ17" s="3"/>
      <c r="BA17" s="3"/>
      <c r="BB17" s="3"/>
      <c r="BC17" s="3"/>
      <c r="BD17" s="3"/>
      <c r="BE17" s="4"/>
      <c r="CG17" s="2"/>
      <c r="CH17" s="3"/>
      <c r="CI17" s="3"/>
      <c r="CJ17" s="3"/>
      <c r="CK17" s="3"/>
      <c r="CL17" s="3"/>
      <c r="CM17" s="3"/>
      <c r="CN17" s="3"/>
      <c r="CO17" s="3"/>
      <c r="CP17" s="3"/>
      <c r="CQ17" s="3"/>
      <c r="CR17" s="3"/>
      <c r="CS17" s="3"/>
      <c r="CT17" s="4"/>
    </row>
    <row r="18" spans="1:98" ht="10.5" customHeight="1" x14ac:dyDescent="0.15">
      <c r="A18" s="3"/>
      <c r="B18" s="3"/>
      <c r="C18" s="3"/>
      <c r="D18" s="3"/>
      <c r="K18" s="20"/>
      <c r="L18" s="20"/>
      <c r="M18" s="20"/>
      <c r="N18" s="20"/>
      <c r="O18" s="20"/>
      <c r="P18" s="20"/>
      <c r="Q18" s="21"/>
      <c r="R18" s="21"/>
      <c r="S18" s="21"/>
      <c r="T18" s="21"/>
      <c r="U18" s="21"/>
      <c r="V18" s="21"/>
      <c r="W18" s="21"/>
      <c r="X18" s="21"/>
      <c r="Y18" s="21"/>
      <c r="Z18" s="21"/>
      <c r="AA18" s="21"/>
      <c r="AB18" s="21"/>
      <c r="AC18" s="2"/>
      <c r="AD18" s="2"/>
      <c r="AE18" s="2"/>
      <c r="AF18" s="105">
        <v>30103</v>
      </c>
      <c r="AG18" s="89"/>
      <c r="AH18" s="89"/>
      <c r="AI18" s="96"/>
      <c r="AJ18" s="93"/>
      <c r="AK18" s="89"/>
      <c r="AL18" s="96"/>
      <c r="AM18" s="220"/>
      <c r="AN18" s="220"/>
      <c r="AO18" s="96"/>
      <c r="AP18" s="221"/>
      <c r="AQ18" s="221"/>
      <c r="AR18" s="222"/>
      <c r="AS18" s="2"/>
      <c r="AT18" s="2"/>
      <c r="AU18" s="2"/>
      <c r="AV18" s="2"/>
      <c r="AW18" s="2"/>
      <c r="AX18" s="2"/>
      <c r="AZ18" s="3"/>
      <c r="BA18" s="3"/>
      <c r="BB18" s="3"/>
      <c r="BC18" s="3"/>
      <c r="BD18" s="3"/>
      <c r="BE18" s="4"/>
      <c r="CG18" s="2"/>
      <c r="CH18" s="3"/>
      <c r="CI18" s="3"/>
      <c r="CJ18" s="3"/>
      <c r="CK18" s="3"/>
      <c r="CL18" s="3"/>
      <c r="CM18" s="3"/>
      <c r="CN18" s="3"/>
      <c r="CO18" s="3"/>
      <c r="CP18" s="3"/>
      <c r="CQ18" s="3"/>
      <c r="CR18" s="3"/>
      <c r="CS18" s="3"/>
      <c r="CT18" s="4"/>
    </row>
    <row r="19" spans="1:98" ht="10.5" customHeight="1" x14ac:dyDescent="0.15">
      <c r="A19" s="3"/>
      <c r="B19" s="3"/>
      <c r="C19" s="3"/>
      <c r="D19" s="3"/>
      <c r="K19" s="20"/>
      <c r="L19" s="20"/>
      <c r="M19" s="20"/>
      <c r="N19" s="20"/>
      <c r="O19" s="20"/>
      <c r="P19" s="20"/>
      <c r="Q19" s="21"/>
      <c r="R19" s="21"/>
      <c r="S19" s="21"/>
      <c r="T19" s="21"/>
      <c r="U19" s="21"/>
      <c r="V19" s="21"/>
      <c r="W19" s="21"/>
      <c r="X19" s="21"/>
      <c r="Y19" s="21"/>
      <c r="Z19" s="21"/>
      <c r="AA19" s="21"/>
      <c r="AB19" s="21"/>
      <c r="AC19" s="2"/>
      <c r="AD19" s="2"/>
      <c r="AE19" s="2"/>
      <c r="AF19" s="105">
        <v>30133</v>
      </c>
      <c r="AG19" s="89"/>
      <c r="AH19" s="89"/>
      <c r="AI19" s="96"/>
      <c r="AJ19" s="93"/>
      <c r="AK19" s="89"/>
      <c r="AL19" s="96"/>
      <c r="AM19" s="220"/>
      <c r="AN19" s="220"/>
      <c r="AO19" s="96"/>
      <c r="AP19" s="221"/>
      <c r="AQ19" s="221"/>
      <c r="AR19" s="222"/>
      <c r="AS19" s="2"/>
      <c r="AT19" s="2"/>
      <c r="AU19" s="2"/>
      <c r="AV19" s="2"/>
      <c r="AW19" s="2"/>
      <c r="AX19" s="2"/>
      <c r="AZ19" s="3"/>
      <c r="BA19" s="3"/>
      <c r="BB19" s="3"/>
      <c r="BC19" s="3"/>
      <c r="BD19" s="3"/>
      <c r="BE19" s="4"/>
      <c r="CG19" s="2"/>
      <c r="CH19" s="3"/>
      <c r="CI19" s="3"/>
      <c r="CJ19" s="3"/>
      <c r="CK19" s="3"/>
      <c r="CL19" s="3"/>
      <c r="CM19" s="3"/>
      <c r="CN19" s="3"/>
      <c r="CO19" s="3"/>
      <c r="CP19" s="3"/>
      <c r="CQ19" s="3"/>
      <c r="CR19" s="3"/>
      <c r="CS19" s="3"/>
      <c r="CT19" s="4"/>
    </row>
    <row r="20" spans="1:98" ht="10.5" customHeight="1" x14ac:dyDescent="0.15">
      <c r="A20" s="3"/>
      <c r="B20" s="3"/>
      <c r="C20" s="3"/>
      <c r="D20" s="3"/>
      <c r="K20" s="20"/>
      <c r="L20" s="20"/>
      <c r="M20" s="20"/>
      <c r="N20" s="20"/>
      <c r="O20" s="20"/>
      <c r="P20" s="20"/>
      <c r="Q20" s="21"/>
      <c r="R20" s="21"/>
      <c r="S20" s="21"/>
      <c r="T20" s="21"/>
      <c r="U20" s="21"/>
      <c r="V20" s="21"/>
      <c r="W20" s="21"/>
      <c r="X20" s="21"/>
      <c r="Y20" s="21"/>
      <c r="Z20" s="21"/>
      <c r="AA20" s="21"/>
      <c r="AB20" s="21"/>
      <c r="AC20" s="2"/>
      <c r="AD20" s="2"/>
      <c r="AE20" s="2"/>
      <c r="AF20" s="105">
        <v>30164</v>
      </c>
      <c r="AG20" s="89"/>
      <c r="AH20" s="89"/>
      <c r="AI20" s="96"/>
      <c r="AJ20" s="93"/>
      <c r="AK20" s="89"/>
      <c r="AL20" s="96"/>
      <c r="AM20" s="220"/>
      <c r="AN20" s="220"/>
      <c r="AO20" s="96"/>
      <c r="AP20" s="221"/>
      <c r="AQ20" s="221"/>
      <c r="AR20" s="222"/>
      <c r="AS20" s="2"/>
      <c r="AT20" s="2"/>
      <c r="AU20" s="2"/>
      <c r="AV20" s="2"/>
      <c r="AW20" s="2"/>
      <c r="AX20" s="2"/>
      <c r="AZ20" s="3"/>
      <c r="BA20" s="3"/>
      <c r="BB20" s="3"/>
      <c r="BC20" s="3"/>
      <c r="BD20" s="3"/>
      <c r="BE20" s="4"/>
      <c r="CG20" s="2"/>
      <c r="CH20" s="3"/>
      <c r="CI20" s="3"/>
      <c r="CJ20" s="3"/>
      <c r="CK20" s="3"/>
      <c r="CL20" s="3"/>
      <c r="CM20" s="3"/>
      <c r="CN20" s="3"/>
      <c r="CO20" s="3"/>
      <c r="CP20" s="3"/>
      <c r="CQ20" s="3"/>
      <c r="CR20" s="3"/>
      <c r="CS20" s="3"/>
      <c r="CT20" s="4"/>
    </row>
    <row r="21" spans="1:98" ht="10.5" customHeight="1" x14ac:dyDescent="0.15">
      <c r="A21" s="3"/>
      <c r="B21" s="3"/>
      <c r="C21" s="3"/>
      <c r="D21" s="3"/>
      <c r="K21" s="20"/>
      <c r="L21" s="20"/>
      <c r="M21" s="20"/>
      <c r="N21" s="20"/>
      <c r="O21" s="20"/>
      <c r="P21" s="20"/>
      <c r="Q21" s="21"/>
      <c r="R21" s="21"/>
      <c r="S21" s="21"/>
      <c r="T21" s="21"/>
      <c r="U21" s="21"/>
      <c r="V21" s="21"/>
      <c r="W21" s="21"/>
      <c r="X21" s="21"/>
      <c r="Y21" s="21"/>
      <c r="Z21" s="21"/>
      <c r="AA21" s="21"/>
      <c r="AB21" s="21"/>
      <c r="AC21" s="2"/>
      <c r="AD21" s="2"/>
      <c r="AE21" s="2"/>
      <c r="AF21" s="105">
        <v>30195</v>
      </c>
      <c r="AG21" s="89"/>
      <c r="AH21" s="89"/>
      <c r="AI21" s="96"/>
      <c r="AJ21" s="93"/>
      <c r="AK21" s="89"/>
      <c r="AL21" s="96"/>
      <c r="AM21" s="220"/>
      <c r="AN21" s="220"/>
      <c r="AO21" s="96"/>
      <c r="AP21" s="221"/>
      <c r="AQ21" s="221"/>
      <c r="AR21" s="222"/>
      <c r="AS21" s="2"/>
      <c r="AT21" s="2"/>
      <c r="AU21" s="2"/>
      <c r="AV21" s="2"/>
      <c r="AW21" s="2"/>
      <c r="AX21" s="2"/>
      <c r="AZ21" s="3"/>
      <c r="BA21" s="3"/>
      <c r="BB21" s="3"/>
      <c r="BC21" s="3"/>
      <c r="BD21" s="3"/>
      <c r="BE21" s="4"/>
      <c r="CG21" s="2"/>
      <c r="CH21" s="3"/>
      <c r="CI21" s="3"/>
      <c r="CJ21" s="3"/>
      <c r="CK21" s="3"/>
      <c r="CL21" s="3"/>
      <c r="CM21" s="3"/>
      <c r="CN21" s="3"/>
      <c r="CO21" s="3"/>
      <c r="CP21" s="3"/>
      <c r="CQ21" s="3"/>
      <c r="CR21" s="3"/>
      <c r="CS21" s="3"/>
      <c r="CT21" s="4"/>
    </row>
    <row r="22" spans="1:98" ht="10.5" customHeight="1" x14ac:dyDescent="0.15">
      <c r="A22" s="3"/>
      <c r="B22" s="3"/>
      <c r="C22" s="3"/>
      <c r="D22" s="3"/>
      <c r="K22" s="20"/>
      <c r="L22" s="20"/>
      <c r="M22" s="20"/>
      <c r="N22" s="20"/>
      <c r="O22" s="20"/>
      <c r="P22" s="20"/>
      <c r="Q22" s="21"/>
      <c r="R22" s="21"/>
      <c r="S22" s="21"/>
      <c r="T22" s="21"/>
      <c r="U22" s="21"/>
      <c r="V22" s="21"/>
      <c r="W22" s="21"/>
      <c r="X22" s="21"/>
      <c r="Y22" s="21"/>
      <c r="Z22" s="21"/>
      <c r="AA22" s="21"/>
      <c r="AB22" s="21"/>
      <c r="AC22" s="2"/>
      <c r="AD22" s="2"/>
      <c r="AE22" s="2"/>
      <c r="AF22" s="105">
        <v>30225</v>
      </c>
      <c r="AG22" s="89"/>
      <c r="AH22" s="89"/>
      <c r="AI22" s="96"/>
      <c r="AJ22" s="93"/>
      <c r="AK22" s="89"/>
      <c r="AL22" s="96"/>
      <c r="AM22" s="220"/>
      <c r="AN22" s="220"/>
      <c r="AO22" s="96"/>
      <c r="AP22" s="221"/>
      <c r="AQ22" s="221"/>
      <c r="AR22" s="222"/>
      <c r="AS22" s="2"/>
      <c r="AT22" s="2"/>
      <c r="AU22" s="2"/>
      <c r="AV22" s="2"/>
      <c r="AW22" s="2"/>
      <c r="AX22" s="2"/>
      <c r="AZ22" s="3"/>
      <c r="BA22" s="3"/>
      <c r="BB22" s="3"/>
      <c r="BC22" s="3"/>
      <c r="BD22" s="3"/>
      <c r="BE22" s="4"/>
      <c r="CG22" s="2"/>
      <c r="CH22" s="3"/>
      <c r="CI22" s="3"/>
      <c r="CJ22" s="3"/>
      <c r="CK22" s="3"/>
      <c r="CL22" s="3"/>
      <c r="CM22" s="3"/>
      <c r="CN22" s="3"/>
      <c r="CO22" s="3"/>
      <c r="CP22" s="3"/>
      <c r="CQ22" s="3"/>
      <c r="CR22" s="3"/>
      <c r="CS22" s="3"/>
      <c r="CT22" s="4"/>
    </row>
    <row r="23" spans="1:98" ht="10.5" customHeight="1" x14ac:dyDescent="0.15">
      <c r="A23" s="3"/>
      <c r="B23" s="3"/>
      <c r="C23" s="3"/>
      <c r="D23" s="3"/>
      <c r="K23" s="20"/>
      <c r="L23" s="20"/>
      <c r="M23" s="20"/>
      <c r="N23" s="20"/>
      <c r="O23" s="20"/>
      <c r="P23" s="20"/>
      <c r="Q23" s="21"/>
      <c r="R23" s="21"/>
      <c r="S23" s="21"/>
      <c r="T23" s="21"/>
      <c r="U23" s="21"/>
      <c r="V23" s="21"/>
      <c r="W23" s="21"/>
      <c r="X23" s="21"/>
      <c r="Y23" s="21"/>
      <c r="Z23" s="21"/>
      <c r="AA23" s="21"/>
      <c r="AB23" s="21"/>
      <c r="AC23" s="2"/>
      <c r="AD23" s="2"/>
      <c r="AE23" s="2"/>
      <c r="AF23" s="105">
        <v>30256</v>
      </c>
      <c r="AG23" s="89"/>
      <c r="AH23" s="89"/>
      <c r="AI23" s="96"/>
      <c r="AJ23" s="93"/>
      <c r="AK23" s="89"/>
      <c r="AL23" s="96"/>
      <c r="AM23" s="220"/>
      <c r="AN23" s="220"/>
      <c r="AO23" s="96"/>
      <c r="AP23" s="221"/>
      <c r="AQ23" s="221"/>
      <c r="AR23" s="222"/>
      <c r="AS23" s="2"/>
      <c r="AT23" s="2"/>
      <c r="AU23" s="2"/>
      <c r="AV23" s="2"/>
      <c r="AW23" s="2"/>
      <c r="AX23" s="2"/>
      <c r="AZ23" s="3"/>
      <c r="BA23" s="3"/>
      <c r="BB23" s="3"/>
      <c r="BC23" s="3"/>
      <c r="BD23" s="3"/>
      <c r="BE23" s="4"/>
      <c r="CG23" s="2"/>
      <c r="CH23" s="3"/>
      <c r="CI23" s="3"/>
      <c r="CJ23" s="3"/>
      <c r="CK23" s="3"/>
      <c r="CL23" s="3"/>
      <c r="CM23" s="3"/>
      <c r="CN23" s="3"/>
      <c r="CO23" s="3"/>
      <c r="CP23" s="3"/>
      <c r="CQ23" s="3"/>
      <c r="CR23" s="3"/>
      <c r="CS23" s="3"/>
      <c r="CT23" s="4"/>
    </row>
    <row r="24" spans="1:98" ht="10.5" customHeight="1" x14ac:dyDescent="0.15">
      <c r="A24" s="3"/>
      <c r="B24" s="20"/>
      <c r="C24" s="20"/>
      <c r="D24" s="20"/>
      <c r="E24" s="20"/>
      <c r="F24" s="20"/>
      <c r="G24" s="20"/>
      <c r="H24" s="20"/>
      <c r="I24" s="20"/>
      <c r="J24" s="20"/>
      <c r="K24" s="20"/>
      <c r="L24" s="20"/>
      <c r="M24" s="20"/>
      <c r="N24" s="20"/>
      <c r="O24" s="20"/>
      <c r="P24" s="20"/>
      <c r="Q24" s="21"/>
      <c r="R24" s="21"/>
      <c r="S24" s="21"/>
      <c r="T24" s="21"/>
      <c r="U24" s="21"/>
      <c r="V24" s="21"/>
      <c r="W24" s="21"/>
      <c r="X24" s="21"/>
      <c r="Y24" s="21"/>
      <c r="Z24" s="21"/>
      <c r="AA24" s="21"/>
      <c r="AB24" s="21"/>
      <c r="AC24" s="2"/>
      <c r="AD24" s="2"/>
      <c r="AE24" s="2"/>
      <c r="AF24" s="105">
        <v>30286</v>
      </c>
      <c r="AG24" s="89"/>
      <c r="AH24" s="89"/>
      <c r="AI24" s="96"/>
      <c r="AJ24" s="93"/>
      <c r="AK24" s="89"/>
      <c r="AL24" s="96"/>
      <c r="AM24" s="220"/>
      <c r="AN24" s="220"/>
      <c r="AO24" s="96"/>
      <c r="AP24" s="221"/>
      <c r="AQ24" s="221"/>
      <c r="AR24" s="222"/>
      <c r="AS24" s="2"/>
      <c r="AT24" s="2"/>
      <c r="AU24" s="2"/>
      <c r="AV24" s="2"/>
      <c r="AW24" s="2"/>
      <c r="AX24" s="2"/>
      <c r="AZ24" s="3"/>
      <c r="BA24" s="3"/>
      <c r="BB24" s="3"/>
      <c r="BC24" s="3"/>
      <c r="BD24" s="3"/>
      <c r="BE24" s="4"/>
      <c r="CG24" s="2"/>
      <c r="CH24" s="3"/>
      <c r="CI24" s="3"/>
      <c r="CJ24" s="3"/>
      <c r="CK24" s="3"/>
      <c r="CL24" s="3"/>
      <c r="CM24" s="3"/>
      <c r="CN24" s="3"/>
      <c r="CO24" s="3"/>
      <c r="CP24" s="3"/>
      <c r="CQ24" s="3"/>
      <c r="CR24" s="3"/>
      <c r="CS24" s="3"/>
      <c r="CT24" s="4"/>
    </row>
    <row r="25" spans="1:98" ht="10.5" customHeight="1" x14ac:dyDescent="0.15">
      <c r="A25" s="3"/>
      <c r="B25" s="20"/>
      <c r="C25" s="20"/>
      <c r="D25" s="20"/>
      <c r="E25" s="20"/>
      <c r="F25" s="20"/>
      <c r="G25" s="20"/>
      <c r="H25" s="20"/>
      <c r="I25" s="20"/>
      <c r="J25" s="20"/>
      <c r="K25" s="20"/>
      <c r="L25" s="20"/>
      <c r="M25" s="20"/>
      <c r="N25" s="20"/>
      <c r="O25" s="20"/>
      <c r="P25" s="20"/>
      <c r="Q25" s="21"/>
      <c r="R25" s="21"/>
      <c r="S25" s="21"/>
      <c r="T25" s="21"/>
      <c r="U25" s="21"/>
      <c r="V25" s="21"/>
      <c r="W25" s="21"/>
      <c r="X25" s="21"/>
      <c r="Y25" s="21"/>
      <c r="Z25" s="21"/>
      <c r="AA25" s="21"/>
      <c r="AB25" s="21"/>
      <c r="AC25" s="2"/>
      <c r="AD25" s="2"/>
      <c r="AE25" s="2"/>
      <c r="AF25" s="105">
        <v>30317</v>
      </c>
      <c r="AG25" s="89"/>
      <c r="AH25" s="89"/>
      <c r="AI25" s="96"/>
      <c r="AJ25" s="93"/>
      <c r="AK25" s="89"/>
      <c r="AL25" s="96"/>
      <c r="AM25" s="220"/>
      <c r="AN25" s="220"/>
      <c r="AO25" s="96"/>
      <c r="AP25" s="221"/>
      <c r="AQ25" s="221"/>
      <c r="AR25" s="222"/>
      <c r="AS25" s="2"/>
      <c r="AT25" s="2"/>
      <c r="AU25" s="2"/>
      <c r="AV25" s="2"/>
      <c r="AW25" s="2"/>
      <c r="AX25" s="2"/>
      <c r="AZ25" s="3"/>
      <c r="BA25" s="3"/>
      <c r="BB25" s="3"/>
      <c r="BC25" s="3"/>
      <c r="BD25" s="3"/>
      <c r="BE25" s="4"/>
      <c r="CG25" s="2"/>
      <c r="CH25" s="3"/>
      <c r="CI25" s="3"/>
      <c r="CJ25" s="3"/>
      <c r="CK25" s="3"/>
      <c r="CL25" s="3"/>
      <c r="CM25" s="3"/>
      <c r="CN25" s="3"/>
      <c r="CO25" s="3"/>
      <c r="CP25" s="3"/>
      <c r="CQ25" s="3"/>
      <c r="CR25" s="3"/>
      <c r="CS25" s="3"/>
      <c r="CT25" s="4"/>
    </row>
    <row r="26" spans="1:98" ht="10.5" customHeight="1" x14ac:dyDescent="0.15">
      <c r="C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105">
        <v>30348</v>
      </c>
      <c r="AG26" s="89"/>
      <c r="AH26" s="89"/>
      <c r="AI26" s="96"/>
      <c r="AJ26" s="93"/>
      <c r="AK26" s="89"/>
      <c r="AL26" s="96"/>
      <c r="AM26" s="220"/>
      <c r="AN26" s="220"/>
      <c r="AO26" s="96"/>
      <c r="AP26" s="221"/>
      <c r="AQ26" s="221"/>
      <c r="AR26" s="222"/>
      <c r="AS26" s="2"/>
      <c r="AT26" s="2"/>
      <c r="AU26" s="2"/>
      <c r="AV26" s="2"/>
      <c r="AW26" s="2"/>
      <c r="AX26" s="2"/>
      <c r="AZ26" s="3"/>
      <c r="BA26" s="3"/>
      <c r="BB26" s="3"/>
      <c r="BC26" s="3"/>
      <c r="BD26" s="3"/>
      <c r="BE26" s="4"/>
      <c r="CG26" s="2"/>
      <c r="CH26" s="3"/>
      <c r="CI26" s="3"/>
      <c r="CJ26" s="3"/>
      <c r="CK26" s="3"/>
      <c r="CL26" s="3"/>
      <c r="CM26" s="3"/>
      <c r="CN26" s="3"/>
      <c r="CO26" s="3"/>
      <c r="CP26" s="3"/>
      <c r="CQ26" s="3"/>
      <c r="CR26" s="3"/>
      <c r="CS26" s="3"/>
      <c r="CT26" s="4"/>
    </row>
    <row r="27" spans="1:98" ht="10.5" customHeight="1" x14ac:dyDescent="0.15">
      <c r="C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105">
        <v>30376</v>
      </c>
      <c r="AG27" s="89"/>
      <c r="AH27" s="89"/>
      <c r="AI27" s="96"/>
      <c r="AJ27" s="93"/>
      <c r="AK27" s="89"/>
      <c r="AL27" s="96"/>
      <c r="AM27" s="136"/>
      <c r="AN27" s="136"/>
      <c r="AO27" s="96"/>
      <c r="AP27" s="223"/>
      <c r="AQ27" s="223"/>
      <c r="AR27" s="224"/>
      <c r="AS27" s="2"/>
      <c r="AT27" s="2"/>
      <c r="AU27" s="2"/>
      <c r="AV27" s="2"/>
      <c r="AW27" s="2"/>
      <c r="AX27" s="2"/>
      <c r="AZ27" s="3"/>
      <c r="BA27" s="3"/>
      <c r="BB27" s="3"/>
      <c r="BC27" s="3"/>
      <c r="BD27" s="3"/>
      <c r="BE27" s="4"/>
      <c r="CG27" s="2"/>
      <c r="CH27" s="3"/>
      <c r="CI27" s="3"/>
      <c r="CJ27" s="3"/>
      <c r="CK27" s="3"/>
      <c r="CL27" s="3"/>
      <c r="CM27" s="3"/>
      <c r="CN27" s="3"/>
      <c r="CO27" s="3"/>
      <c r="CP27" s="3"/>
      <c r="CQ27" s="3"/>
      <c r="CR27" s="3"/>
      <c r="CS27" s="3"/>
      <c r="CT27" s="4"/>
    </row>
    <row r="28" spans="1:98" ht="10.5" customHeight="1" x14ac:dyDescent="0.15">
      <c r="AC28" s="2"/>
      <c r="AD28" s="2"/>
      <c r="AE28" s="2"/>
      <c r="AF28" s="104">
        <v>30407</v>
      </c>
      <c r="AG28" s="89"/>
      <c r="AH28" s="89"/>
      <c r="AI28" s="96"/>
      <c r="AJ28" s="93"/>
      <c r="AK28" s="89"/>
      <c r="AL28" s="96"/>
      <c r="AM28" s="136"/>
      <c r="AN28" s="136"/>
      <c r="AO28" s="96"/>
      <c r="AP28" s="223"/>
      <c r="AQ28" s="223"/>
      <c r="AR28" s="224"/>
      <c r="AS28" s="2"/>
      <c r="AT28" s="2"/>
      <c r="AU28" s="2"/>
      <c r="AV28" s="2"/>
      <c r="AW28" s="2"/>
      <c r="AX28" s="2"/>
      <c r="AZ28" s="3"/>
      <c r="BA28" s="3"/>
      <c r="BB28" s="3"/>
      <c r="BC28" s="3"/>
      <c r="BD28" s="3"/>
      <c r="BE28" s="4"/>
      <c r="CG28" s="2"/>
      <c r="CH28" s="3"/>
      <c r="CI28" s="3"/>
      <c r="CJ28" s="3"/>
      <c r="CK28" s="3"/>
      <c r="CL28" s="3"/>
      <c r="CM28" s="3"/>
      <c r="CN28" s="3"/>
      <c r="CO28" s="3"/>
      <c r="CP28" s="3"/>
      <c r="CQ28" s="3"/>
      <c r="CR28" s="3"/>
      <c r="CS28" s="3"/>
      <c r="CT28" s="4"/>
    </row>
    <row r="29" spans="1:98" ht="10.5" customHeight="1" x14ac:dyDescent="0.15">
      <c r="AC29" s="2"/>
      <c r="AD29" s="2"/>
      <c r="AE29" s="2"/>
      <c r="AF29" s="104">
        <v>30437</v>
      </c>
      <c r="AG29" s="89"/>
      <c r="AH29" s="89"/>
      <c r="AI29" s="96"/>
      <c r="AJ29" s="93"/>
      <c r="AK29" s="89"/>
      <c r="AL29" s="96"/>
      <c r="AM29" s="136"/>
      <c r="AN29" s="136"/>
      <c r="AO29" s="96"/>
      <c r="AP29" s="223"/>
      <c r="AQ29" s="223"/>
      <c r="AR29" s="224"/>
      <c r="AS29" s="2"/>
      <c r="AT29" s="2"/>
      <c r="AU29" s="2"/>
      <c r="AV29" s="2"/>
      <c r="AW29" s="2"/>
      <c r="AX29" s="2"/>
      <c r="AZ29" s="3"/>
      <c r="BA29" s="3"/>
      <c r="BB29" s="3"/>
      <c r="BC29" s="3"/>
      <c r="BD29" s="3"/>
      <c r="BE29" s="4"/>
      <c r="CG29" s="2"/>
      <c r="CH29" s="3"/>
      <c r="CI29" s="3"/>
      <c r="CJ29" s="3"/>
      <c r="CK29" s="3"/>
      <c r="CL29" s="3"/>
      <c r="CM29" s="3"/>
      <c r="CN29" s="3"/>
      <c r="CO29" s="3"/>
      <c r="CP29" s="3"/>
      <c r="CQ29" s="3"/>
      <c r="CR29" s="3"/>
      <c r="CS29" s="3"/>
      <c r="CT29" s="4"/>
    </row>
    <row r="30" spans="1:98" ht="10.5" customHeight="1" x14ac:dyDescent="0.15">
      <c r="AC30" s="2"/>
      <c r="AD30" s="2"/>
      <c r="AE30" s="2"/>
      <c r="AF30" s="104">
        <v>30468</v>
      </c>
      <c r="AG30" s="89"/>
      <c r="AH30" s="89"/>
      <c r="AI30" s="96"/>
      <c r="AJ30" s="93"/>
      <c r="AK30" s="89"/>
      <c r="AL30" s="96"/>
      <c r="AM30" s="68"/>
      <c r="AN30" s="68"/>
      <c r="AO30" s="96"/>
      <c r="AP30" s="68"/>
      <c r="AQ30" s="68"/>
      <c r="AR30" s="69"/>
      <c r="AS30" s="2"/>
      <c r="AT30" s="2"/>
      <c r="AU30" s="2"/>
      <c r="AV30" s="2"/>
      <c r="AW30" s="2"/>
      <c r="AX30" s="2"/>
      <c r="AZ30" s="3"/>
      <c r="BA30" s="3"/>
      <c r="BB30" s="3"/>
      <c r="BC30" s="3"/>
      <c r="BD30" s="3"/>
      <c r="BE30" s="4"/>
      <c r="CG30" s="2"/>
      <c r="CH30" s="3"/>
      <c r="CI30" s="3"/>
      <c r="CJ30" s="3"/>
      <c r="CK30" s="3"/>
      <c r="CL30" s="3"/>
      <c r="CM30" s="3"/>
      <c r="CN30" s="3"/>
      <c r="CO30" s="3"/>
      <c r="CP30" s="3"/>
      <c r="CQ30" s="3"/>
      <c r="CR30" s="3"/>
      <c r="CS30" s="3"/>
      <c r="CT30" s="4"/>
    </row>
    <row r="31" spans="1:98" ht="10.5" customHeight="1" x14ac:dyDescent="0.15">
      <c r="AC31" s="2"/>
      <c r="AD31" s="2"/>
      <c r="AE31" s="2"/>
      <c r="AF31" s="104">
        <v>30498</v>
      </c>
      <c r="AG31" s="89"/>
      <c r="AH31" s="89"/>
      <c r="AI31" s="96"/>
      <c r="AJ31" s="93"/>
      <c r="AK31" s="89"/>
      <c r="AL31" s="96"/>
      <c r="AM31" s="68"/>
      <c r="AN31" s="68"/>
      <c r="AO31" s="96"/>
      <c r="AP31" s="68"/>
      <c r="AQ31" s="68"/>
      <c r="AR31" s="69"/>
      <c r="AS31" s="2"/>
      <c r="AT31" s="2"/>
      <c r="AU31" s="2"/>
      <c r="AV31" s="2"/>
      <c r="AW31" s="2"/>
      <c r="AX31" s="2"/>
      <c r="AZ31" s="3"/>
      <c r="BA31" s="3"/>
      <c r="BB31" s="3"/>
      <c r="BC31" s="3"/>
      <c r="BD31" s="3"/>
      <c r="BE31" s="4"/>
      <c r="CG31" s="2"/>
      <c r="CH31" s="3"/>
      <c r="CI31" s="3"/>
      <c r="CJ31" s="3"/>
      <c r="CK31" s="3"/>
      <c r="CL31" s="3"/>
      <c r="CM31" s="3"/>
      <c r="CN31" s="3"/>
      <c r="CO31" s="3"/>
      <c r="CP31" s="3"/>
      <c r="CQ31" s="3"/>
      <c r="CR31" s="3"/>
      <c r="CS31" s="3"/>
      <c r="CT31" s="4"/>
    </row>
    <row r="32" spans="1:98" ht="10.5" customHeight="1" x14ac:dyDescent="0.15">
      <c r="AC32" s="2"/>
      <c r="AD32" s="2"/>
      <c r="AE32" s="2"/>
      <c r="AF32" s="104">
        <v>30529</v>
      </c>
      <c r="AG32" s="89"/>
      <c r="AH32" s="89"/>
      <c r="AI32" s="96"/>
      <c r="AJ32" s="93"/>
      <c r="AK32" s="89"/>
      <c r="AL32" s="96"/>
      <c r="AM32" s="68"/>
      <c r="AN32" s="68"/>
      <c r="AO32" s="96"/>
      <c r="AP32" s="68"/>
      <c r="AQ32" s="68"/>
      <c r="AR32" s="69"/>
      <c r="AS32" s="2"/>
      <c r="AT32" s="2"/>
      <c r="AU32" s="2"/>
      <c r="AV32" s="2"/>
      <c r="AW32" s="2"/>
      <c r="AX32" s="2"/>
      <c r="AZ32" s="3"/>
      <c r="BA32" s="3"/>
      <c r="BB32" s="3"/>
      <c r="BC32" s="3"/>
      <c r="BD32" s="3"/>
      <c r="BE32" s="4"/>
      <c r="CG32" s="2"/>
      <c r="CH32" s="3"/>
      <c r="CI32" s="3"/>
      <c r="CJ32" s="3"/>
      <c r="CK32" s="3"/>
      <c r="CL32" s="3"/>
      <c r="CM32" s="3"/>
      <c r="CN32" s="3"/>
      <c r="CO32" s="3"/>
      <c r="CP32" s="3"/>
      <c r="CQ32" s="3"/>
      <c r="CR32" s="3"/>
      <c r="CS32" s="3"/>
      <c r="CT32" s="4"/>
    </row>
    <row r="33" spans="29:98" ht="10.5" customHeight="1" x14ac:dyDescent="0.15">
      <c r="AC33" s="2"/>
      <c r="AD33" s="2"/>
      <c r="AE33" s="2"/>
      <c r="AF33" s="104">
        <v>30560</v>
      </c>
      <c r="AG33" s="89"/>
      <c r="AH33" s="89"/>
      <c r="AI33" s="96"/>
      <c r="AJ33" s="93"/>
      <c r="AK33" s="89"/>
      <c r="AL33" s="96"/>
      <c r="AM33" s="68"/>
      <c r="AN33" s="68"/>
      <c r="AO33" s="96"/>
      <c r="AP33" s="68"/>
      <c r="AQ33" s="68"/>
      <c r="AR33" s="69"/>
      <c r="AS33" s="2"/>
      <c r="AT33" s="2"/>
      <c r="AU33" s="2"/>
      <c r="AV33" s="2"/>
      <c r="AW33" s="2"/>
      <c r="AX33" s="2"/>
      <c r="AZ33" s="3"/>
      <c r="BA33" s="3"/>
      <c r="BB33" s="3"/>
      <c r="BC33" s="3"/>
      <c r="BD33" s="3"/>
      <c r="BE33" s="4"/>
      <c r="CG33" s="2"/>
      <c r="CH33" s="3"/>
      <c r="CI33" s="3"/>
      <c r="CJ33" s="3"/>
      <c r="CK33" s="3"/>
      <c r="CL33" s="3"/>
      <c r="CM33" s="3"/>
      <c r="CN33" s="3"/>
      <c r="CO33" s="3"/>
      <c r="CP33" s="3"/>
      <c r="CQ33" s="3"/>
      <c r="CR33" s="3"/>
      <c r="CS33" s="3"/>
      <c r="CT33" s="4"/>
    </row>
    <row r="34" spans="29:98" ht="10.5" customHeight="1" x14ac:dyDescent="0.15">
      <c r="AC34" s="2"/>
      <c r="AD34" s="2"/>
      <c r="AE34" s="2"/>
      <c r="AF34" s="104">
        <v>30590</v>
      </c>
      <c r="AG34" s="89">
        <v>0</v>
      </c>
      <c r="AH34" s="89"/>
      <c r="AI34" s="96"/>
      <c r="AJ34" s="112">
        <f>39*60*60/(52.4*10^6)*AG34*10^6/10^3</f>
        <v>0</v>
      </c>
      <c r="AK34" s="89"/>
      <c r="AL34" s="96"/>
      <c r="AM34" s="68"/>
      <c r="AN34" s="68"/>
      <c r="AO34" s="96"/>
      <c r="AP34" s="68"/>
      <c r="AQ34" s="68"/>
      <c r="AR34" s="69"/>
      <c r="AS34" s="2"/>
      <c r="AT34" s="2"/>
      <c r="AU34" s="2"/>
      <c r="AV34" s="2"/>
      <c r="AW34" s="2"/>
      <c r="AX34" s="2"/>
      <c r="AZ34" s="3"/>
      <c r="BA34" s="3"/>
      <c r="BB34" s="3"/>
      <c r="BC34" s="3"/>
      <c r="BD34" s="3"/>
      <c r="BE34" s="4"/>
      <c r="CG34" s="2"/>
      <c r="CH34" s="3"/>
      <c r="CI34" s="3"/>
      <c r="CJ34" s="3"/>
      <c r="CK34" s="3"/>
      <c r="CL34" s="3"/>
      <c r="CM34" s="3"/>
      <c r="CN34" s="3"/>
      <c r="CO34" s="3"/>
      <c r="CP34" s="3"/>
      <c r="CQ34" s="3"/>
      <c r="CR34" s="3"/>
      <c r="CS34" s="3"/>
      <c r="CT34" s="4"/>
    </row>
    <row r="35" spans="29:98" ht="10.5" customHeight="1" x14ac:dyDescent="0.15">
      <c r="AC35" s="2"/>
      <c r="AD35" s="2"/>
      <c r="AE35" s="2"/>
      <c r="AF35" s="104">
        <v>30621</v>
      </c>
      <c r="AG35" s="89">
        <v>26.975999999999999</v>
      </c>
      <c r="AH35" s="89"/>
      <c r="AI35" s="96"/>
      <c r="AJ35" s="112">
        <f t="shared" ref="AJ35:AJ98" si="0">39*60*60/(52.4*10^6)*AG35*10^6/10^3</f>
        <v>72.279206106870234</v>
      </c>
      <c r="AK35" s="89"/>
      <c r="AL35" s="96"/>
      <c r="AM35" s="68"/>
      <c r="AN35" s="68"/>
      <c r="AO35" s="96"/>
      <c r="AP35" s="68"/>
      <c r="AQ35" s="68"/>
      <c r="AR35" s="69"/>
      <c r="AS35" s="2"/>
      <c r="AT35" s="2"/>
      <c r="AU35" s="2"/>
      <c r="AV35" s="2"/>
      <c r="AW35" s="2"/>
      <c r="AX35" s="2"/>
      <c r="AZ35" s="3"/>
      <c r="BA35" s="3"/>
      <c r="BB35" s="3"/>
      <c r="BC35" s="3"/>
      <c r="BD35" s="3"/>
      <c r="BE35" s="4"/>
      <c r="CG35" s="2"/>
      <c r="CH35" s="3"/>
      <c r="CI35" s="3"/>
      <c r="CJ35" s="3"/>
      <c r="CK35" s="3"/>
      <c r="CL35" s="3"/>
      <c r="CM35" s="3"/>
      <c r="CN35" s="3"/>
      <c r="CO35" s="3"/>
      <c r="CP35" s="3"/>
      <c r="CQ35" s="3"/>
      <c r="CR35" s="3"/>
      <c r="CS35" s="3"/>
      <c r="CT35" s="4"/>
    </row>
    <row r="36" spans="29:98" ht="10.5" customHeight="1" x14ac:dyDescent="0.15">
      <c r="AC36" s="2"/>
      <c r="AD36" s="2"/>
      <c r="AE36" s="2"/>
      <c r="AF36" s="104">
        <v>30651</v>
      </c>
      <c r="AG36" s="89">
        <v>88.643000000000001</v>
      </c>
      <c r="AH36" s="89"/>
      <c r="AI36" s="96"/>
      <c r="AJ36" s="112">
        <f t="shared" si="0"/>
        <v>237.50910687022903</v>
      </c>
      <c r="AK36" s="89"/>
      <c r="AL36" s="96"/>
      <c r="AM36" s="68"/>
      <c r="AN36" s="68"/>
      <c r="AO36" s="96"/>
      <c r="AP36" s="68"/>
      <c r="AQ36" s="68"/>
      <c r="AR36" s="69"/>
      <c r="AS36" s="2"/>
      <c r="AT36" s="2"/>
      <c r="AU36" s="2"/>
      <c r="AV36" s="2"/>
      <c r="AW36" s="2"/>
      <c r="AX36" s="2"/>
      <c r="AZ36" s="3"/>
      <c r="BA36" s="3"/>
      <c r="BB36" s="3"/>
      <c r="BC36" s="3"/>
      <c r="BD36" s="3"/>
      <c r="BE36" s="4"/>
      <c r="CG36" s="2"/>
      <c r="CH36" s="3"/>
      <c r="CI36" s="3"/>
      <c r="CJ36" s="3"/>
      <c r="CK36" s="3"/>
      <c r="CL36" s="3"/>
      <c r="CM36" s="3"/>
      <c r="CN36" s="3"/>
      <c r="CO36" s="3"/>
      <c r="CP36" s="3"/>
      <c r="CQ36" s="3"/>
      <c r="CR36" s="3"/>
      <c r="CS36" s="3"/>
      <c r="CT36" s="4"/>
    </row>
    <row r="37" spans="29:98" ht="10.5" customHeight="1" x14ac:dyDescent="0.15">
      <c r="AC37" s="2"/>
      <c r="AD37" s="2"/>
      <c r="AE37" s="2"/>
      <c r="AF37" s="104">
        <v>30682</v>
      </c>
      <c r="AG37" s="89">
        <v>133.98699999999999</v>
      </c>
      <c r="AH37" s="89"/>
      <c r="AI37" s="96"/>
      <c r="AJ37" s="112">
        <f t="shared" si="0"/>
        <v>359.00333587786258</v>
      </c>
      <c r="AK37" s="89"/>
      <c r="AL37" s="96"/>
      <c r="AM37" s="68"/>
      <c r="AN37" s="68"/>
      <c r="AO37" s="96"/>
      <c r="AP37" s="68"/>
      <c r="AQ37" s="68"/>
      <c r="AR37" s="69"/>
      <c r="AS37" s="2"/>
      <c r="AT37" s="2"/>
      <c r="AU37" s="2"/>
      <c r="AV37" s="2"/>
      <c r="AW37" s="2"/>
      <c r="AX37" s="2"/>
      <c r="AZ37" s="3"/>
      <c r="BA37" s="3"/>
      <c r="BB37" s="3"/>
      <c r="BC37" s="3"/>
      <c r="BD37" s="3"/>
      <c r="BE37" s="4"/>
      <c r="CG37" s="2"/>
      <c r="CH37" s="3"/>
      <c r="CI37" s="3"/>
      <c r="CJ37" s="3"/>
      <c r="CK37" s="3"/>
      <c r="CL37" s="3"/>
      <c r="CM37" s="3"/>
      <c r="CN37" s="3"/>
      <c r="CO37" s="3"/>
      <c r="CP37" s="3"/>
      <c r="CQ37" s="3"/>
      <c r="CR37" s="3"/>
      <c r="CS37" s="3"/>
      <c r="CT37" s="4"/>
    </row>
    <row r="38" spans="29:98" ht="10.5" customHeight="1" x14ac:dyDescent="0.15">
      <c r="AC38" s="2"/>
      <c r="AD38" s="2"/>
      <c r="AE38" s="2"/>
      <c r="AF38" s="104">
        <v>30713</v>
      </c>
      <c r="AG38" s="89">
        <v>146.904</v>
      </c>
      <c r="AH38" s="89"/>
      <c r="AI38" s="96"/>
      <c r="AJ38" s="112">
        <f t="shared" si="0"/>
        <v>393.61300763358781</v>
      </c>
      <c r="AK38" s="89"/>
      <c r="AL38" s="96"/>
      <c r="AM38" s="68"/>
      <c r="AN38" s="68"/>
      <c r="AO38" s="96"/>
      <c r="AP38" s="68"/>
      <c r="AQ38" s="68"/>
      <c r="AR38" s="69"/>
      <c r="AS38" s="2"/>
      <c r="AT38" s="2"/>
      <c r="AU38" s="2"/>
      <c r="AV38" s="2"/>
      <c r="AW38" s="2"/>
      <c r="AX38" s="2"/>
      <c r="AZ38" s="3"/>
      <c r="BA38" s="3"/>
      <c r="BB38" s="3"/>
      <c r="BC38" s="3"/>
      <c r="BD38" s="3"/>
      <c r="BE38" s="4"/>
      <c r="CG38" s="2"/>
      <c r="CH38" s="3"/>
      <c r="CI38" s="3"/>
      <c r="CJ38" s="3"/>
      <c r="CK38" s="3"/>
      <c r="CL38" s="3"/>
      <c r="CM38" s="3"/>
      <c r="CN38" s="3"/>
      <c r="CO38" s="3"/>
      <c r="CP38" s="3"/>
      <c r="CQ38" s="3"/>
      <c r="CR38" s="3"/>
      <c r="CS38" s="3"/>
      <c r="CT38" s="4"/>
    </row>
    <row r="39" spans="29:98" ht="10.5" customHeight="1" x14ac:dyDescent="0.15">
      <c r="AC39" s="2"/>
      <c r="AD39" s="2"/>
      <c r="AE39" s="2"/>
      <c r="AF39" s="104">
        <v>30742</v>
      </c>
      <c r="AG39" s="89">
        <v>200.779</v>
      </c>
      <c r="AH39" s="89"/>
      <c r="AI39" s="96"/>
      <c r="AJ39" s="112">
        <f t="shared" si="0"/>
        <v>537.96510687022896</v>
      </c>
      <c r="AK39" s="89"/>
      <c r="AL39" s="96"/>
      <c r="AM39" s="68"/>
      <c r="AN39" s="68"/>
      <c r="AO39" s="96"/>
      <c r="AP39" s="68"/>
      <c r="AQ39" s="68"/>
      <c r="AR39" s="69"/>
      <c r="AS39" s="2"/>
      <c r="AT39" s="2"/>
      <c r="AU39" s="2"/>
      <c r="AV39" s="2"/>
      <c r="AW39" s="2"/>
      <c r="AX39" s="2"/>
      <c r="AZ39" s="3"/>
      <c r="BA39" s="3"/>
      <c r="BB39" s="3"/>
      <c r="BC39" s="3"/>
      <c r="BD39" s="3"/>
      <c r="BE39" s="4"/>
      <c r="CG39" s="2"/>
      <c r="CH39" s="3"/>
      <c r="CI39" s="3"/>
      <c r="CJ39" s="3"/>
      <c r="CK39" s="3"/>
      <c r="CL39" s="3"/>
      <c r="CM39" s="3"/>
      <c r="CN39" s="3"/>
      <c r="CO39" s="3"/>
      <c r="CP39" s="3"/>
      <c r="CQ39" s="3"/>
      <c r="CR39" s="3"/>
      <c r="CS39" s="3"/>
      <c r="CT39" s="4"/>
    </row>
    <row r="40" spans="29:98" ht="10.5" customHeight="1" x14ac:dyDescent="0.15">
      <c r="AC40" s="2"/>
      <c r="AD40" s="2"/>
      <c r="AE40" s="2"/>
      <c r="AF40" s="105">
        <v>30773</v>
      </c>
      <c r="AG40" s="89">
        <v>248.38</v>
      </c>
      <c r="AH40" s="89"/>
      <c r="AI40" s="96"/>
      <c r="AJ40" s="112">
        <f t="shared" si="0"/>
        <v>665.50671755725205</v>
      </c>
      <c r="AK40" s="89"/>
      <c r="AL40" s="96"/>
      <c r="AM40" s="68"/>
      <c r="AN40" s="68"/>
      <c r="AO40" s="96"/>
      <c r="AP40" s="68"/>
      <c r="AQ40" s="68"/>
      <c r="AR40" s="69"/>
      <c r="AS40" s="2"/>
      <c r="AT40" s="2"/>
      <c r="AU40" s="2"/>
      <c r="AV40" s="2"/>
      <c r="AW40" s="2"/>
      <c r="AX40" s="2"/>
      <c r="AZ40" s="3"/>
      <c r="BA40" s="3"/>
      <c r="BB40" s="3"/>
      <c r="BC40" s="3"/>
      <c r="BD40" s="3"/>
      <c r="BE40" s="4"/>
      <c r="CG40" s="2"/>
      <c r="CH40" s="3"/>
      <c r="CI40" s="3"/>
      <c r="CJ40" s="3"/>
      <c r="CK40" s="3"/>
      <c r="CL40" s="3"/>
      <c r="CM40" s="3"/>
      <c r="CN40" s="3"/>
      <c r="CO40" s="3"/>
      <c r="CP40" s="3"/>
      <c r="CQ40" s="3"/>
      <c r="CR40" s="3"/>
      <c r="CS40" s="3"/>
      <c r="CT40" s="4"/>
    </row>
    <row r="41" spans="29:98" ht="10.5" customHeight="1" x14ac:dyDescent="0.15">
      <c r="AC41" s="2"/>
      <c r="AD41" s="2"/>
      <c r="AE41" s="2"/>
      <c r="AF41" s="105">
        <v>30803</v>
      </c>
      <c r="AG41" s="89">
        <v>382.54700000000003</v>
      </c>
      <c r="AH41" s="89"/>
      <c r="AI41" s="96"/>
      <c r="AJ41" s="112">
        <f t="shared" si="0"/>
        <v>1024.9923435114506</v>
      </c>
      <c r="AK41" s="89"/>
      <c r="AL41" s="96"/>
      <c r="AM41" s="68"/>
      <c r="AN41" s="68"/>
      <c r="AO41" s="96"/>
      <c r="AP41" s="68"/>
      <c r="AQ41" s="68"/>
      <c r="AR41" s="69"/>
      <c r="AS41" s="2"/>
      <c r="AT41" s="2"/>
      <c r="AU41" s="2"/>
      <c r="AV41" s="2"/>
      <c r="AW41" s="2"/>
      <c r="AX41" s="2"/>
      <c r="AZ41" s="3"/>
      <c r="BA41" s="3"/>
      <c r="BB41" s="3"/>
      <c r="BC41" s="3"/>
      <c r="BD41" s="3"/>
      <c r="BE41" s="4"/>
      <c r="CG41" s="2"/>
      <c r="CH41" s="3"/>
      <c r="CI41" s="3"/>
      <c r="CJ41" s="3"/>
      <c r="CK41" s="3"/>
      <c r="CL41" s="3"/>
      <c r="CM41" s="3"/>
      <c r="CN41" s="3"/>
      <c r="CO41" s="3"/>
      <c r="CP41" s="3"/>
      <c r="CQ41" s="3"/>
      <c r="CR41" s="3"/>
      <c r="CS41" s="3"/>
      <c r="CT41" s="4"/>
    </row>
    <row r="42" spans="29:98" ht="10.5" customHeight="1" x14ac:dyDescent="0.15">
      <c r="AC42" s="2"/>
      <c r="AD42" s="2"/>
      <c r="AE42" s="2"/>
      <c r="AF42" s="105">
        <v>30834</v>
      </c>
      <c r="AG42" s="89">
        <v>377.26400000000001</v>
      </c>
      <c r="AH42" s="89"/>
      <c r="AI42" s="96"/>
      <c r="AJ42" s="112">
        <f t="shared" si="0"/>
        <v>1010.8371297709923</v>
      </c>
      <c r="AK42" s="89"/>
      <c r="AL42" s="96"/>
      <c r="AM42" s="68"/>
      <c r="AN42" s="68"/>
      <c r="AO42" s="96"/>
      <c r="AP42" s="68"/>
      <c r="AQ42" s="68"/>
      <c r="AR42" s="69"/>
      <c r="AS42" s="2"/>
      <c r="AT42" s="2"/>
      <c r="AU42" s="2"/>
      <c r="AV42" s="2"/>
      <c r="AW42" s="2"/>
      <c r="AX42" s="2"/>
      <c r="AZ42" s="3"/>
      <c r="BA42" s="3"/>
      <c r="BB42" s="3"/>
      <c r="BC42" s="3"/>
      <c r="BD42" s="3"/>
      <c r="BE42" s="4"/>
      <c r="CG42" s="2"/>
      <c r="CH42" s="3"/>
      <c r="CI42" s="3"/>
      <c r="CJ42" s="3"/>
      <c r="CK42" s="3"/>
      <c r="CL42" s="3"/>
      <c r="CM42" s="3"/>
      <c r="CN42" s="3"/>
      <c r="CO42" s="3"/>
      <c r="CP42" s="3"/>
      <c r="CQ42" s="3"/>
      <c r="CR42" s="3"/>
      <c r="CS42" s="3"/>
      <c r="CT42" s="4"/>
    </row>
    <row r="43" spans="29:98" ht="10.5" customHeight="1" x14ac:dyDescent="0.15">
      <c r="AC43" s="2"/>
      <c r="AD43" s="2"/>
      <c r="AE43" s="2"/>
      <c r="AF43" s="105">
        <v>30864</v>
      </c>
      <c r="AG43" s="89">
        <v>380.709</v>
      </c>
      <c r="AH43" s="89"/>
      <c r="AI43" s="96"/>
      <c r="AJ43" s="112">
        <f t="shared" si="0"/>
        <v>1020.0676259541985</v>
      </c>
      <c r="AK43" s="89"/>
      <c r="AL43" s="96"/>
      <c r="AM43" s="68"/>
      <c r="AN43" s="68"/>
      <c r="AO43" s="96"/>
      <c r="AP43" s="68"/>
      <c r="AQ43" s="68"/>
      <c r="AR43" s="69"/>
      <c r="AS43" s="2"/>
      <c r="AT43" s="2"/>
      <c r="AU43" s="2"/>
      <c r="AV43" s="2"/>
      <c r="AW43" s="2"/>
      <c r="AX43" s="2"/>
      <c r="AZ43" s="3"/>
      <c r="BA43" s="3"/>
      <c r="BB43" s="3"/>
      <c r="BC43" s="3"/>
      <c r="BD43" s="3"/>
      <c r="BE43" s="4"/>
      <c r="CG43" s="2"/>
      <c r="CH43" s="3"/>
      <c r="CI43" s="3"/>
      <c r="CJ43" s="3"/>
      <c r="CK43" s="3"/>
      <c r="CL43" s="3"/>
      <c r="CM43" s="3"/>
      <c r="CN43" s="3"/>
      <c r="CO43" s="3"/>
      <c r="CP43" s="3"/>
      <c r="CQ43" s="3"/>
      <c r="CR43" s="3"/>
      <c r="CS43" s="3"/>
      <c r="CT43" s="4"/>
    </row>
    <row r="44" spans="29:98" ht="10.5" customHeight="1" x14ac:dyDescent="0.15">
      <c r="AC44" s="2"/>
      <c r="AD44" s="2"/>
      <c r="AE44" s="2"/>
      <c r="AF44" s="105">
        <v>30895</v>
      </c>
      <c r="AG44" s="89">
        <v>389.85599999999999</v>
      </c>
      <c r="AH44" s="89"/>
      <c r="AI44" s="96"/>
      <c r="AJ44" s="112">
        <f t="shared" si="0"/>
        <v>1044.576</v>
      </c>
      <c r="AK44" s="89"/>
      <c r="AL44" s="96"/>
      <c r="AM44" s="68"/>
      <c r="AN44" s="68"/>
      <c r="AO44" s="96"/>
      <c r="AP44" s="68"/>
      <c r="AQ44" s="68"/>
      <c r="AR44" s="69"/>
      <c r="AS44" s="2"/>
      <c r="AT44" s="2"/>
      <c r="AU44" s="2"/>
      <c r="AV44" s="2"/>
      <c r="AW44" s="2"/>
      <c r="AX44" s="2"/>
      <c r="AZ44" s="3"/>
      <c r="BA44" s="3"/>
      <c r="BB44" s="3"/>
      <c r="BC44" s="3"/>
      <c r="BD44" s="3"/>
      <c r="BE44" s="4"/>
      <c r="CG44" s="2"/>
      <c r="CH44" s="3"/>
      <c r="CI44" s="3"/>
      <c r="CJ44" s="3"/>
      <c r="CK44" s="3"/>
      <c r="CL44" s="3"/>
      <c r="CM44" s="3"/>
      <c r="CN44" s="3"/>
      <c r="CO44" s="3"/>
      <c r="CP44" s="3"/>
      <c r="CQ44" s="3"/>
      <c r="CR44" s="3"/>
      <c r="CS44" s="3"/>
      <c r="CT44" s="4"/>
    </row>
    <row r="45" spans="29:98" ht="10.5" customHeight="1" x14ac:dyDescent="0.15">
      <c r="AC45" s="2"/>
      <c r="AD45" s="2"/>
      <c r="AE45" s="2"/>
      <c r="AF45" s="105">
        <v>30926</v>
      </c>
      <c r="AG45" s="89">
        <v>367.30099999999999</v>
      </c>
      <c r="AH45" s="89"/>
      <c r="AI45" s="96"/>
      <c r="AJ45" s="112">
        <f t="shared" si="0"/>
        <v>984.14237404580149</v>
      </c>
      <c r="AK45" s="89"/>
      <c r="AL45" s="96"/>
      <c r="AM45" s="68"/>
      <c r="AN45" s="68"/>
      <c r="AO45" s="96"/>
      <c r="AP45" s="68"/>
      <c r="AQ45" s="68"/>
      <c r="AR45" s="69"/>
      <c r="AS45" s="2"/>
      <c r="AT45" s="2"/>
      <c r="AU45" s="2"/>
      <c r="AV45" s="2"/>
      <c r="AW45" s="2"/>
      <c r="AX45" s="2"/>
      <c r="AZ45" s="3"/>
      <c r="BA45" s="3"/>
      <c r="BB45" s="3"/>
      <c r="BC45" s="3"/>
      <c r="BD45" s="3"/>
      <c r="BE45" s="4"/>
      <c r="CG45" s="2"/>
      <c r="CH45" s="3"/>
      <c r="CI45" s="3"/>
      <c r="CJ45" s="3"/>
      <c r="CK45" s="3"/>
      <c r="CL45" s="3"/>
      <c r="CM45" s="3"/>
      <c r="CN45" s="3"/>
      <c r="CO45" s="3"/>
      <c r="CP45" s="3"/>
      <c r="CQ45" s="3"/>
      <c r="CR45" s="3"/>
      <c r="CS45" s="3"/>
      <c r="CT45" s="4"/>
    </row>
    <row r="46" spans="29:98" ht="10.5" customHeight="1" x14ac:dyDescent="0.15">
      <c r="AC46" s="2"/>
      <c r="AD46" s="2"/>
      <c r="AE46" s="2"/>
      <c r="AF46" s="105">
        <v>30956</v>
      </c>
      <c r="AG46" s="89">
        <v>389.85599999999999</v>
      </c>
      <c r="AH46" s="89"/>
      <c r="AI46" s="96"/>
      <c r="AJ46" s="112">
        <f t="shared" si="0"/>
        <v>1044.576</v>
      </c>
      <c r="AK46" s="89"/>
      <c r="AL46" s="96"/>
      <c r="AM46" s="68"/>
      <c r="AN46" s="68"/>
      <c r="AO46" s="96"/>
      <c r="AP46" s="68"/>
      <c r="AQ46" s="68"/>
      <c r="AR46" s="69"/>
      <c r="AS46" s="2"/>
      <c r="AT46" s="2"/>
      <c r="AU46" s="2"/>
      <c r="AV46" s="2"/>
      <c r="AW46" s="2"/>
      <c r="AX46" s="2"/>
      <c r="AZ46" s="3"/>
      <c r="BA46" s="3"/>
      <c r="BB46" s="3"/>
      <c r="BC46" s="3"/>
      <c r="BD46" s="3"/>
      <c r="BE46" s="4"/>
      <c r="CG46" s="2"/>
      <c r="CH46" s="3"/>
      <c r="CI46" s="3"/>
      <c r="CJ46" s="3"/>
      <c r="CK46" s="3"/>
      <c r="CL46" s="3"/>
      <c r="CM46" s="3"/>
      <c r="CN46" s="3"/>
      <c r="CO46" s="3"/>
      <c r="CP46" s="3"/>
      <c r="CQ46" s="3"/>
      <c r="CR46" s="3"/>
      <c r="CS46" s="3"/>
      <c r="CT46" s="4"/>
    </row>
    <row r="47" spans="29:98" ht="10.5" customHeight="1" x14ac:dyDescent="0.15">
      <c r="AC47" s="2"/>
      <c r="AD47" s="2"/>
      <c r="AE47" s="2"/>
      <c r="AF47" s="105">
        <v>30987</v>
      </c>
      <c r="AG47" s="89">
        <v>371.71300000000002</v>
      </c>
      <c r="AH47" s="89"/>
      <c r="AI47" s="96"/>
      <c r="AJ47" s="112">
        <f t="shared" si="0"/>
        <v>995.96383969465671</v>
      </c>
      <c r="AK47" s="89"/>
      <c r="AL47" s="96"/>
      <c r="AM47" s="68"/>
      <c r="AN47" s="68"/>
      <c r="AO47" s="96"/>
      <c r="AP47" s="68"/>
      <c r="AQ47" s="68"/>
      <c r="AR47" s="69"/>
      <c r="AS47" s="2"/>
      <c r="AT47" s="2"/>
      <c r="AU47" s="2"/>
      <c r="AV47" s="2"/>
      <c r="AW47" s="2"/>
      <c r="AX47" s="2"/>
      <c r="AZ47" s="3"/>
      <c r="BA47" s="3"/>
      <c r="BB47" s="3"/>
      <c r="BC47" s="3"/>
      <c r="BD47" s="3"/>
      <c r="BE47" s="4"/>
      <c r="CG47" s="2"/>
      <c r="CH47" s="3"/>
      <c r="CI47" s="3"/>
      <c r="CJ47" s="3"/>
      <c r="CK47" s="3"/>
      <c r="CL47" s="3"/>
      <c r="CM47" s="3"/>
      <c r="CN47" s="3"/>
      <c r="CO47" s="3"/>
      <c r="CP47" s="3"/>
      <c r="CQ47" s="3"/>
      <c r="CR47" s="3"/>
      <c r="CS47" s="3"/>
      <c r="CT47" s="4"/>
    </row>
    <row r="48" spans="29:98" ht="10.5" customHeight="1" x14ac:dyDescent="0.15">
      <c r="AC48" s="2"/>
      <c r="AD48" s="2"/>
      <c r="AE48" s="2"/>
      <c r="AF48" s="105">
        <v>31017</v>
      </c>
      <c r="AG48" s="89">
        <v>389.85500000000002</v>
      </c>
      <c r="AH48" s="89"/>
      <c r="AI48" s="96"/>
      <c r="AJ48" s="112">
        <f t="shared" si="0"/>
        <v>1044.5733206106872</v>
      </c>
      <c r="AK48" s="89"/>
      <c r="AL48" s="96"/>
      <c r="AM48" s="68"/>
      <c r="AN48" s="68"/>
      <c r="AO48" s="96"/>
      <c r="AP48" s="68"/>
      <c r="AQ48" s="68"/>
      <c r="AR48" s="69"/>
      <c r="AS48" s="2"/>
      <c r="AT48" s="2"/>
      <c r="AU48" s="2"/>
      <c r="AV48" s="2"/>
      <c r="AW48" s="2"/>
      <c r="AX48" s="2"/>
      <c r="AZ48" s="3"/>
      <c r="BA48" s="3"/>
      <c r="BB48" s="3"/>
      <c r="BC48" s="3"/>
      <c r="BD48" s="3"/>
      <c r="BE48" s="4"/>
      <c r="CG48" s="2"/>
      <c r="CH48" s="3"/>
      <c r="CI48" s="3"/>
      <c r="CJ48" s="3"/>
      <c r="CK48" s="3"/>
      <c r="CL48" s="3"/>
      <c r="CM48" s="3"/>
      <c r="CN48" s="3"/>
      <c r="CO48" s="3"/>
      <c r="CP48" s="3"/>
      <c r="CQ48" s="3"/>
      <c r="CR48" s="3"/>
      <c r="CS48" s="3"/>
      <c r="CT48" s="4"/>
    </row>
    <row r="49" spans="1:98" ht="10.5" customHeight="1" x14ac:dyDescent="0.15">
      <c r="AC49" s="2"/>
      <c r="AD49" s="2"/>
      <c r="AE49" s="2"/>
      <c r="AF49" s="105">
        <v>31048</v>
      </c>
      <c r="AG49" s="89">
        <v>379.02699999999999</v>
      </c>
      <c r="AH49" s="89"/>
      <c r="AI49" s="96"/>
      <c r="AJ49" s="112">
        <f t="shared" si="0"/>
        <v>1015.560893129771</v>
      </c>
      <c r="AK49" s="89"/>
      <c r="AL49" s="96"/>
      <c r="AM49" s="68"/>
      <c r="AN49" s="68"/>
      <c r="AO49" s="96"/>
      <c r="AP49" s="68"/>
      <c r="AQ49" s="68"/>
      <c r="AR49" s="69"/>
      <c r="AS49" s="2"/>
      <c r="AT49" s="2"/>
      <c r="AU49" s="2"/>
      <c r="AV49" s="2"/>
      <c r="AW49" s="2"/>
      <c r="AX49" s="2"/>
      <c r="AZ49" s="3"/>
      <c r="BA49" s="3"/>
      <c r="BB49" s="3"/>
      <c r="BC49" s="3"/>
      <c r="BD49" s="3"/>
      <c r="BE49" s="4"/>
      <c r="CG49" s="2"/>
      <c r="CH49" s="3"/>
      <c r="CI49" s="3"/>
      <c r="CJ49" s="3"/>
      <c r="CK49" s="3"/>
      <c r="CL49" s="3"/>
      <c r="CM49" s="3"/>
      <c r="CN49" s="3"/>
      <c r="CO49" s="3"/>
      <c r="CP49" s="3"/>
      <c r="CQ49" s="3"/>
      <c r="CR49" s="3"/>
      <c r="CS49" s="3"/>
      <c r="CT49" s="4"/>
    </row>
    <row r="50" spans="1:98" ht="10.5" customHeight="1" x14ac:dyDescent="0.15">
      <c r="AC50" s="2"/>
      <c r="AD50" s="2"/>
      <c r="AE50" s="2"/>
      <c r="AF50" s="105">
        <v>31079</v>
      </c>
      <c r="AG50" s="89">
        <v>346.29599999999999</v>
      </c>
      <c r="AH50" s="89"/>
      <c r="AI50" s="96"/>
      <c r="AJ50" s="112">
        <f t="shared" si="0"/>
        <v>927.86180152671761</v>
      </c>
      <c r="AK50" s="89"/>
      <c r="AL50" s="96"/>
      <c r="AM50" s="68"/>
      <c r="AN50" s="68"/>
      <c r="AO50" s="96"/>
      <c r="AP50" s="68"/>
      <c r="AQ50" s="68"/>
      <c r="AR50" s="69"/>
      <c r="AS50" s="2"/>
      <c r="AT50" s="2"/>
      <c r="AU50" s="2"/>
      <c r="AV50" s="2"/>
      <c r="AW50" s="2"/>
      <c r="AX50" s="2"/>
      <c r="AZ50" s="3"/>
      <c r="BA50" s="3"/>
      <c r="BB50" s="3"/>
      <c r="BC50" s="3"/>
      <c r="BD50" s="3"/>
      <c r="BE50" s="4"/>
      <c r="CG50" s="2"/>
      <c r="CH50" s="3"/>
      <c r="CI50" s="3"/>
      <c r="CJ50" s="3"/>
      <c r="CK50" s="3"/>
      <c r="CL50" s="3"/>
      <c r="CM50" s="3"/>
      <c r="CN50" s="3"/>
      <c r="CO50" s="3"/>
      <c r="CP50" s="3"/>
      <c r="CQ50" s="3"/>
      <c r="CR50" s="3"/>
      <c r="CS50" s="3"/>
      <c r="CT50" s="4"/>
    </row>
    <row r="51" spans="1:98" ht="10.5" customHeight="1" x14ac:dyDescent="0.15">
      <c r="AC51" s="2"/>
      <c r="AD51" s="2"/>
      <c r="AE51" s="2"/>
      <c r="AF51" s="105">
        <v>31107</v>
      </c>
      <c r="AG51" s="89">
        <v>387.62</v>
      </c>
      <c r="AH51" s="89"/>
      <c r="AI51" s="96"/>
      <c r="AJ51" s="112">
        <f t="shared" si="0"/>
        <v>1038.5848854961832</v>
      </c>
      <c r="AK51" s="89"/>
      <c r="AL51" s="96"/>
      <c r="AM51" s="68"/>
      <c r="AN51" s="68"/>
      <c r="AO51" s="96"/>
      <c r="AP51" s="68"/>
      <c r="AQ51" s="68"/>
      <c r="AR51" s="69"/>
      <c r="AS51" s="2"/>
      <c r="AT51" s="2"/>
      <c r="AU51" s="2"/>
      <c r="AV51" s="2"/>
      <c r="AW51" s="2"/>
      <c r="AX51" s="2"/>
      <c r="AZ51" s="3"/>
      <c r="BA51" s="3"/>
      <c r="BB51" s="3"/>
      <c r="BC51" s="3"/>
      <c r="BD51" s="3"/>
      <c r="BE51" s="4"/>
      <c r="CG51" s="2"/>
      <c r="CH51" s="3"/>
      <c r="CI51" s="3"/>
      <c r="CJ51" s="3"/>
      <c r="CK51" s="3"/>
      <c r="CL51" s="3"/>
      <c r="CM51" s="3"/>
      <c r="CN51" s="3"/>
      <c r="CO51" s="3"/>
      <c r="CP51" s="3"/>
      <c r="CQ51" s="3"/>
      <c r="CR51" s="3"/>
      <c r="CS51" s="3"/>
      <c r="CT51" s="4"/>
    </row>
    <row r="52" spans="1:98" ht="10.5" customHeight="1" x14ac:dyDescent="0.15">
      <c r="AC52" s="2"/>
      <c r="AD52" s="2"/>
      <c r="AE52" s="2"/>
      <c r="AF52" s="104">
        <v>31138</v>
      </c>
      <c r="AG52" s="89">
        <v>23.268999999999998</v>
      </c>
      <c r="AH52" s="89"/>
      <c r="AI52" s="96"/>
      <c r="AJ52" s="112">
        <f t="shared" si="0"/>
        <v>62.346709923664122</v>
      </c>
      <c r="AK52" s="89"/>
      <c r="AL52" s="96"/>
      <c r="AM52" s="68"/>
      <c r="AN52" s="68"/>
      <c r="AO52" s="96"/>
      <c r="AP52" s="114">
        <f>AM54*AJ52/SUM(AJ52:AJ54)/(AJ52*10^3*10^3)</f>
        <v>89.742432553155538</v>
      </c>
      <c r="AQ52" s="68"/>
      <c r="AR52" s="69"/>
      <c r="AS52" s="2"/>
      <c r="AT52" s="2"/>
      <c r="AU52" s="2"/>
      <c r="AV52" s="2"/>
      <c r="AW52" s="2"/>
      <c r="AX52" s="2"/>
      <c r="AZ52" s="3"/>
      <c r="BA52" s="3"/>
      <c r="BB52" s="3"/>
      <c r="BC52" s="3"/>
      <c r="BD52" s="3"/>
      <c r="BE52" s="4"/>
      <c r="CG52" s="2"/>
      <c r="CH52" s="3"/>
      <c r="CI52" s="3"/>
      <c r="CJ52" s="3"/>
      <c r="CK52" s="3"/>
      <c r="CL52" s="3"/>
      <c r="CM52" s="3"/>
      <c r="CN52" s="3"/>
      <c r="CO52" s="3"/>
      <c r="CP52" s="3"/>
      <c r="CQ52" s="3"/>
      <c r="CR52" s="3"/>
      <c r="CS52" s="3"/>
      <c r="CT52" s="4"/>
    </row>
    <row r="53" spans="1:98" ht="10.5" customHeight="1" x14ac:dyDescent="0.15">
      <c r="AC53" s="2"/>
      <c r="AD53" s="2"/>
      <c r="AE53" s="2"/>
      <c r="AF53" s="104">
        <v>31168</v>
      </c>
      <c r="AG53" s="89">
        <v>0</v>
      </c>
      <c r="AH53" s="89"/>
      <c r="AI53" s="96"/>
      <c r="AJ53" s="112">
        <f t="shared" si="0"/>
        <v>0</v>
      </c>
      <c r="AK53" s="89"/>
      <c r="AL53" s="96"/>
      <c r="AM53" s="68"/>
      <c r="AN53" s="68"/>
      <c r="AO53" s="96"/>
      <c r="AP53" s="114" t="e">
        <f>AM54*AJ53/SUM(AJ52:AJ54)/(AJ53*10^3*10^3)</f>
        <v>#DIV/0!</v>
      </c>
      <c r="AQ53" s="68"/>
      <c r="AR53" s="69"/>
      <c r="AS53" s="2"/>
      <c r="AT53" s="2"/>
      <c r="AU53" s="2"/>
      <c r="AV53" s="2"/>
      <c r="AW53" s="2"/>
      <c r="AX53" s="2"/>
      <c r="AZ53" s="3"/>
      <c r="BA53" s="3"/>
      <c r="BB53" s="3"/>
      <c r="BC53" s="3"/>
      <c r="BD53" s="3"/>
      <c r="BE53" s="4"/>
      <c r="CG53" s="2"/>
      <c r="CH53" s="3"/>
      <c r="CI53" s="3"/>
      <c r="CJ53" s="3"/>
      <c r="CK53" s="3"/>
      <c r="CL53" s="3"/>
      <c r="CM53" s="3"/>
      <c r="CN53" s="3"/>
      <c r="CO53" s="3"/>
      <c r="CP53" s="3"/>
      <c r="CQ53" s="3"/>
      <c r="CR53" s="3"/>
      <c r="CS53" s="3"/>
      <c r="CT53" s="4"/>
    </row>
    <row r="54" spans="1:98" ht="10.5" customHeight="1" x14ac:dyDescent="0.15">
      <c r="AC54" s="2"/>
      <c r="AD54" s="2"/>
      <c r="AE54" s="2"/>
      <c r="AF54" s="104">
        <v>31199</v>
      </c>
      <c r="AG54" s="89">
        <v>13.661</v>
      </c>
      <c r="AH54" s="89"/>
      <c r="AI54" s="96"/>
      <c r="AJ54" s="112">
        <f t="shared" si="0"/>
        <v>36.60313740458016</v>
      </c>
      <c r="AK54" s="89"/>
      <c r="AL54" s="96"/>
      <c r="AM54" s="68">
        <v>8880000000</v>
      </c>
      <c r="AN54" s="68"/>
      <c r="AO54" s="96"/>
      <c r="AP54" s="114">
        <f>AM54*AJ54/SUM(AJ52:AJ54)/(AJ54*10^3*10^3)</f>
        <v>89.742432553155538</v>
      </c>
      <c r="AQ54" s="68"/>
      <c r="AR54" s="69"/>
      <c r="AS54" s="2"/>
      <c r="AT54" s="2"/>
      <c r="AU54" s="2"/>
      <c r="AV54" s="2"/>
      <c r="AW54" s="2"/>
      <c r="AX54" s="2"/>
      <c r="AZ54" s="3"/>
      <c r="BA54" s="3"/>
      <c r="BB54" s="3"/>
      <c r="BC54" s="3"/>
      <c r="BD54" s="3"/>
      <c r="BE54" s="4"/>
      <c r="CG54" s="2"/>
      <c r="CH54" s="3"/>
      <c r="CI54" s="3"/>
      <c r="CJ54" s="3"/>
      <c r="CK54" s="3"/>
      <c r="CL54" s="3"/>
      <c r="CM54" s="3"/>
      <c r="CN54" s="3"/>
      <c r="CO54" s="3"/>
      <c r="CP54" s="3"/>
      <c r="CQ54" s="3"/>
      <c r="CR54" s="3"/>
      <c r="CS54" s="3"/>
      <c r="CT54" s="4"/>
    </row>
    <row r="55" spans="1:98" ht="10.5" customHeight="1" x14ac:dyDescent="0.15">
      <c r="AC55" s="2"/>
      <c r="AD55" s="2"/>
      <c r="AE55" s="2"/>
      <c r="AF55" s="104">
        <v>31229</v>
      </c>
      <c r="AG55" s="89">
        <v>376.863</v>
      </c>
      <c r="AH55" s="89"/>
      <c r="AI55" s="96"/>
      <c r="AJ55" s="112">
        <f t="shared" si="0"/>
        <v>1009.7626946564886</v>
      </c>
      <c r="AK55" s="89"/>
      <c r="AL55" s="96"/>
      <c r="AM55" s="68"/>
      <c r="AN55" s="68"/>
      <c r="AO55" s="96"/>
      <c r="AP55" s="114">
        <f>AM57*AJ55/SUM(AJ55:AJ57)/(AJ55*10^3*10^3)</f>
        <v>0.35183390510128743</v>
      </c>
      <c r="AQ55" s="68"/>
      <c r="AR55" s="69"/>
      <c r="AS55" s="2"/>
      <c r="AT55" s="2"/>
      <c r="AU55" s="2"/>
      <c r="AV55" s="2"/>
      <c r="AW55" s="2"/>
      <c r="AX55" s="2"/>
      <c r="AZ55" s="3"/>
      <c r="BA55" s="3"/>
      <c r="BB55" s="3"/>
      <c r="BC55" s="3"/>
      <c r="BD55" s="3"/>
      <c r="BE55" s="4"/>
      <c r="CG55" s="2"/>
      <c r="CH55" s="3"/>
      <c r="CI55" s="3"/>
      <c r="CJ55" s="3"/>
      <c r="CK55" s="3"/>
      <c r="CL55" s="3"/>
      <c r="CM55" s="3"/>
      <c r="CN55" s="3"/>
      <c r="CO55" s="3"/>
      <c r="CP55" s="3"/>
      <c r="CQ55" s="3"/>
      <c r="CR55" s="3"/>
      <c r="CS55" s="3"/>
      <c r="CT55" s="4"/>
    </row>
    <row r="56" spans="1:98" ht="10.5" customHeight="1" x14ac:dyDescent="0.15">
      <c r="AC56" s="2"/>
      <c r="AD56" s="2"/>
      <c r="AE56" s="2"/>
      <c r="AF56" s="104">
        <v>31260</v>
      </c>
      <c r="AG56" s="89">
        <v>389.85700000000003</v>
      </c>
      <c r="AH56" s="89"/>
      <c r="AI56" s="96"/>
      <c r="AJ56" s="112">
        <f t="shared" si="0"/>
        <v>1044.578679389313</v>
      </c>
      <c r="AK56" s="89"/>
      <c r="AL56" s="96"/>
      <c r="AM56" s="68"/>
      <c r="AN56" s="68"/>
      <c r="AO56" s="96"/>
      <c r="AP56" s="114">
        <f>AM57*AJ56/SUM(AJ55:AJ57)/(AJ56*10^3*10^3)</f>
        <v>0.35183390510128737</v>
      </c>
      <c r="AQ56" s="68"/>
      <c r="AR56" s="69"/>
      <c r="AS56" s="2"/>
      <c r="AT56" s="2"/>
      <c r="AU56" s="2"/>
      <c r="AV56" s="2"/>
      <c r="AW56" s="2"/>
      <c r="AX56" s="2"/>
      <c r="AZ56" s="3"/>
      <c r="BA56" s="3"/>
      <c r="BB56" s="3"/>
      <c r="BC56" s="3"/>
      <c r="BD56" s="3"/>
      <c r="BE56" s="4"/>
      <c r="CG56" s="2"/>
      <c r="CH56" s="3"/>
      <c r="CI56" s="3"/>
      <c r="CJ56" s="3"/>
      <c r="CK56" s="3"/>
      <c r="CL56" s="3"/>
      <c r="CM56" s="3"/>
      <c r="CN56" s="3"/>
      <c r="CO56" s="3"/>
      <c r="CP56" s="3"/>
      <c r="CQ56" s="3"/>
      <c r="CR56" s="3"/>
      <c r="CS56" s="3"/>
      <c r="CT56" s="4"/>
    </row>
    <row r="57" spans="1:98" ht="10.5" customHeight="1" x14ac:dyDescent="0.15">
      <c r="A57" s="3"/>
      <c r="B57" s="3"/>
      <c r="C57" s="3"/>
      <c r="D57" s="3"/>
      <c r="AA57" s="21"/>
      <c r="AB57" s="21"/>
      <c r="AC57" s="2"/>
      <c r="AD57" s="2"/>
      <c r="AE57" s="2"/>
      <c r="AF57" s="104">
        <v>31291</v>
      </c>
      <c r="AG57" s="89">
        <v>371.5</v>
      </c>
      <c r="AH57" s="89"/>
      <c r="AI57" s="96"/>
      <c r="AJ57" s="112">
        <f t="shared" si="0"/>
        <v>995.39312977099246</v>
      </c>
      <c r="AK57" s="89"/>
      <c r="AL57" s="96"/>
      <c r="AM57" s="68">
        <v>1072999999.9999999</v>
      </c>
      <c r="AN57" s="68"/>
      <c r="AO57" s="96"/>
      <c r="AP57" s="114">
        <f>AM57*AJ57/SUM(AJ55:AJ57)/(AJ57*10^3*10^3)</f>
        <v>0.35183390510128748</v>
      </c>
      <c r="AQ57" s="68"/>
      <c r="AR57" s="69"/>
      <c r="AS57" s="2"/>
      <c r="AT57" s="2"/>
      <c r="AU57" s="2"/>
      <c r="AV57" s="2"/>
      <c r="AW57" s="2"/>
      <c r="AX57" s="2"/>
      <c r="AZ57" s="3"/>
      <c r="BA57" s="3"/>
      <c r="BB57" s="3"/>
      <c r="BC57" s="3"/>
      <c r="BD57" s="3"/>
      <c r="BE57" s="4"/>
      <c r="CG57" s="2"/>
      <c r="CH57" s="3"/>
      <c r="CI57" s="3"/>
      <c r="CJ57" s="3"/>
      <c r="CK57" s="3"/>
      <c r="CL57" s="3"/>
      <c r="CM57" s="3"/>
      <c r="CN57" s="3"/>
      <c r="CO57" s="3"/>
      <c r="CP57" s="3"/>
      <c r="CQ57" s="3"/>
      <c r="CR57" s="3"/>
      <c r="CS57" s="3"/>
      <c r="CT57" s="4"/>
    </row>
    <row r="58" spans="1:98" ht="10.5" customHeight="1" x14ac:dyDescent="0.15">
      <c r="A58" s="3"/>
      <c r="B58" s="3"/>
      <c r="C58" s="3"/>
      <c r="D58" s="3"/>
      <c r="AA58" s="21"/>
      <c r="AB58" s="21"/>
      <c r="AC58" s="2"/>
      <c r="AD58" s="2"/>
      <c r="AE58" s="2"/>
      <c r="AF58" s="104">
        <v>31321</v>
      </c>
      <c r="AG58" s="89">
        <v>389.85500000000002</v>
      </c>
      <c r="AH58" s="89"/>
      <c r="AI58" s="96"/>
      <c r="AJ58" s="112">
        <f t="shared" si="0"/>
        <v>1044.5733206106872</v>
      </c>
      <c r="AK58" s="89"/>
      <c r="AL58" s="96"/>
      <c r="AM58" s="68"/>
      <c r="AN58" s="68"/>
      <c r="AO58" s="96"/>
      <c r="AP58" s="114">
        <f>AM60*AJ58/SUM(AJ58:AJ60)/(AJ58*10^3*10^3)</f>
        <v>0.58502582862565922</v>
      </c>
      <c r="AQ58" s="68"/>
      <c r="AR58" s="69"/>
      <c r="AS58" s="2"/>
      <c r="AT58" s="2"/>
      <c r="AU58" s="2"/>
      <c r="AV58" s="2"/>
      <c r="AW58" s="2"/>
      <c r="AX58" s="2"/>
      <c r="AZ58" s="3"/>
      <c r="BA58" s="3"/>
      <c r="BB58" s="3"/>
      <c r="BC58" s="3"/>
      <c r="BD58" s="3"/>
      <c r="BE58" s="4"/>
      <c r="CG58" s="2"/>
      <c r="CH58" s="3"/>
      <c r="CI58" s="3"/>
      <c r="CJ58" s="3"/>
      <c r="CK58" s="3"/>
      <c r="CL58" s="3"/>
      <c r="CM58" s="3"/>
      <c r="CN58" s="3"/>
      <c r="CO58" s="3"/>
      <c r="CP58" s="3"/>
      <c r="CQ58" s="3"/>
      <c r="CR58" s="3"/>
      <c r="CS58" s="3"/>
      <c r="CT58" s="4"/>
    </row>
    <row r="59" spans="1:98" ht="10.5" customHeight="1" x14ac:dyDescent="0.15">
      <c r="A59" s="3"/>
      <c r="B59" s="3"/>
      <c r="C59" s="3"/>
      <c r="D59" s="3"/>
      <c r="AA59" s="21"/>
      <c r="AB59" s="21"/>
      <c r="AC59" s="2"/>
      <c r="AD59" s="2"/>
      <c r="AE59" s="2"/>
      <c r="AF59" s="104">
        <v>31352</v>
      </c>
      <c r="AG59" s="89">
        <v>377.28</v>
      </c>
      <c r="AH59" s="89"/>
      <c r="AI59" s="96"/>
      <c r="AJ59" s="112">
        <f t="shared" si="0"/>
        <v>1010.88</v>
      </c>
      <c r="AK59" s="89"/>
      <c r="AL59" s="96"/>
      <c r="AM59" s="68"/>
      <c r="AN59" s="68"/>
      <c r="AO59" s="96"/>
      <c r="AP59" s="114">
        <f>AM60*AJ59/SUM(AJ58:AJ60)/(AJ59*10^3*10^3)</f>
        <v>0.58502582862565922</v>
      </c>
      <c r="AQ59" s="68"/>
      <c r="AR59" s="69"/>
      <c r="AS59" s="2"/>
      <c r="AT59" s="2"/>
      <c r="AU59" s="2"/>
      <c r="AV59" s="2"/>
      <c r="AW59" s="2"/>
      <c r="AX59" s="2"/>
      <c r="AZ59" s="3"/>
      <c r="BA59" s="3"/>
      <c r="BB59" s="3"/>
      <c r="BC59" s="3"/>
      <c r="BD59" s="3"/>
      <c r="BE59" s="4"/>
      <c r="CG59" s="2"/>
      <c r="CH59" s="3"/>
      <c r="CI59" s="3"/>
      <c r="CJ59" s="3"/>
      <c r="CK59" s="3"/>
      <c r="CL59" s="3"/>
      <c r="CM59" s="3"/>
      <c r="CN59" s="3"/>
      <c r="CO59" s="3"/>
      <c r="CP59" s="3"/>
      <c r="CQ59" s="3"/>
      <c r="CR59" s="3"/>
      <c r="CS59" s="3"/>
      <c r="CT59" s="4"/>
    </row>
    <row r="60" spans="1:98" ht="10.5" customHeight="1" x14ac:dyDescent="0.15">
      <c r="A60" s="3"/>
      <c r="B60" s="3"/>
      <c r="C60" s="3"/>
      <c r="D60" s="3"/>
      <c r="AA60" s="21"/>
      <c r="AB60" s="21"/>
      <c r="AC60" s="2"/>
      <c r="AD60" s="2"/>
      <c r="AE60" s="2"/>
      <c r="AF60" s="104">
        <v>31382</v>
      </c>
      <c r="AG60" s="89">
        <v>389.47500000000002</v>
      </c>
      <c r="AH60" s="89"/>
      <c r="AI60" s="96"/>
      <c r="AJ60" s="112">
        <f t="shared" si="0"/>
        <v>1043.5551526717559</v>
      </c>
      <c r="AK60" s="89"/>
      <c r="AL60" s="96"/>
      <c r="AM60" s="68">
        <v>1813000000.0000002</v>
      </c>
      <c r="AN60" s="68"/>
      <c r="AO60" s="96"/>
      <c r="AP60" s="114">
        <f>AM60*AJ60/SUM(AJ58:AJ60)/(AJ60*10^3*10^3)</f>
        <v>0.58502582862565922</v>
      </c>
      <c r="AQ60" s="68"/>
      <c r="AR60" s="69"/>
      <c r="AS60" s="2"/>
      <c r="AT60" s="2"/>
      <c r="AU60" s="2"/>
      <c r="AV60" s="2"/>
      <c r="AW60" s="2"/>
      <c r="AX60" s="2"/>
      <c r="AZ60" s="3"/>
      <c r="BA60" s="3"/>
      <c r="BB60" s="3"/>
      <c r="BC60" s="3"/>
      <c r="BD60" s="3"/>
      <c r="BE60" s="4"/>
      <c r="CG60" s="2"/>
      <c r="CH60" s="3"/>
      <c r="CI60" s="3"/>
      <c r="CJ60" s="3"/>
      <c r="CK60" s="3"/>
      <c r="CL60" s="3"/>
      <c r="CM60" s="3"/>
      <c r="CN60" s="3"/>
      <c r="CO60" s="3"/>
      <c r="CP60" s="3"/>
      <c r="CQ60" s="3"/>
      <c r="CR60" s="3"/>
      <c r="CS60" s="3"/>
      <c r="CT60" s="4"/>
    </row>
    <row r="61" spans="1:98" ht="10.5" customHeight="1" x14ac:dyDescent="0.15">
      <c r="A61" s="3"/>
      <c r="B61" s="3"/>
      <c r="C61" s="3"/>
      <c r="D61" s="3"/>
      <c r="AA61" s="21"/>
      <c r="AB61" s="21"/>
      <c r="AC61" s="2"/>
      <c r="AD61" s="2"/>
      <c r="AE61" s="2"/>
      <c r="AF61" s="104">
        <v>31413</v>
      </c>
      <c r="AG61" s="89">
        <v>389.85599999999999</v>
      </c>
      <c r="AH61" s="89"/>
      <c r="AI61" s="96"/>
      <c r="AJ61" s="112">
        <f t="shared" si="0"/>
        <v>1044.576</v>
      </c>
      <c r="AK61" s="89"/>
      <c r="AL61" s="96"/>
      <c r="AM61" s="68"/>
      <c r="AN61" s="68"/>
      <c r="AO61" s="96"/>
      <c r="AP61" s="114">
        <f>AM63*AJ61/SUM(AJ61:AJ63)/(AJ61*10^3*10^3)</f>
        <v>3.9411899770404051</v>
      </c>
      <c r="AQ61" s="68"/>
      <c r="AR61" s="69"/>
      <c r="AS61" s="2"/>
      <c r="AT61" s="2"/>
      <c r="AU61" s="2"/>
      <c r="AV61" s="2"/>
      <c r="AW61" s="2"/>
      <c r="AX61" s="2"/>
      <c r="AZ61" s="3"/>
      <c r="BA61" s="3"/>
      <c r="BB61" s="3"/>
      <c r="BC61" s="3"/>
      <c r="BD61" s="3"/>
      <c r="BE61" s="4"/>
      <c r="CG61" s="2"/>
      <c r="CH61" s="3"/>
      <c r="CI61" s="3"/>
      <c r="CJ61" s="3"/>
      <c r="CK61" s="3"/>
      <c r="CL61" s="3"/>
      <c r="CM61" s="3"/>
      <c r="CN61" s="3"/>
      <c r="CO61" s="3"/>
      <c r="CP61" s="3"/>
      <c r="CQ61" s="3"/>
      <c r="CR61" s="3"/>
      <c r="CS61" s="3"/>
      <c r="CT61" s="4"/>
    </row>
    <row r="62" spans="1:98" ht="10.5" customHeight="1" x14ac:dyDescent="0.15">
      <c r="A62" s="3"/>
      <c r="B62" s="3"/>
      <c r="C62" s="3"/>
      <c r="D62" s="3"/>
      <c r="AA62" s="21"/>
      <c r="AB62" s="21"/>
      <c r="AC62" s="2"/>
      <c r="AD62" s="2"/>
      <c r="AE62" s="2"/>
      <c r="AF62" s="104">
        <v>31444</v>
      </c>
      <c r="AG62" s="89">
        <v>344.10199999999998</v>
      </c>
      <c r="AH62" s="89"/>
      <c r="AI62" s="96"/>
      <c r="AJ62" s="112">
        <f t="shared" si="0"/>
        <v>921.98322137404568</v>
      </c>
      <c r="AK62" s="89"/>
      <c r="AL62" s="96"/>
      <c r="AM62" s="68"/>
      <c r="AN62" s="68"/>
      <c r="AO62" s="96"/>
      <c r="AP62" s="114">
        <f>AM63*AJ62/SUM(AJ61:AJ63)/(AJ62*10^3*10^3)</f>
        <v>3.9411899770404051</v>
      </c>
      <c r="AQ62" s="68"/>
      <c r="AR62" s="69"/>
      <c r="AS62" s="2"/>
      <c r="AT62" s="2"/>
      <c r="AU62" s="2"/>
      <c r="AV62" s="2"/>
      <c r="AW62" s="2"/>
      <c r="AX62" s="2"/>
      <c r="AZ62" s="3"/>
      <c r="BA62" s="3"/>
      <c r="BB62" s="3"/>
      <c r="BC62" s="3"/>
      <c r="BD62" s="3"/>
      <c r="BE62" s="4"/>
      <c r="CG62" s="2"/>
      <c r="CH62" s="3"/>
      <c r="CI62" s="3"/>
      <c r="CJ62" s="3"/>
      <c r="CK62" s="3"/>
      <c r="CL62" s="3"/>
      <c r="CM62" s="3"/>
      <c r="CN62" s="3"/>
      <c r="CO62" s="3"/>
      <c r="CP62" s="3"/>
      <c r="CQ62" s="3"/>
      <c r="CR62" s="3"/>
      <c r="CS62" s="3"/>
      <c r="CT62" s="4"/>
    </row>
    <row r="63" spans="1:98" ht="10.5" customHeight="1" x14ac:dyDescent="0.15">
      <c r="A63" s="3"/>
      <c r="B63" s="3"/>
      <c r="C63" s="3"/>
      <c r="D63" s="3"/>
      <c r="AA63" s="21"/>
      <c r="AB63" s="21"/>
      <c r="AC63" s="2"/>
      <c r="AD63" s="2"/>
      <c r="AE63" s="2"/>
      <c r="AF63" s="104">
        <v>31472</v>
      </c>
      <c r="AG63" s="89">
        <v>387.25599999999997</v>
      </c>
      <c r="AH63" s="89"/>
      <c r="AI63" s="96"/>
      <c r="AJ63" s="112">
        <f t="shared" si="0"/>
        <v>1037.6095877862595</v>
      </c>
      <c r="AK63" s="89"/>
      <c r="AL63" s="96"/>
      <c r="AM63" s="68">
        <v>11840000000.000004</v>
      </c>
      <c r="AN63" s="68"/>
      <c r="AO63" s="96"/>
      <c r="AP63" s="114">
        <f>AM63*AJ63/SUM(AJ61:AJ63)/(AJ63*10^3*10^3)</f>
        <v>3.9411899770404051</v>
      </c>
      <c r="AQ63" s="68"/>
      <c r="AR63" s="69"/>
      <c r="AS63" s="2"/>
      <c r="AT63" s="2"/>
      <c r="AU63" s="2"/>
      <c r="AV63" s="2"/>
      <c r="AW63" s="2"/>
      <c r="AX63" s="2"/>
      <c r="AZ63" s="3"/>
      <c r="BA63" s="3"/>
      <c r="BB63" s="3"/>
      <c r="BC63" s="3"/>
      <c r="BD63" s="3"/>
      <c r="BE63" s="4"/>
      <c r="CG63" s="2"/>
      <c r="CH63" s="3"/>
      <c r="CI63" s="3"/>
      <c r="CJ63" s="3"/>
      <c r="CK63" s="3"/>
      <c r="CL63" s="3"/>
      <c r="CM63" s="3"/>
      <c r="CN63" s="3"/>
      <c r="CO63" s="3"/>
      <c r="CP63" s="3"/>
      <c r="CQ63" s="3"/>
      <c r="CR63" s="3"/>
      <c r="CS63" s="3"/>
      <c r="CT63" s="4"/>
    </row>
    <row r="64" spans="1:98" ht="10.5" customHeight="1" x14ac:dyDescent="0.15">
      <c r="A64" s="3"/>
      <c r="B64" s="3"/>
      <c r="C64" s="3"/>
      <c r="D64" s="3"/>
      <c r="AA64" s="21"/>
      <c r="AB64" s="21"/>
      <c r="AC64" s="2"/>
      <c r="AD64" s="2"/>
      <c r="AE64" s="2"/>
      <c r="AF64" s="105">
        <v>31503</v>
      </c>
      <c r="AG64" s="89">
        <v>225.048</v>
      </c>
      <c r="AH64" s="89"/>
      <c r="AI64" s="96"/>
      <c r="AJ64" s="112">
        <f t="shared" si="0"/>
        <v>602.99120610687032</v>
      </c>
      <c r="AK64" s="89"/>
      <c r="AL64" s="96"/>
      <c r="AM64" s="68"/>
      <c r="AN64" s="68"/>
      <c r="AO64" s="96"/>
      <c r="AP64" s="115">
        <f>AM66*AJ64/SUM(AJ64:AJ66)/(AJ64*10^3*10^3)</f>
        <v>21.476266766160478</v>
      </c>
      <c r="AQ64" s="68"/>
      <c r="AR64" s="69"/>
      <c r="AS64" s="2"/>
      <c r="AT64" s="2"/>
      <c r="AU64" s="2"/>
      <c r="AV64" s="2"/>
      <c r="AW64" s="2"/>
      <c r="AX64" s="2"/>
      <c r="AZ64" s="3"/>
      <c r="BA64" s="3"/>
      <c r="BB64" s="3"/>
      <c r="BC64" s="3"/>
      <c r="BD64" s="3"/>
      <c r="BE64" s="4"/>
      <c r="CG64" s="2"/>
      <c r="CH64" s="3"/>
      <c r="CI64" s="3"/>
      <c r="CJ64" s="3"/>
      <c r="CK64" s="3"/>
      <c r="CL64" s="3"/>
      <c r="CM64" s="3"/>
      <c r="CN64" s="3"/>
      <c r="CO64" s="3"/>
      <c r="CP64" s="3"/>
      <c r="CQ64" s="3"/>
      <c r="CR64" s="3"/>
      <c r="CS64" s="3"/>
      <c r="CT64" s="4"/>
    </row>
    <row r="65" spans="1:98" ht="10.5" customHeight="1" x14ac:dyDescent="0.15">
      <c r="A65" s="3"/>
      <c r="B65" s="3"/>
      <c r="C65" s="3"/>
      <c r="D65" s="3"/>
      <c r="AA65" s="21"/>
      <c r="AB65" s="21"/>
      <c r="AC65" s="2"/>
      <c r="AD65" s="2"/>
      <c r="AE65" s="2"/>
      <c r="AF65" s="105">
        <v>31533</v>
      </c>
      <c r="AG65" s="89">
        <v>0</v>
      </c>
      <c r="AH65" s="89"/>
      <c r="AI65" s="96"/>
      <c r="AJ65" s="112">
        <f t="shared" si="0"/>
        <v>0</v>
      </c>
      <c r="AK65" s="89"/>
      <c r="AL65" s="96"/>
      <c r="AM65" s="68"/>
      <c r="AN65" s="68"/>
      <c r="AO65" s="96"/>
      <c r="AP65" s="115" t="e">
        <f>AM66*AJ65/SUM(AJ64:AJ66)/(AJ65*10^3*10^3)</f>
        <v>#DIV/0!</v>
      </c>
      <c r="AQ65" s="68"/>
      <c r="AR65" s="69"/>
      <c r="AS65" s="2"/>
      <c r="AT65" s="2"/>
      <c r="AU65" s="2"/>
      <c r="AV65" s="2"/>
      <c r="AW65" s="2"/>
      <c r="AX65" s="2"/>
      <c r="AZ65" s="3"/>
      <c r="BA65" s="3"/>
      <c r="BB65" s="3"/>
      <c r="BC65" s="3"/>
      <c r="BD65" s="3"/>
      <c r="BE65" s="4"/>
      <c r="CG65" s="2"/>
      <c r="CH65" s="3"/>
      <c r="CI65" s="3"/>
      <c r="CJ65" s="3"/>
      <c r="CK65" s="3"/>
      <c r="CL65" s="3"/>
      <c r="CM65" s="3"/>
      <c r="CN65" s="3"/>
      <c r="CO65" s="3"/>
      <c r="CP65" s="3"/>
      <c r="CQ65" s="3"/>
      <c r="CR65" s="3"/>
      <c r="CS65" s="3"/>
      <c r="CT65" s="4"/>
    </row>
    <row r="66" spans="1:98" ht="10.5" customHeight="1" x14ac:dyDescent="0.15">
      <c r="A66" s="3"/>
      <c r="B66" s="3"/>
      <c r="C66" s="3"/>
      <c r="D66" s="3"/>
      <c r="AA66" s="21"/>
      <c r="AB66" s="21"/>
      <c r="AC66" s="2"/>
      <c r="AD66" s="2"/>
      <c r="AE66" s="2"/>
      <c r="AF66" s="105">
        <v>31564</v>
      </c>
      <c r="AG66" s="89">
        <v>0</v>
      </c>
      <c r="AH66" s="89"/>
      <c r="AI66" s="96"/>
      <c r="AJ66" s="112">
        <f t="shared" si="0"/>
        <v>0</v>
      </c>
      <c r="AK66" s="89"/>
      <c r="AL66" s="96"/>
      <c r="AM66" s="68">
        <v>12950000000.000002</v>
      </c>
      <c r="AN66" s="136"/>
      <c r="AO66" s="96"/>
      <c r="AP66" s="115" t="e">
        <f>AM66*AJ66/SUM(AJ64:AJ66)/(AJ66*10^3*10^3)</f>
        <v>#DIV/0!</v>
      </c>
      <c r="AQ66" s="223"/>
      <c r="AR66" s="69"/>
      <c r="AS66" s="2"/>
      <c r="AT66" s="2"/>
      <c r="AU66" s="2"/>
      <c r="AV66" s="2"/>
      <c r="AW66" s="2"/>
      <c r="AX66" s="2"/>
      <c r="AZ66" s="3"/>
      <c r="BA66" s="3"/>
      <c r="BB66" s="3"/>
      <c r="BC66" s="3"/>
      <c r="BD66" s="3"/>
      <c r="BE66" s="4"/>
      <c r="CG66" s="2"/>
      <c r="CH66" s="3"/>
      <c r="CI66" s="3"/>
      <c r="CJ66" s="3"/>
      <c r="CK66" s="3"/>
      <c r="CL66" s="3"/>
      <c r="CM66" s="3"/>
      <c r="CN66" s="3"/>
      <c r="CO66" s="3"/>
      <c r="CP66" s="3"/>
      <c r="CQ66" s="3"/>
      <c r="CR66" s="3"/>
      <c r="CS66" s="3"/>
      <c r="CT66" s="4"/>
    </row>
    <row r="67" spans="1:98" ht="10.5" customHeight="1" x14ac:dyDescent="0.15">
      <c r="A67" s="3"/>
      <c r="B67" s="3"/>
      <c r="C67" s="3"/>
      <c r="D67" s="3"/>
      <c r="AA67" s="21"/>
      <c r="AB67" s="21"/>
      <c r="AC67" s="2"/>
      <c r="AD67" s="2"/>
      <c r="AE67" s="2"/>
      <c r="AF67" s="105">
        <v>31594</v>
      </c>
      <c r="AG67" s="89">
        <v>297.36799999999999</v>
      </c>
      <c r="AH67" s="89"/>
      <c r="AI67" s="96"/>
      <c r="AJ67" s="112">
        <f t="shared" si="0"/>
        <v>796.76464122137418</v>
      </c>
      <c r="AK67" s="89"/>
      <c r="AL67" s="96"/>
      <c r="AM67" s="68"/>
      <c r="AN67" s="136"/>
      <c r="AO67" s="96"/>
      <c r="AP67" s="115">
        <f>AM69*AJ67/SUM(AJ67:AJ69)/(AJ67*10^3*10^3)</f>
        <v>0.10896772693816202</v>
      </c>
      <c r="AQ67" s="223"/>
      <c r="AR67" s="69"/>
      <c r="AS67" s="2"/>
      <c r="AT67" s="2"/>
      <c r="AU67" s="2"/>
      <c r="AV67" s="2"/>
      <c r="AW67" s="2"/>
      <c r="AX67" s="2"/>
      <c r="AZ67" s="3"/>
      <c r="BA67" s="3"/>
      <c r="BB67" s="3"/>
      <c r="BC67" s="3"/>
      <c r="BD67" s="3"/>
      <c r="BE67" s="4"/>
      <c r="CG67" s="2"/>
      <c r="CH67" s="3"/>
      <c r="CI67" s="3"/>
      <c r="CJ67" s="3"/>
      <c r="CK67" s="3"/>
      <c r="CL67" s="3"/>
      <c r="CM67" s="3"/>
      <c r="CN67" s="3"/>
      <c r="CO67" s="3"/>
      <c r="CP67" s="3"/>
      <c r="CQ67" s="3"/>
      <c r="CR67" s="3"/>
      <c r="CS67" s="3"/>
      <c r="CT67" s="4"/>
    </row>
    <row r="68" spans="1:98" ht="10.5" customHeight="1" x14ac:dyDescent="0.15">
      <c r="A68" s="3"/>
      <c r="B68" s="3"/>
      <c r="C68" s="3"/>
      <c r="D68" s="3"/>
      <c r="AA68" s="21"/>
      <c r="AB68" s="21"/>
      <c r="AC68" s="2"/>
      <c r="AD68" s="2"/>
      <c r="AE68" s="2"/>
      <c r="AF68" s="105">
        <v>31625</v>
      </c>
      <c r="AG68" s="89">
        <v>389.85599999999999</v>
      </c>
      <c r="AH68" s="89"/>
      <c r="AI68" s="96"/>
      <c r="AJ68" s="112">
        <f t="shared" si="0"/>
        <v>1044.576</v>
      </c>
      <c r="AK68" s="89"/>
      <c r="AL68" s="96"/>
      <c r="AM68" s="68"/>
      <c r="AN68" s="136"/>
      <c r="AO68" s="96"/>
      <c r="AP68" s="115">
        <f>AM69*AJ68/SUM(AJ67:AJ69)/(AJ68*10^3*10^3)</f>
        <v>0.10896772693816202</v>
      </c>
      <c r="AQ68" s="223"/>
      <c r="AR68" s="69"/>
      <c r="AS68" s="2"/>
      <c r="AT68" s="2"/>
      <c r="AU68" s="2"/>
      <c r="AV68" s="2"/>
      <c r="AW68" s="2"/>
      <c r="AX68" s="2"/>
      <c r="AZ68" s="3"/>
      <c r="BA68" s="3"/>
      <c r="BB68" s="3"/>
      <c r="BC68" s="3"/>
      <c r="BD68" s="3"/>
      <c r="BE68" s="4"/>
      <c r="CG68" s="2"/>
      <c r="CH68" s="3"/>
      <c r="CI68" s="3"/>
      <c r="CJ68" s="3"/>
      <c r="CK68" s="3"/>
      <c r="CL68" s="3"/>
      <c r="CM68" s="3"/>
      <c r="CN68" s="3"/>
      <c r="CO68" s="3"/>
      <c r="CP68" s="3"/>
      <c r="CQ68" s="3"/>
      <c r="CR68" s="3"/>
      <c r="CS68" s="3"/>
      <c r="CT68" s="4"/>
    </row>
    <row r="69" spans="1:98" ht="10.5" customHeight="1" x14ac:dyDescent="0.15">
      <c r="A69" s="3"/>
      <c r="B69" s="3"/>
      <c r="C69" s="3"/>
      <c r="D69" s="3"/>
      <c r="AA69" s="21"/>
      <c r="AB69" s="21"/>
      <c r="AC69" s="2"/>
      <c r="AD69" s="2"/>
      <c r="AE69" s="2"/>
      <c r="AF69" s="105">
        <v>31656</v>
      </c>
      <c r="AG69" s="89">
        <v>377.28</v>
      </c>
      <c r="AH69" s="89"/>
      <c r="AI69" s="96"/>
      <c r="AJ69" s="112">
        <f t="shared" si="0"/>
        <v>1010.88</v>
      </c>
      <c r="AK69" s="89"/>
      <c r="AL69" s="96"/>
      <c r="AM69" s="68">
        <v>310800000.00000006</v>
      </c>
      <c r="AN69" s="68"/>
      <c r="AO69" s="96"/>
      <c r="AP69" s="115">
        <f>AM69*AJ69/SUM(AJ67:AJ69)/(AJ69*10^3*10^3)</f>
        <v>0.10896772693816202</v>
      </c>
      <c r="AQ69" s="68"/>
      <c r="AR69" s="69"/>
      <c r="AS69" s="2"/>
      <c r="AT69" s="2"/>
      <c r="AU69" s="2"/>
      <c r="AV69" s="2"/>
      <c r="AW69" s="2"/>
      <c r="AX69" s="2"/>
      <c r="AZ69" s="3"/>
      <c r="BA69" s="3"/>
      <c r="BB69" s="3"/>
      <c r="BC69" s="3"/>
      <c r="BD69" s="3"/>
      <c r="BE69" s="4"/>
      <c r="CG69" s="2"/>
      <c r="CH69" s="3"/>
      <c r="CI69" s="3"/>
      <c r="CJ69" s="3"/>
      <c r="CK69" s="3"/>
      <c r="CL69" s="3"/>
      <c r="CM69" s="3"/>
      <c r="CN69" s="3"/>
      <c r="CO69" s="3"/>
      <c r="CP69" s="3"/>
      <c r="CQ69" s="3"/>
      <c r="CR69" s="3"/>
      <c r="CS69" s="3"/>
      <c r="CT69" s="4"/>
    </row>
    <row r="70" spans="1:98" ht="10.5" customHeight="1" x14ac:dyDescent="0.15">
      <c r="A70" s="3"/>
      <c r="B70" s="3"/>
      <c r="C70" s="3"/>
      <c r="D70" s="3"/>
      <c r="AA70" s="21"/>
      <c r="AB70" s="21"/>
      <c r="AC70" s="2"/>
      <c r="AD70" s="2"/>
      <c r="AE70" s="2"/>
      <c r="AF70" s="105">
        <v>31686</v>
      </c>
      <c r="AG70" s="89">
        <v>389.85500000000002</v>
      </c>
      <c r="AH70" s="89"/>
      <c r="AI70" s="96"/>
      <c r="AJ70" s="112">
        <f t="shared" si="0"/>
        <v>1044.5733206106872</v>
      </c>
      <c r="AK70" s="89"/>
      <c r="AL70" s="96"/>
      <c r="AM70" s="68"/>
      <c r="AN70" s="68"/>
      <c r="AO70" s="96"/>
      <c r="AP70" s="115">
        <f>AM72*AJ70/SUM(AJ70:AJ72)/(AJ70*10^3*10^3)</f>
        <v>7.1047621732209203</v>
      </c>
      <c r="AQ70" s="68"/>
      <c r="AR70" s="69"/>
      <c r="AS70" s="2"/>
      <c r="AT70" s="2"/>
      <c r="AU70" s="2"/>
      <c r="AV70" s="2"/>
      <c r="AW70" s="2"/>
      <c r="AX70" s="2"/>
      <c r="AZ70" s="3"/>
      <c r="BA70" s="3"/>
      <c r="BB70" s="3"/>
      <c r="BC70" s="3"/>
      <c r="BD70" s="3"/>
      <c r="BE70" s="4"/>
      <c r="CG70" s="2"/>
      <c r="CH70" s="3"/>
      <c r="CI70" s="3"/>
      <c r="CJ70" s="3"/>
      <c r="CK70" s="3"/>
      <c r="CL70" s="3"/>
      <c r="CM70" s="3"/>
      <c r="CN70" s="3"/>
      <c r="CO70" s="3"/>
      <c r="CP70" s="3"/>
      <c r="CQ70" s="3"/>
      <c r="CR70" s="3"/>
      <c r="CS70" s="3"/>
      <c r="CT70" s="4"/>
    </row>
    <row r="71" spans="1:98" ht="10.5" customHeight="1" x14ac:dyDescent="0.15">
      <c r="A71" s="3"/>
      <c r="B71" s="3"/>
      <c r="C71" s="3"/>
      <c r="D71" s="3"/>
      <c r="AA71" s="21"/>
      <c r="AB71" s="21"/>
      <c r="AC71" s="2"/>
      <c r="AD71" s="2"/>
      <c r="AE71" s="2"/>
      <c r="AF71" s="105">
        <v>31717</v>
      </c>
      <c r="AG71" s="89">
        <v>377.279</v>
      </c>
      <c r="AH71" s="89"/>
      <c r="AI71" s="96"/>
      <c r="AJ71" s="112">
        <f t="shared" si="0"/>
        <v>1010.8773206106871</v>
      </c>
      <c r="AK71" s="89"/>
      <c r="AL71" s="96"/>
      <c r="AM71" s="68"/>
      <c r="AN71" s="68"/>
      <c r="AO71" s="96"/>
      <c r="AP71" s="115">
        <f>AM72*AJ71/SUM(AJ70:AJ72)/(AJ71*10^3*10^3)</f>
        <v>7.1047621732209203</v>
      </c>
      <c r="AQ71" s="68"/>
      <c r="AR71" s="69"/>
      <c r="AS71" s="2"/>
      <c r="AT71" s="2"/>
      <c r="AU71" s="2"/>
      <c r="AV71" s="2"/>
      <c r="AW71" s="2"/>
      <c r="AX71" s="2"/>
      <c r="AZ71" s="3"/>
      <c r="BA71" s="3"/>
      <c r="BB71" s="3"/>
      <c r="BC71" s="3"/>
      <c r="BD71" s="3"/>
      <c r="BE71" s="4"/>
      <c r="CG71" s="2"/>
      <c r="CH71" s="3"/>
      <c r="CI71" s="3"/>
      <c r="CJ71" s="3"/>
      <c r="CK71" s="3"/>
      <c r="CL71" s="3"/>
      <c r="CM71" s="3"/>
      <c r="CN71" s="3"/>
      <c r="CO71" s="3"/>
      <c r="CP71" s="3"/>
      <c r="CQ71" s="3"/>
      <c r="CR71" s="3"/>
      <c r="CS71" s="3"/>
      <c r="CT71" s="4"/>
    </row>
    <row r="72" spans="1:98" ht="10.5" customHeight="1" x14ac:dyDescent="0.15">
      <c r="A72" s="3"/>
      <c r="B72" s="3"/>
      <c r="C72" s="3"/>
      <c r="D72" s="3"/>
      <c r="AA72" s="21"/>
      <c r="AB72" s="21"/>
      <c r="AC72" s="2"/>
      <c r="AD72" s="2"/>
      <c r="AE72" s="2"/>
      <c r="AF72" s="105">
        <v>31747</v>
      </c>
      <c r="AG72" s="89">
        <v>379.61500000000001</v>
      </c>
      <c r="AH72" s="89"/>
      <c r="AI72" s="96"/>
      <c r="AJ72" s="112">
        <f t="shared" si="0"/>
        <v>1017.1363740458017</v>
      </c>
      <c r="AK72" s="89"/>
      <c r="AL72" s="96"/>
      <c r="AM72" s="68">
        <v>21830000000.000004</v>
      </c>
      <c r="AN72" s="68"/>
      <c r="AO72" s="96"/>
      <c r="AP72" s="115">
        <f>AM72*AJ72/SUM(AJ70:AJ72)/(AJ72*10^3*10^3)</f>
        <v>7.1047621732209212</v>
      </c>
      <c r="AQ72" s="68"/>
      <c r="AR72" s="69"/>
      <c r="AS72" s="2"/>
      <c r="AT72" s="2"/>
      <c r="AU72" s="2"/>
      <c r="AV72" s="2"/>
      <c r="AW72" s="2"/>
      <c r="AX72" s="2"/>
      <c r="AZ72" s="3"/>
      <c r="BA72" s="3"/>
      <c r="BB72" s="3"/>
      <c r="BC72" s="3"/>
      <c r="BD72" s="3"/>
      <c r="BE72" s="4"/>
      <c r="CG72" s="2"/>
      <c r="CH72" s="3"/>
      <c r="CI72" s="3"/>
      <c r="CJ72" s="3"/>
      <c r="CK72" s="3"/>
      <c r="CL72" s="3"/>
      <c r="CM72" s="3"/>
      <c r="CN72" s="3"/>
      <c r="CO72" s="3"/>
      <c r="CP72" s="3"/>
      <c r="CQ72" s="3"/>
      <c r="CR72" s="3"/>
      <c r="CS72" s="3"/>
      <c r="CT72" s="4"/>
    </row>
    <row r="73" spans="1:98" ht="10.5" customHeight="1" x14ac:dyDescent="0.15">
      <c r="A73" s="3"/>
      <c r="B73" s="3"/>
      <c r="C73" s="3"/>
      <c r="D73" s="3"/>
      <c r="AA73" s="21"/>
      <c r="AB73" s="21"/>
      <c r="AC73" s="2"/>
      <c r="AD73" s="2"/>
      <c r="AE73" s="2"/>
      <c r="AF73" s="105">
        <v>31778</v>
      </c>
      <c r="AG73" s="89">
        <v>389.85599999999999</v>
      </c>
      <c r="AH73" s="89"/>
      <c r="AI73" s="96"/>
      <c r="AJ73" s="112">
        <f t="shared" si="0"/>
        <v>1044.576</v>
      </c>
      <c r="AK73" s="89"/>
      <c r="AL73" s="96"/>
      <c r="AM73" s="68"/>
      <c r="AN73" s="68"/>
      <c r="AO73" s="96"/>
      <c r="AP73" s="115">
        <f>AM75*AJ73/SUM(AJ73:AJ75)/(AJ73*10^3*10^3)</f>
        <v>1.2458716524974791</v>
      </c>
      <c r="AQ73" s="68"/>
      <c r="AR73" s="69"/>
      <c r="AS73" s="2"/>
      <c r="AT73" s="2"/>
      <c r="AU73" s="2"/>
      <c r="AV73" s="2"/>
      <c r="AW73" s="2"/>
      <c r="AX73" s="2"/>
      <c r="AZ73" s="3"/>
      <c r="BA73" s="3"/>
      <c r="BB73" s="3"/>
      <c r="BC73" s="3"/>
      <c r="BD73" s="3"/>
      <c r="BE73" s="4"/>
      <c r="CG73" s="2"/>
      <c r="CH73" s="3"/>
      <c r="CI73" s="3"/>
      <c r="CJ73" s="3"/>
      <c r="CK73" s="3"/>
      <c r="CL73" s="3"/>
      <c r="CM73" s="3"/>
      <c r="CN73" s="3"/>
      <c r="CO73" s="3"/>
      <c r="CP73" s="3"/>
      <c r="CQ73" s="3"/>
      <c r="CR73" s="3"/>
      <c r="CS73" s="3"/>
      <c r="CT73" s="4"/>
    </row>
    <row r="74" spans="1:98" ht="10.5" customHeight="1" x14ac:dyDescent="0.15">
      <c r="A74" s="3"/>
      <c r="B74" s="3"/>
      <c r="C74" s="3"/>
      <c r="D74" s="3"/>
      <c r="AA74" s="21"/>
      <c r="AB74" s="21"/>
      <c r="AC74" s="2"/>
      <c r="AD74" s="2"/>
      <c r="AE74" s="2"/>
      <c r="AF74" s="105">
        <v>31809</v>
      </c>
      <c r="AG74" s="89">
        <v>329.32600000000002</v>
      </c>
      <c r="AH74" s="89"/>
      <c r="AI74" s="96"/>
      <c r="AJ74" s="112">
        <f t="shared" si="0"/>
        <v>882.39256488549631</v>
      </c>
      <c r="AK74" s="89"/>
      <c r="AL74" s="96"/>
      <c r="AM74" s="68"/>
      <c r="AN74" s="68"/>
      <c r="AO74" s="96"/>
      <c r="AP74" s="115">
        <f>AM75*AJ74/SUM(AJ73:AJ75)/(AJ74*10^3*10^3)</f>
        <v>1.2458716524974791</v>
      </c>
      <c r="AQ74" s="68"/>
      <c r="AR74" s="69"/>
      <c r="AS74" s="2"/>
      <c r="AT74" s="2"/>
      <c r="AU74" s="2"/>
      <c r="AV74" s="2"/>
      <c r="AW74" s="2"/>
      <c r="AX74" s="2"/>
      <c r="AZ74" s="3"/>
      <c r="BA74" s="3"/>
      <c r="BB74" s="3"/>
      <c r="BC74" s="3"/>
      <c r="BD74" s="3"/>
      <c r="BE74" s="4"/>
      <c r="CG74" s="2"/>
      <c r="CH74" s="3"/>
      <c r="CI74" s="3"/>
      <c r="CJ74" s="3"/>
      <c r="CK74" s="3"/>
      <c r="CL74" s="3"/>
      <c r="CM74" s="3"/>
      <c r="CN74" s="3"/>
      <c r="CO74" s="3"/>
      <c r="CP74" s="3"/>
      <c r="CQ74" s="3"/>
      <c r="CR74" s="3"/>
      <c r="CS74" s="3"/>
      <c r="CT74" s="4"/>
    </row>
    <row r="75" spans="1:98" ht="10.5" customHeight="1" x14ac:dyDescent="0.15">
      <c r="A75" s="3"/>
      <c r="B75" s="3"/>
      <c r="C75" s="3"/>
      <c r="D75" s="3"/>
      <c r="AA75" s="21"/>
      <c r="AB75" s="21"/>
      <c r="AC75" s="2"/>
      <c r="AD75" s="2"/>
      <c r="AE75" s="2"/>
      <c r="AF75" s="105">
        <v>31837</v>
      </c>
      <c r="AG75" s="89">
        <v>389.20800000000003</v>
      </c>
      <c r="AH75" s="89"/>
      <c r="AI75" s="96"/>
      <c r="AJ75" s="112">
        <f t="shared" si="0"/>
        <v>1042.839755725191</v>
      </c>
      <c r="AK75" s="89"/>
      <c r="AL75" s="96"/>
      <c r="AM75" s="68">
        <v>3700000000.0000005</v>
      </c>
      <c r="AN75" s="68"/>
      <c r="AO75" s="96"/>
      <c r="AP75" s="115">
        <f>AM75*AJ75/SUM(AJ73:AJ75)/(AJ75*10^3*10^3)</f>
        <v>1.2458716524974791</v>
      </c>
      <c r="AQ75" s="68"/>
      <c r="AR75" s="69"/>
      <c r="AS75" s="2"/>
      <c r="AT75" s="2"/>
      <c r="AU75" s="2"/>
      <c r="AV75" s="2"/>
      <c r="AW75" s="2"/>
      <c r="AX75" s="2"/>
      <c r="AZ75" s="3"/>
      <c r="BA75" s="3"/>
      <c r="BB75" s="3"/>
      <c r="BC75" s="3"/>
      <c r="BD75" s="3"/>
      <c r="BE75" s="4"/>
      <c r="CG75" s="2"/>
      <c r="CH75" s="3"/>
      <c r="CI75" s="3"/>
      <c r="CJ75" s="3"/>
      <c r="CK75" s="3"/>
      <c r="CL75" s="3"/>
      <c r="CM75" s="3"/>
      <c r="CN75" s="3"/>
      <c r="CO75" s="3"/>
      <c r="CP75" s="3"/>
      <c r="CQ75" s="3"/>
      <c r="CR75" s="3"/>
      <c r="CS75" s="3"/>
      <c r="CT75" s="4"/>
    </row>
    <row r="76" spans="1:98" ht="10.5" customHeight="1" x14ac:dyDescent="0.15">
      <c r="A76" s="3"/>
      <c r="B76" s="3"/>
      <c r="C76" s="3"/>
      <c r="D76" s="3"/>
      <c r="AA76" s="21"/>
      <c r="AB76" s="21"/>
      <c r="AC76" s="2"/>
      <c r="AD76" s="2"/>
      <c r="AE76" s="2"/>
      <c r="AF76" s="104">
        <v>31868</v>
      </c>
      <c r="AG76" s="89">
        <v>205.01900000000001</v>
      </c>
      <c r="AH76" s="89"/>
      <c r="AI76" s="96"/>
      <c r="AJ76" s="112">
        <f t="shared" si="0"/>
        <v>549.32571755725201</v>
      </c>
      <c r="AK76" s="89"/>
      <c r="AL76" s="96"/>
      <c r="AM76" s="68"/>
      <c r="AN76" s="68"/>
      <c r="AO76" s="96"/>
      <c r="AP76" s="114">
        <f>AM78*AJ76/SUM(AJ76:AJ78)/(AJ76*10^3*10^3)</f>
        <v>12.797507517509077</v>
      </c>
      <c r="AQ76" s="68"/>
      <c r="AR76" s="69"/>
      <c r="AS76" s="2"/>
      <c r="AT76" s="2"/>
      <c r="AU76" s="2"/>
      <c r="AV76" s="2"/>
      <c r="AW76" s="2"/>
      <c r="AX76" s="2"/>
      <c r="AZ76" s="3"/>
      <c r="BA76" s="3"/>
      <c r="BB76" s="3"/>
      <c r="BC76" s="3"/>
      <c r="BD76" s="3"/>
      <c r="BE76" s="4"/>
      <c r="CG76" s="2"/>
      <c r="CH76" s="3"/>
      <c r="CI76" s="3"/>
      <c r="CJ76" s="3"/>
      <c r="CK76" s="3"/>
      <c r="CL76" s="3"/>
      <c r="CM76" s="3"/>
      <c r="CN76" s="3"/>
      <c r="CO76" s="3"/>
      <c r="CP76" s="3"/>
      <c r="CQ76" s="3"/>
      <c r="CR76" s="3"/>
      <c r="CS76" s="3"/>
      <c r="CT76" s="4"/>
    </row>
    <row r="77" spans="1:98" ht="10.5" customHeight="1" x14ac:dyDescent="0.15">
      <c r="A77" s="3"/>
      <c r="B77" s="3"/>
      <c r="C77" s="3"/>
      <c r="D77" s="3"/>
      <c r="AA77" s="21"/>
      <c r="AB77" s="21"/>
      <c r="AC77" s="2"/>
      <c r="AD77" s="2"/>
      <c r="AE77" s="2"/>
      <c r="AF77" s="104">
        <v>31898</v>
      </c>
      <c r="AG77" s="89">
        <v>0</v>
      </c>
      <c r="AH77" s="89"/>
      <c r="AI77" s="96"/>
      <c r="AJ77" s="112">
        <f t="shared" si="0"/>
        <v>0</v>
      </c>
      <c r="AK77" s="89"/>
      <c r="AL77" s="96"/>
      <c r="AM77" s="68"/>
      <c r="AN77" s="68"/>
      <c r="AO77" s="96"/>
      <c r="AP77" s="114" t="e">
        <f>AM78*AJ77/SUM(AJ76:AJ78)/(AJ77*10^3*10^3)</f>
        <v>#DIV/0!</v>
      </c>
      <c r="AQ77" s="68"/>
      <c r="AR77" s="69"/>
      <c r="AS77" s="2"/>
      <c r="AT77" s="2"/>
      <c r="AU77" s="2"/>
      <c r="AV77" s="2"/>
      <c r="AW77" s="2"/>
      <c r="AX77" s="2"/>
      <c r="AZ77" s="3"/>
      <c r="BA77" s="3"/>
      <c r="BB77" s="3"/>
      <c r="BC77" s="3"/>
      <c r="BD77" s="3"/>
      <c r="BE77" s="4"/>
      <c r="CG77" s="2"/>
      <c r="CH77" s="3"/>
      <c r="CI77" s="3"/>
      <c r="CJ77" s="3"/>
      <c r="CK77" s="3"/>
      <c r="CL77" s="3"/>
      <c r="CM77" s="3"/>
      <c r="CN77" s="3"/>
      <c r="CO77" s="3"/>
      <c r="CP77" s="3"/>
      <c r="CQ77" s="3"/>
      <c r="CR77" s="3"/>
      <c r="CS77" s="3"/>
      <c r="CT77" s="4"/>
    </row>
    <row r="78" spans="1:98" ht="10.5" customHeight="1" x14ac:dyDescent="0.15">
      <c r="A78" s="3"/>
      <c r="B78" s="3"/>
      <c r="C78" s="3"/>
      <c r="D78" s="3"/>
      <c r="AA78" s="21"/>
      <c r="AB78" s="21"/>
      <c r="AC78" s="2"/>
      <c r="AD78" s="2"/>
      <c r="AE78" s="2"/>
      <c r="AF78" s="104">
        <v>31929</v>
      </c>
      <c r="AG78" s="89">
        <v>0</v>
      </c>
      <c r="AH78" s="89"/>
      <c r="AI78" s="96"/>
      <c r="AJ78" s="112">
        <f t="shared" si="0"/>
        <v>0</v>
      </c>
      <c r="AK78" s="89"/>
      <c r="AL78" s="96"/>
      <c r="AM78" s="68">
        <v>7030000000.000001</v>
      </c>
      <c r="AN78" s="68"/>
      <c r="AO78" s="96"/>
      <c r="AP78" s="114" t="e">
        <f>AM78*AJ78/SUM(AJ76:AJ78)/(AJ78*10^3*10^3)</f>
        <v>#DIV/0!</v>
      </c>
      <c r="AQ78" s="68"/>
      <c r="AR78" s="69"/>
      <c r="AS78" s="2"/>
      <c r="AT78" s="2"/>
      <c r="AU78" s="2"/>
      <c r="AV78" s="2"/>
      <c r="AW78" s="2"/>
      <c r="AX78" s="2"/>
      <c r="AZ78" s="3"/>
      <c r="BA78" s="3"/>
      <c r="BB78" s="3"/>
      <c r="BC78" s="3"/>
      <c r="BD78" s="3"/>
      <c r="BE78" s="4"/>
      <c r="CG78" s="2"/>
      <c r="CH78" s="3"/>
      <c r="CI78" s="3"/>
      <c r="CJ78" s="3"/>
      <c r="CK78" s="3"/>
      <c r="CL78" s="3"/>
      <c r="CM78" s="3"/>
      <c r="CN78" s="3"/>
      <c r="CO78" s="3"/>
      <c r="CP78" s="3"/>
      <c r="CQ78" s="3"/>
      <c r="CR78" s="3"/>
      <c r="CS78" s="3"/>
      <c r="CT78" s="4"/>
    </row>
    <row r="79" spans="1:98" ht="10.5" customHeight="1" x14ac:dyDescent="0.15">
      <c r="A79" s="3"/>
      <c r="B79" s="3"/>
      <c r="C79" s="3"/>
      <c r="D79" s="3"/>
      <c r="AA79" s="21"/>
      <c r="AB79" s="21"/>
      <c r="AC79" s="2"/>
      <c r="AD79" s="2"/>
      <c r="AE79" s="2"/>
      <c r="AF79" s="104">
        <v>31959</v>
      </c>
      <c r="AG79" s="89">
        <v>184.708</v>
      </c>
      <c r="AH79" s="89"/>
      <c r="AI79" s="96"/>
      <c r="AJ79" s="112">
        <f t="shared" si="0"/>
        <v>494.90464122137405</v>
      </c>
      <c r="AK79" s="89"/>
      <c r="AL79" s="96"/>
      <c r="AM79" s="68"/>
      <c r="AN79" s="68"/>
      <c r="AO79" s="96"/>
      <c r="AP79" s="114">
        <f>AM81*AJ79/SUM(AJ79:AJ81)/(AJ79*10^3*10^3)</f>
        <v>1.0445592500616281</v>
      </c>
      <c r="AQ79" s="68"/>
      <c r="AR79" s="69"/>
      <c r="AS79" s="2"/>
      <c r="AT79" s="2"/>
      <c r="AU79" s="2"/>
      <c r="AV79" s="2"/>
      <c r="AW79" s="2"/>
      <c r="AX79" s="2"/>
      <c r="AZ79" s="3"/>
      <c r="BA79" s="3"/>
      <c r="BB79" s="3"/>
      <c r="BC79" s="3"/>
      <c r="BD79" s="3"/>
      <c r="BE79" s="4"/>
      <c r="CG79" s="2"/>
      <c r="CH79" s="3"/>
      <c r="CI79" s="3"/>
      <c r="CJ79" s="3"/>
      <c r="CK79" s="3"/>
      <c r="CL79" s="3"/>
      <c r="CM79" s="3"/>
      <c r="CN79" s="3"/>
      <c r="CO79" s="3"/>
      <c r="CP79" s="3"/>
      <c r="CQ79" s="3"/>
      <c r="CR79" s="3"/>
      <c r="CS79" s="3"/>
      <c r="CT79" s="4"/>
    </row>
    <row r="80" spans="1:98" ht="10.5" customHeight="1" x14ac:dyDescent="0.15">
      <c r="A80" s="3"/>
      <c r="B80" s="3"/>
      <c r="C80" s="3"/>
      <c r="D80" s="3"/>
      <c r="AA80" s="21"/>
      <c r="AB80" s="21"/>
      <c r="AC80" s="2"/>
      <c r="AD80" s="2"/>
      <c r="AE80" s="2"/>
      <c r="AF80" s="104">
        <v>31990</v>
      </c>
      <c r="AG80" s="89">
        <v>389.85500000000002</v>
      </c>
      <c r="AH80" s="89"/>
      <c r="AI80" s="96"/>
      <c r="AJ80" s="112">
        <f t="shared" si="0"/>
        <v>1044.5733206106872</v>
      </c>
      <c r="AK80" s="89"/>
      <c r="AL80" s="96"/>
      <c r="AM80" s="68"/>
      <c r="AN80" s="68"/>
      <c r="AO80" s="96"/>
      <c r="AP80" s="114">
        <f>AM81*AJ80/SUM(AJ79:AJ81)/(AJ80*10^3*10^3)</f>
        <v>1.0445592500616281</v>
      </c>
      <c r="AQ80" s="68"/>
      <c r="AR80" s="69"/>
      <c r="AS80" s="2"/>
      <c r="AT80" s="2"/>
      <c r="AU80" s="2"/>
      <c r="AV80" s="2"/>
      <c r="AW80" s="2"/>
      <c r="AX80" s="2"/>
      <c r="AZ80" s="3"/>
      <c r="BA80" s="3"/>
      <c r="BB80" s="3"/>
      <c r="BC80" s="3"/>
      <c r="BD80" s="3"/>
      <c r="BE80" s="4"/>
      <c r="CG80" s="2"/>
      <c r="CH80" s="3"/>
      <c r="CI80" s="3"/>
      <c r="CJ80" s="3"/>
      <c r="CK80" s="3"/>
      <c r="CL80" s="3"/>
      <c r="CM80" s="3"/>
      <c r="CN80" s="3"/>
      <c r="CO80" s="3"/>
      <c r="CP80" s="3"/>
      <c r="CQ80" s="3"/>
      <c r="CR80" s="3"/>
      <c r="CS80" s="3"/>
      <c r="CT80" s="4"/>
    </row>
    <row r="81" spans="1:98" ht="10.5" customHeight="1" x14ac:dyDescent="0.15">
      <c r="A81" s="3"/>
      <c r="B81" s="3"/>
      <c r="C81" s="3"/>
      <c r="D81" s="3"/>
      <c r="AA81" s="20"/>
      <c r="AB81" s="20"/>
      <c r="AC81" s="2"/>
      <c r="AD81" s="2"/>
      <c r="AE81" s="2"/>
      <c r="AF81" s="104">
        <v>32021</v>
      </c>
      <c r="AG81" s="89">
        <v>377.28</v>
      </c>
      <c r="AH81" s="89"/>
      <c r="AI81" s="96"/>
      <c r="AJ81" s="112">
        <f t="shared" si="0"/>
        <v>1010.88</v>
      </c>
      <c r="AK81" s="89"/>
      <c r="AL81" s="96"/>
      <c r="AM81" s="68">
        <v>2664000000.0000005</v>
      </c>
      <c r="AN81" s="68"/>
      <c r="AO81" s="96"/>
      <c r="AP81" s="114">
        <f>AM81*AJ81/SUM(AJ79:AJ81)/(AJ81*10^3*10^3)</f>
        <v>1.0445592500616281</v>
      </c>
      <c r="AQ81" s="68"/>
      <c r="AR81" s="69"/>
      <c r="AS81" s="2"/>
      <c r="AT81" s="2"/>
      <c r="AU81" s="2"/>
      <c r="AV81" s="2"/>
      <c r="AW81" s="2"/>
      <c r="AX81" s="2"/>
      <c r="AZ81" s="3"/>
      <c r="BA81" s="3"/>
      <c r="BB81" s="3"/>
      <c r="BC81" s="3"/>
      <c r="BD81" s="3"/>
      <c r="BE81" s="4"/>
      <c r="CG81" s="2"/>
      <c r="CH81" s="3"/>
      <c r="CI81" s="3"/>
      <c r="CJ81" s="3"/>
      <c r="CK81" s="3"/>
      <c r="CL81" s="3"/>
      <c r="CM81" s="3"/>
      <c r="CN81" s="3"/>
      <c r="CO81" s="3"/>
      <c r="CP81" s="3"/>
      <c r="CQ81" s="3"/>
      <c r="CR81" s="3"/>
      <c r="CS81" s="3"/>
      <c r="CT81" s="4"/>
    </row>
    <row r="82" spans="1:98" ht="10.5" customHeight="1" x14ac:dyDescent="0.15">
      <c r="A82" s="3"/>
      <c r="B82" s="3"/>
      <c r="C82" s="3"/>
      <c r="D82" s="3"/>
      <c r="AA82" s="20"/>
      <c r="AB82" s="20"/>
      <c r="AC82" s="2"/>
      <c r="AD82" s="2"/>
      <c r="AE82" s="2"/>
      <c r="AF82" s="104">
        <v>32051</v>
      </c>
      <c r="AG82" s="89">
        <v>310.82100000000003</v>
      </c>
      <c r="AH82" s="89"/>
      <c r="AI82" s="96"/>
      <c r="AJ82" s="112">
        <f t="shared" si="0"/>
        <v>832.81046564885503</v>
      </c>
      <c r="AK82" s="89"/>
      <c r="AL82" s="96"/>
      <c r="AM82" s="68"/>
      <c r="AN82" s="68"/>
      <c r="AO82" s="96"/>
      <c r="AP82" s="114">
        <f>AM84*AJ82/SUM(AJ82:AJ84)/(AJ82*10^3*10^3)</f>
        <v>6.0209126155170374</v>
      </c>
      <c r="AQ82" s="68"/>
      <c r="AR82" s="69"/>
      <c r="AS82" s="2"/>
      <c r="AT82" s="2"/>
      <c r="AU82" s="2"/>
      <c r="AV82" s="2"/>
      <c r="AW82" s="2"/>
      <c r="AX82" s="2"/>
      <c r="AZ82" s="3"/>
      <c r="BA82" s="3"/>
      <c r="BB82" s="3"/>
      <c r="BC82" s="3"/>
      <c r="BD82" s="3"/>
      <c r="BE82" s="4"/>
      <c r="CG82" s="2"/>
      <c r="CH82" s="3"/>
      <c r="CI82" s="3"/>
      <c r="CJ82" s="3"/>
      <c r="CK82" s="3"/>
      <c r="CL82" s="3"/>
      <c r="CM82" s="3"/>
      <c r="CN82" s="3"/>
      <c r="CO82" s="3"/>
      <c r="CP82" s="3"/>
      <c r="CQ82" s="3"/>
      <c r="CR82" s="3"/>
      <c r="CS82" s="3"/>
      <c r="CT82" s="4"/>
    </row>
    <row r="83" spans="1:98" ht="10.5" customHeight="1" x14ac:dyDescent="0.15">
      <c r="A83" s="3"/>
      <c r="B83" s="3"/>
      <c r="C83" s="3"/>
      <c r="D83" s="3"/>
      <c r="AA83" s="20"/>
      <c r="AB83" s="20"/>
      <c r="AC83" s="2"/>
      <c r="AD83" s="2"/>
      <c r="AE83" s="2"/>
      <c r="AF83" s="104">
        <v>32082</v>
      </c>
      <c r="AG83" s="89">
        <v>377.279</v>
      </c>
      <c r="AH83" s="89"/>
      <c r="AI83" s="96"/>
      <c r="AJ83" s="112">
        <f t="shared" si="0"/>
        <v>1010.8773206106871</v>
      </c>
      <c r="AK83" s="89"/>
      <c r="AL83" s="96"/>
      <c r="AM83" s="68"/>
      <c r="AN83" s="68"/>
      <c r="AO83" s="96"/>
      <c r="AP83" s="114">
        <f>AM84*AJ83/SUM(AJ82:AJ84)/(AJ83*10^3*10^3)</f>
        <v>6.0209126155170374</v>
      </c>
      <c r="AQ83" s="68"/>
      <c r="AR83" s="69"/>
      <c r="AS83" s="2"/>
      <c r="AT83" s="2"/>
      <c r="AU83" s="2"/>
      <c r="AV83" s="2"/>
      <c r="AW83" s="2"/>
      <c r="AX83" s="2"/>
      <c r="AZ83" s="3"/>
      <c r="BA83" s="3"/>
      <c r="BB83" s="3"/>
      <c r="BC83" s="3"/>
      <c r="BD83" s="3"/>
      <c r="BE83" s="4"/>
      <c r="CG83" s="2"/>
      <c r="CH83" s="3"/>
      <c r="CI83" s="3"/>
      <c r="CJ83" s="3"/>
      <c r="CK83" s="3"/>
      <c r="CL83" s="3"/>
      <c r="CM83" s="3"/>
      <c r="CN83" s="3"/>
      <c r="CO83" s="3"/>
      <c r="CP83" s="3"/>
      <c r="CQ83" s="3"/>
      <c r="CR83" s="3"/>
      <c r="CS83" s="3"/>
      <c r="CT83" s="4"/>
    </row>
    <row r="84" spans="1:98" ht="10.5" customHeight="1" x14ac:dyDescent="0.15">
      <c r="A84" s="3"/>
      <c r="B84" s="3"/>
      <c r="C84" s="3"/>
      <c r="D84" s="3"/>
      <c r="AA84" s="20"/>
      <c r="AB84" s="20"/>
      <c r="AC84" s="2"/>
      <c r="AD84" s="2"/>
      <c r="AE84" s="2"/>
      <c r="AF84" s="104">
        <v>32112</v>
      </c>
      <c r="AG84" s="89">
        <v>389.85700000000003</v>
      </c>
      <c r="AH84" s="89"/>
      <c r="AI84" s="96"/>
      <c r="AJ84" s="112">
        <f t="shared" si="0"/>
        <v>1044.578679389313</v>
      </c>
      <c r="AK84" s="89"/>
      <c r="AL84" s="96"/>
      <c r="AM84" s="68">
        <v>17390000000</v>
      </c>
      <c r="AN84" s="68"/>
      <c r="AO84" s="96"/>
      <c r="AP84" s="114">
        <f>AM84*AJ84/SUM(AJ82:AJ84)/(AJ84*10^3*10^3)</f>
        <v>6.0209126155170383</v>
      </c>
      <c r="AQ84" s="68"/>
      <c r="AR84" s="69"/>
      <c r="AS84" s="2"/>
      <c r="AT84" s="2"/>
      <c r="AU84" s="2"/>
      <c r="AV84" s="2"/>
      <c r="AW84" s="2"/>
      <c r="AX84" s="2"/>
      <c r="AZ84" s="3"/>
      <c r="BA84" s="3"/>
      <c r="BB84" s="3"/>
      <c r="BC84" s="3"/>
      <c r="BD84" s="3"/>
      <c r="BE84" s="4"/>
      <c r="CG84" s="2"/>
      <c r="CH84" s="3"/>
      <c r="CI84" s="3"/>
      <c r="CJ84" s="3"/>
      <c r="CK84" s="3"/>
      <c r="CL84" s="3"/>
      <c r="CM84" s="3"/>
      <c r="CN84" s="3"/>
      <c r="CO84" s="3"/>
      <c r="CP84" s="3"/>
      <c r="CQ84" s="3"/>
      <c r="CR84" s="3"/>
      <c r="CS84" s="3"/>
      <c r="CT84" s="4"/>
    </row>
    <row r="85" spans="1:98" ht="10.5" customHeight="1" x14ac:dyDescent="0.15">
      <c r="A85" s="3"/>
      <c r="B85" s="3"/>
      <c r="C85" s="3"/>
      <c r="D85" s="3"/>
      <c r="AA85" s="20"/>
      <c r="AB85" s="20"/>
      <c r="AC85" s="2"/>
      <c r="AD85" s="2"/>
      <c r="AE85" s="2"/>
      <c r="AF85" s="104">
        <v>32143</v>
      </c>
      <c r="AG85" s="89">
        <v>383.49400000000003</v>
      </c>
      <c r="AH85" s="89"/>
      <c r="AI85" s="96"/>
      <c r="AJ85" s="112">
        <f t="shared" si="0"/>
        <v>1027.5297251908398</v>
      </c>
      <c r="AK85" s="89"/>
      <c r="AL85" s="96"/>
      <c r="AM85" s="68"/>
      <c r="AN85" s="68"/>
      <c r="AO85" s="96"/>
      <c r="AP85" s="114">
        <f>AM87*AJ85/SUM(AJ85:AJ87)/(AJ85*10^3*10^3)</f>
        <v>12.165197213997661</v>
      </c>
      <c r="AQ85" s="68"/>
      <c r="AR85" s="69"/>
      <c r="AS85" s="2"/>
      <c r="AT85" s="2"/>
      <c r="AU85" s="2"/>
      <c r="AV85" s="2"/>
      <c r="AW85" s="2"/>
      <c r="AX85" s="2"/>
      <c r="AZ85" s="3"/>
      <c r="BA85" s="3"/>
      <c r="BB85" s="3"/>
      <c r="BC85" s="3"/>
      <c r="BD85" s="3"/>
      <c r="BE85" s="4"/>
      <c r="CG85" s="2"/>
      <c r="CH85" s="3"/>
      <c r="CI85" s="3"/>
      <c r="CJ85" s="3"/>
      <c r="CK85" s="3"/>
      <c r="CL85" s="3"/>
      <c r="CM85" s="3"/>
      <c r="CN85" s="3"/>
      <c r="CO85" s="3"/>
      <c r="CP85" s="3"/>
      <c r="CQ85" s="3"/>
      <c r="CR85" s="3"/>
      <c r="CS85" s="3"/>
      <c r="CT85" s="4"/>
    </row>
    <row r="86" spans="1:98" ht="10.5" customHeight="1" x14ac:dyDescent="0.15">
      <c r="A86" s="3"/>
      <c r="B86" s="3"/>
      <c r="C86" s="3"/>
      <c r="D86" s="3"/>
      <c r="AA86" s="20"/>
      <c r="AB86" s="20"/>
      <c r="AC86" s="2"/>
      <c r="AD86" s="2"/>
      <c r="AE86" s="2"/>
      <c r="AF86" s="104">
        <v>32174</v>
      </c>
      <c r="AG86" s="89">
        <v>364.70400000000001</v>
      </c>
      <c r="AH86" s="89"/>
      <c r="AI86" s="96"/>
      <c r="AJ86" s="112">
        <f t="shared" si="0"/>
        <v>977.18399999999997</v>
      </c>
      <c r="AK86" s="89"/>
      <c r="AL86" s="96"/>
      <c r="AM86" s="68"/>
      <c r="AN86" s="68"/>
      <c r="AO86" s="96"/>
      <c r="AP86" s="114">
        <f>AM87*AJ86/SUM(AJ85:AJ87)/(AJ86*10^3*10^3)</f>
        <v>12.165197213997661</v>
      </c>
      <c r="AQ86" s="68"/>
      <c r="AR86" s="69"/>
      <c r="AS86" s="2"/>
      <c r="AT86" s="2"/>
      <c r="AU86" s="2"/>
      <c r="AV86" s="2"/>
      <c r="AW86" s="2"/>
      <c r="AX86" s="2"/>
      <c r="AZ86" s="3"/>
      <c r="BA86" s="3"/>
      <c r="BB86" s="3"/>
      <c r="BC86" s="3"/>
      <c r="BD86" s="3"/>
      <c r="BE86" s="4"/>
      <c r="CG86" s="2"/>
      <c r="CH86" s="3"/>
      <c r="CI86" s="3"/>
      <c r="CJ86" s="3"/>
      <c r="CK86" s="3"/>
      <c r="CL86" s="3"/>
      <c r="CM86" s="3"/>
      <c r="CN86" s="3"/>
      <c r="CO86" s="3"/>
      <c r="CP86" s="3"/>
      <c r="CQ86" s="3"/>
      <c r="CR86" s="3"/>
      <c r="CS86" s="3"/>
      <c r="CT86" s="4"/>
    </row>
    <row r="87" spans="1:98" ht="10.5" customHeight="1" x14ac:dyDescent="0.15">
      <c r="A87" s="3"/>
      <c r="B87" s="3"/>
      <c r="C87" s="3"/>
      <c r="D87" s="3"/>
      <c r="AA87" s="20"/>
      <c r="AB87" s="20"/>
      <c r="AC87" s="2"/>
      <c r="AD87" s="2"/>
      <c r="AE87" s="2"/>
      <c r="AF87" s="104">
        <v>32203</v>
      </c>
      <c r="AG87" s="89">
        <v>386.935</v>
      </c>
      <c r="AH87" s="89"/>
      <c r="AI87" s="96"/>
      <c r="AJ87" s="112">
        <f t="shared" si="0"/>
        <v>1036.749503816794</v>
      </c>
      <c r="AK87" s="89"/>
      <c r="AL87" s="96"/>
      <c r="AM87" s="68">
        <v>37000000000</v>
      </c>
      <c r="AN87" s="68"/>
      <c r="AO87" s="96"/>
      <c r="AP87" s="114">
        <f>AM87*AJ87/SUM(AJ85:AJ87)/(AJ87*10^3*10^3)</f>
        <v>12.165197213997661</v>
      </c>
      <c r="AQ87" s="68"/>
      <c r="AR87" s="69"/>
      <c r="AS87" s="2"/>
      <c r="AT87" s="2"/>
      <c r="AU87" s="2"/>
      <c r="AV87" s="2"/>
      <c r="AW87" s="2"/>
      <c r="AX87" s="2"/>
      <c r="AZ87" s="3"/>
      <c r="BA87" s="3"/>
      <c r="BB87" s="3"/>
      <c r="BC87" s="3"/>
      <c r="BD87" s="3"/>
      <c r="BE87" s="4"/>
      <c r="CG87" s="2"/>
      <c r="CH87" s="3"/>
      <c r="CI87" s="3"/>
      <c r="CJ87" s="3"/>
      <c r="CK87" s="3"/>
      <c r="CL87" s="3"/>
      <c r="CM87" s="3"/>
      <c r="CN87" s="3"/>
      <c r="CO87" s="3"/>
      <c r="CP87" s="3"/>
      <c r="CQ87" s="3"/>
      <c r="CR87" s="3"/>
      <c r="CS87" s="3"/>
      <c r="CT87" s="4"/>
    </row>
    <row r="88" spans="1:98" ht="10.5" customHeight="1" x14ac:dyDescent="0.15">
      <c r="A88" s="3"/>
      <c r="B88" s="20"/>
      <c r="C88" s="20"/>
      <c r="D88" s="20"/>
      <c r="E88" s="20"/>
      <c r="F88" s="20"/>
      <c r="G88" s="20"/>
      <c r="H88" s="20"/>
      <c r="I88" s="20"/>
      <c r="J88" s="20"/>
      <c r="K88" s="20"/>
      <c r="L88" s="20"/>
      <c r="M88" s="20"/>
      <c r="N88" s="20"/>
      <c r="O88" s="20"/>
      <c r="P88" s="20"/>
      <c r="Q88" s="21"/>
      <c r="R88" s="21"/>
      <c r="S88" s="21"/>
      <c r="T88" s="21"/>
      <c r="U88" s="21"/>
      <c r="V88" s="21"/>
      <c r="W88" s="21"/>
      <c r="X88" s="21"/>
      <c r="Y88" s="21"/>
      <c r="Z88" s="21"/>
      <c r="AA88" s="20"/>
      <c r="AB88" s="20"/>
      <c r="AC88" s="2"/>
      <c r="AD88" s="2"/>
      <c r="AE88" s="2"/>
      <c r="AF88" s="105">
        <v>32234</v>
      </c>
      <c r="AG88" s="89">
        <v>350.36</v>
      </c>
      <c r="AH88" s="89"/>
      <c r="AI88" s="96"/>
      <c r="AJ88" s="112">
        <f t="shared" si="0"/>
        <v>938.75083969465652</v>
      </c>
      <c r="AK88" s="89"/>
      <c r="AL88" s="96"/>
      <c r="AM88" s="68"/>
      <c r="AN88" s="68"/>
      <c r="AO88" s="96"/>
      <c r="AP88" s="115">
        <f>AM90*AJ88/SUM(AJ88:AJ90)/(AJ88*10^3*10^3)</f>
        <v>29.826870790451107</v>
      </c>
      <c r="AQ88" s="68"/>
      <c r="AR88" s="69"/>
      <c r="AS88" s="2"/>
      <c r="AT88" s="2"/>
      <c r="AU88" s="2"/>
      <c r="AV88" s="2"/>
      <c r="AW88" s="2"/>
      <c r="AX88" s="2"/>
      <c r="AZ88" s="3"/>
      <c r="BA88" s="3"/>
      <c r="BB88" s="3"/>
      <c r="BC88" s="3"/>
      <c r="BD88" s="3"/>
      <c r="BE88" s="4"/>
      <c r="CG88" s="2"/>
      <c r="CH88" s="3"/>
      <c r="CI88" s="3"/>
      <c r="CJ88" s="3"/>
      <c r="CK88" s="3"/>
      <c r="CL88" s="3"/>
      <c r="CM88" s="3"/>
      <c r="CN88" s="3"/>
      <c r="CO88" s="3"/>
      <c r="CP88" s="3"/>
      <c r="CQ88" s="3"/>
      <c r="CR88" s="3"/>
      <c r="CS88" s="3"/>
      <c r="CT88" s="4"/>
    </row>
    <row r="89" spans="1:98" ht="10.5" customHeight="1" x14ac:dyDescent="0.15">
      <c r="A89" s="3"/>
      <c r="B89" s="20"/>
      <c r="C89" s="20"/>
      <c r="D89" s="20"/>
      <c r="E89" s="20"/>
      <c r="F89" s="20"/>
      <c r="G89" s="20"/>
      <c r="H89" s="20"/>
      <c r="I89" s="20"/>
      <c r="J89" s="20"/>
      <c r="K89" s="20"/>
      <c r="L89" s="20"/>
      <c r="M89" s="20"/>
      <c r="N89" s="20"/>
      <c r="O89" s="20"/>
      <c r="P89" s="20"/>
      <c r="Q89" s="21"/>
      <c r="R89" s="21"/>
      <c r="S89" s="21"/>
      <c r="T89" s="21"/>
      <c r="U89" s="21"/>
      <c r="V89" s="21"/>
      <c r="W89" s="21"/>
      <c r="X89" s="21"/>
      <c r="Y89" s="21"/>
      <c r="Z89" s="21"/>
      <c r="AA89" s="20"/>
      <c r="AB89" s="20"/>
      <c r="AC89" s="2"/>
      <c r="AD89" s="2"/>
      <c r="AE89" s="2"/>
      <c r="AF89" s="105">
        <v>32264</v>
      </c>
      <c r="AG89" s="89">
        <v>0</v>
      </c>
      <c r="AH89" s="89"/>
      <c r="AI89" s="96"/>
      <c r="AJ89" s="112">
        <f t="shared" si="0"/>
        <v>0</v>
      </c>
      <c r="AK89" s="89"/>
      <c r="AL89" s="96"/>
      <c r="AM89" s="68"/>
      <c r="AN89" s="68"/>
      <c r="AO89" s="96"/>
      <c r="AP89" s="115" t="e">
        <f>AM90*AJ89/SUM(AJ88:AJ90)/(AJ89*10^3*10^3)</f>
        <v>#DIV/0!</v>
      </c>
      <c r="AQ89" s="68"/>
      <c r="AR89" s="69"/>
      <c r="AS89" s="2"/>
      <c r="AT89" s="2"/>
      <c r="AU89" s="2"/>
      <c r="AV89" s="2"/>
      <c r="AW89" s="2"/>
      <c r="AX89" s="2"/>
      <c r="AZ89" s="3"/>
      <c r="BA89" s="3"/>
      <c r="BB89" s="3"/>
      <c r="BC89" s="3"/>
      <c r="BD89" s="3"/>
      <c r="BE89" s="4"/>
      <c r="CG89" s="2"/>
      <c r="CH89" s="3"/>
      <c r="CI89" s="3"/>
      <c r="CJ89" s="3"/>
      <c r="CK89" s="3"/>
      <c r="CL89" s="3"/>
      <c r="CM89" s="3"/>
      <c r="CN89" s="3"/>
      <c r="CO89" s="3"/>
      <c r="CP89" s="3"/>
      <c r="CQ89" s="3"/>
      <c r="CR89" s="3"/>
      <c r="CS89" s="3"/>
      <c r="CT89" s="4"/>
    </row>
    <row r="90" spans="1:98" ht="10.5" customHeight="1" x14ac:dyDescent="0.15">
      <c r="A90" s="3"/>
      <c r="B90" s="20"/>
      <c r="C90" s="20"/>
      <c r="D90" s="20"/>
      <c r="E90" s="20"/>
      <c r="F90" s="20"/>
      <c r="G90" s="20"/>
      <c r="H90" s="20"/>
      <c r="I90" s="20"/>
      <c r="J90" s="20"/>
      <c r="K90" s="20"/>
      <c r="L90" s="20"/>
      <c r="M90" s="20"/>
      <c r="N90" s="20"/>
      <c r="O90" s="20"/>
      <c r="P90" s="20"/>
      <c r="Q90" s="21"/>
      <c r="R90" s="21"/>
      <c r="S90" s="21"/>
      <c r="T90" s="21"/>
      <c r="U90" s="21"/>
      <c r="V90" s="21"/>
      <c r="W90" s="21"/>
      <c r="X90" s="21"/>
      <c r="Y90" s="21"/>
      <c r="Z90" s="21"/>
      <c r="AA90" s="20"/>
      <c r="AB90" s="20"/>
      <c r="AC90" s="2"/>
      <c r="AD90" s="2"/>
      <c r="AE90" s="2"/>
      <c r="AF90" s="105">
        <v>32295</v>
      </c>
      <c r="AG90" s="89">
        <v>0</v>
      </c>
      <c r="AH90" s="89"/>
      <c r="AI90" s="96"/>
      <c r="AJ90" s="112">
        <f t="shared" si="0"/>
        <v>0</v>
      </c>
      <c r="AK90" s="89"/>
      <c r="AL90" s="96"/>
      <c r="AM90" s="68">
        <v>28000000000</v>
      </c>
      <c r="AN90" s="136"/>
      <c r="AO90" s="96"/>
      <c r="AP90" s="115" t="e">
        <f>AM90*AJ90/SUM(AJ88:AJ90)/(AJ90*10^3*10^3)</f>
        <v>#DIV/0!</v>
      </c>
      <c r="AQ90" s="223"/>
      <c r="AR90" s="69"/>
      <c r="AS90" s="2"/>
      <c r="AT90" s="2"/>
      <c r="AU90" s="2"/>
      <c r="AV90" s="2"/>
      <c r="AW90" s="2"/>
      <c r="AX90" s="2"/>
      <c r="AZ90" s="3"/>
      <c r="BA90" s="3"/>
      <c r="BB90" s="3"/>
      <c r="BC90" s="3"/>
      <c r="BD90" s="3"/>
      <c r="BE90" s="4"/>
      <c r="CG90" s="2"/>
      <c r="CH90" s="3"/>
      <c r="CI90" s="3"/>
      <c r="CJ90" s="3"/>
      <c r="CK90" s="3"/>
      <c r="CL90" s="3"/>
      <c r="CM90" s="3"/>
      <c r="CN90" s="3"/>
      <c r="CO90" s="3"/>
      <c r="CP90" s="3"/>
      <c r="CQ90" s="3"/>
      <c r="CR90" s="3"/>
      <c r="CS90" s="3"/>
      <c r="CT90" s="4"/>
    </row>
    <row r="91" spans="1:98" ht="10.5" customHeight="1" x14ac:dyDescent="0.15">
      <c r="A91" s="3"/>
      <c r="B91" s="20"/>
      <c r="C91" s="20"/>
      <c r="D91" s="20"/>
      <c r="E91" s="20"/>
      <c r="F91" s="20"/>
      <c r="G91" s="20"/>
      <c r="H91" s="20"/>
      <c r="I91" s="20"/>
      <c r="J91" s="20"/>
      <c r="K91" s="20"/>
      <c r="L91" s="20"/>
      <c r="M91" s="20"/>
      <c r="N91" s="20"/>
      <c r="O91" s="20"/>
      <c r="P91" s="20"/>
      <c r="Q91" s="21"/>
      <c r="R91" s="21"/>
      <c r="S91" s="21"/>
      <c r="T91" s="21"/>
      <c r="U91" s="21"/>
      <c r="V91" s="21"/>
      <c r="W91" s="21"/>
      <c r="X91" s="21"/>
      <c r="Y91" s="21"/>
      <c r="Z91" s="21"/>
      <c r="AA91" s="20"/>
      <c r="AB91" s="20"/>
      <c r="AC91" s="2"/>
      <c r="AD91" s="2"/>
      <c r="AE91" s="2"/>
      <c r="AF91" s="105">
        <v>32325</v>
      </c>
      <c r="AG91" s="89">
        <v>199.06200000000001</v>
      </c>
      <c r="AH91" s="89"/>
      <c r="AI91" s="96"/>
      <c r="AJ91" s="112">
        <f t="shared" si="0"/>
        <v>533.36459541984743</v>
      </c>
      <c r="AK91" s="89"/>
      <c r="AL91" s="96"/>
      <c r="AM91" s="68"/>
      <c r="AN91" s="136"/>
      <c r="AO91" s="96"/>
      <c r="AP91" s="115">
        <f>AM93*AJ91/SUM(AJ91:AJ93)/(AJ91*10^3*10^3)</f>
        <v>3.5923657248042802</v>
      </c>
      <c r="AQ91" s="223"/>
      <c r="AR91" s="69"/>
      <c r="AS91" s="2"/>
      <c r="AT91" s="2"/>
      <c r="AU91" s="2"/>
      <c r="AV91" s="2"/>
      <c r="AW91" s="2"/>
      <c r="AX91" s="2"/>
      <c r="AZ91" s="3"/>
      <c r="BA91" s="3"/>
      <c r="BB91" s="3"/>
      <c r="BC91" s="3"/>
      <c r="BD91" s="3"/>
      <c r="BE91" s="4"/>
      <c r="CG91" s="2"/>
      <c r="CH91" s="3"/>
      <c r="CI91" s="3"/>
      <c r="CJ91" s="3"/>
      <c r="CK91" s="3"/>
      <c r="CL91" s="3"/>
      <c r="CM91" s="3"/>
      <c r="CN91" s="3"/>
      <c r="CO91" s="3"/>
      <c r="CP91" s="3"/>
      <c r="CQ91" s="3"/>
      <c r="CR91" s="3"/>
      <c r="CS91" s="3"/>
      <c r="CT91" s="4"/>
    </row>
    <row r="92" spans="1:98" ht="10.5" customHeight="1" x14ac:dyDescent="0.15">
      <c r="A92" s="3"/>
      <c r="B92" s="20"/>
      <c r="C92" s="20"/>
      <c r="D92" s="20"/>
      <c r="E92" s="20"/>
      <c r="F92" s="20"/>
      <c r="G92" s="20"/>
      <c r="H92" s="20"/>
      <c r="I92" s="20"/>
      <c r="J92" s="20"/>
      <c r="K92" s="20"/>
      <c r="L92" s="20"/>
      <c r="M92" s="20"/>
      <c r="N92" s="20"/>
      <c r="O92" s="20"/>
      <c r="P92" s="20"/>
      <c r="Q92" s="21"/>
      <c r="R92" s="21"/>
      <c r="S92" s="21"/>
      <c r="T92" s="21"/>
      <c r="U92" s="21"/>
      <c r="V92" s="21"/>
      <c r="W92" s="21"/>
      <c r="X92" s="21"/>
      <c r="Y92" s="21"/>
      <c r="Z92" s="21"/>
      <c r="AA92" s="20"/>
      <c r="AB92" s="20"/>
      <c r="AC92" s="2"/>
      <c r="AD92" s="2"/>
      <c r="AE92" s="2"/>
      <c r="AF92" s="105">
        <v>32356</v>
      </c>
      <c r="AG92" s="89">
        <v>389.85599999999999</v>
      </c>
      <c r="AH92" s="89"/>
      <c r="AI92" s="96"/>
      <c r="AJ92" s="112">
        <f t="shared" si="0"/>
        <v>1044.576</v>
      </c>
      <c r="AK92" s="89"/>
      <c r="AL92" s="96"/>
      <c r="AM92" s="68"/>
      <c r="AN92" s="136"/>
      <c r="AO92" s="96"/>
      <c r="AP92" s="115">
        <f>AM93*AJ92/SUM(AJ91:AJ93)/(AJ92*10^3*10^3)</f>
        <v>3.5923657248042802</v>
      </c>
      <c r="AQ92" s="223"/>
      <c r="AR92" s="69"/>
      <c r="AS92" s="2"/>
      <c r="AT92" s="2"/>
      <c r="AU92" s="2"/>
      <c r="AV92" s="2"/>
      <c r="AW92" s="2"/>
      <c r="AX92" s="2"/>
      <c r="AZ92" s="3"/>
      <c r="BA92" s="3"/>
      <c r="BB92" s="3"/>
      <c r="BC92" s="3"/>
      <c r="BD92" s="3"/>
      <c r="BE92" s="4"/>
      <c r="CG92" s="2"/>
      <c r="CH92" s="3"/>
      <c r="CI92" s="3"/>
      <c r="CJ92" s="3"/>
      <c r="CK92" s="3"/>
      <c r="CL92" s="3"/>
      <c r="CM92" s="3"/>
      <c r="CN92" s="3"/>
      <c r="CO92" s="3"/>
      <c r="CP92" s="3"/>
      <c r="CQ92" s="3"/>
      <c r="CR92" s="3"/>
      <c r="CS92" s="3"/>
      <c r="CT92" s="4"/>
    </row>
    <row r="93" spans="1:98" ht="10.5" customHeight="1" x14ac:dyDescent="0.15">
      <c r="A93" s="3"/>
      <c r="B93" s="20"/>
      <c r="C93" s="20"/>
      <c r="D93" s="20"/>
      <c r="E93" s="20"/>
      <c r="F93" s="20"/>
      <c r="G93" s="20"/>
      <c r="H93" s="20"/>
      <c r="I93" s="20"/>
      <c r="J93" s="20"/>
      <c r="K93" s="20"/>
      <c r="L93" s="20"/>
      <c r="M93" s="20"/>
      <c r="N93" s="20"/>
      <c r="O93" s="20"/>
      <c r="P93" s="20"/>
      <c r="Q93" s="21"/>
      <c r="R93" s="21"/>
      <c r="S93" s="21"/>
      <c r="T93" s="21"/>
      <c r="U93" s="21"/>
      <c r="V93" s="21"/>
      <c r="W93" s="21"/>
      <c r="X93" s="21"/>
      <c r="Y93" s="21"/>
      <c r="Z93" s="21"/>
      <c r="AA93" s="20"/>
      <c r="AB93" s="20"/>
      <c r="AC93" s="2"/>
      <c r="AD93" s="2"/>
      <c r="AE93" s="2"/>
      <c r="AF93" s="105">
        <v>32387</v>
      </c>
      <c r="AG93" s="89">
        <v>377.28100000000001</v>
      </c>
      <c r="AH93" s="89"/>
      <c r="AI93" s="96"/>
      <c r="AJ93" s="112">
        <f t="shared" si="0"/>
        <v>1010.8826793893131</v>
      </c>
      <c r="AK93" s="89"/>
      <c r="AL93" s="96"/>
      <c r="AM93" s="68">
        <v>9300000000</v>
      </c>
      <c r="AN93" s="68"/>
      <c r="AO93" s="96"/>
      <c r="AP93" s="115">
        <f>AM93*AJ93/SUM(AJ91:AJ93)/(AJ93*10^3*10^3)</f>
        <v>3.5923657248042797</v>
      </c>
      <c r="AQ93" s="68"/>
      <c r="AR93" s="69"/>
      <c r="AS93" s="2"/>
      <c r="AT93" s="2"/>
      <c r="AU93" s="2"/>
      <c r="AV93" s="2"/>
      <c r="AW93" s="2"/>
      <c r="AX93" s="2"/>
      <c r="AZ93" s="3"/>
      <c r="BA93" s="3"/>
      <c r="BB93" s="3"/>
      <c r="BC93" s="3"/>
      <c r="BD93" s="3"/>
      <c r="BE93" s="4"/>
      <c r="CG93" s="2"/>
      <c r="CH93" s="3"/>
      <c r="CI93" s="3"/>
      <c r="CJ93" s="3"/>
      <c r="CK93" s="3"/>
      <c r="CL93" s="3"/>
      <c r="CM93" s="3"/>
      <c r="CN93" s="3"/>
      <c r="CO93" s="3"/>
      <c r="CP93" s="3"/>
      <c r="CQ93" s="3"/>
      <c r="CR93" s="3"/>
      <c r="CS93" s="3"/>
      <c r="CT93" s="4"/>
    </row>
    <row r="94" spans="1:98" ht="10.5" customHeight="1" x14ac:dyDescent="0.15">
      <c r="A94" s="3"/>
      <c r="B94" s="20"/>
      <c r="C94" s="20"/>
      <c r="D94" s="20"/>
      <c r="E94" s="20"/>
      <c r="F94" s="20"/>
      <c r="G94" s="20"/>
      <c r="H94" s="20"/>
      <c r="I94" s="20"/>
      <c r="J94" s="20"/>
      <c r="K94" s="20"/>
      <c r="L94" s="20"/>
      <c r="M94" s="20"/>
      <c r="N94" s="20"/>
      <c r="O94" s="20"/>
      <c r="P94" s="20"/>
      <c r="Q94" s="21"/>
      <c r="R94" s="21"/>
      <c r="S94" s="21"/>
      <c r="T94" s="21"/>
      <c r="U94" s="21"/>
      <c r="V94" s="21"/>
      <c r="W94" s="21"/>
      <c r="X94" s="21"/>
      <c r="Y94" s="21"/>
      <c r="Z94" s="21"/>
      <c r="AA94" s="20"/>
      <c r="AB94" s="20"/>
      <c r="AC94" s="2"/>
      <c r="AD94" s="2"/>
      <c r="AE94" s="2"/>
      <c r="AF94" s="105">
        <v>32417</v>
      </c>
      <c r="AG94" s="89">
        <v>389.85599999999999</v>
      </c>
      <c r="AH94" s="89"/>
      <c r="AI94" s="96"/>
      <c r="AJ94" s="112">
        <f t="shared" si="0"/>
        <v>1044.576</v>
      </c>
      <c r="AK94" s="89"/>
      <c r="AL94" s="96"/>
      <c r="AM94" s="68"/>
      <c r="AN94" s="68"/>
      <c r="AO94" s="96"/>
      <c r="AP94" s="115">
        <f>AM96*AJ94/SUM(AJ94:AJ96)/(AJ94*10^3*10^3)</f>
        <v>4.8499231990596918</v>
      </c>
      <c r="AQ94" s="68"/>
      <c r="AR94" s="69"/>
      <c r="AS94" s="2"/>
      <c r="AT94" s="2"/>
      <c r="AU94" s="2"/>
      <c r="AV94" s="2"/>
      <c r="AW94" s="2"/>
      <c r="AX94" s="2"/>
      <c r="AZ94" s="3"/>
      <c r="BA94" s="3"/>
      <c r="BB94" s="3"/>
      <c r="BC94" s="3"/>
      <c r="BD94" s="3"/>
      <c r="BE94" s="4"/>
      <c r="CG94" s="2"/>
      <c r="CH94" s="3"/>
      <c r="CI94" s="3"/>
      <c r="CJ94" s="3"/>
      <c r="CK94" s="3"/>
      <c r="CL94" s="3"/>
      <c r="CM94" s="3"/>
      <c r="CN94" s="3"/>
      <c r="CO94" s="3"/>
      <c r="CP94" s="3"/>
      <c r="CQ94" s="3"/>
      <c r="CR94" s="3"/>
      <c r="CS94" s="3"/>
      <c r="CT94" s="4"/>
    </row>
    <row r="95" spans="1:98" ht="10.5" customHeight="1" x14ac:dyDescent="0.15">
      <c r="A95" s="3"/>
      <c r="B95" s="20"/>
      <c r="C95" s="20"/>
      <c r="D95" s="20"/>
      <c r="E95" s="20"/>
      <c r="F95" s="20"/>
      <c r="G95" s="20"/>
      <c r="H95" s="20"/>
      <c r="I95" s="20"/>
      <c r="J95" s="20"/>
      <c r="K95" s="20"/>
      <c r="L95" s="20"/>
      <c r="M95" s="20"/>
      <c r="N95" s="20"/>
      <c r="O95" s="20"/>
      <c r="P95" s="20"/>
      <c r="Q95" s="21"/>
      <c r="R95" s="21"/>
      <c r="S95" s="21"/>
      <c r="T95" s="21"/>
      <c r="U95" s="21"/>
      <c r="V95" s="21"/>
      <c r="W95" s="21"/>
      <c r="X95" s="21"/>
      <c r="Y95" s="21"/>
      <c r="Z95" s="21"/>
      <c r="AA95" s="20"/>
      <c r="AB95" s="20"/>
      <c r="AC95" s="2"/>
      <c r="AD95" s="2"/>
      <c r="AE95" s="2"/>
      <c r="AF95" s="105">
        <v>32448</v>
      </c>
      <c r="AG95" s="89">
        <v>377.279</v>
      </c>
      <c r="AH95" s="89"/>
      <c r="AI95" s="96"/>
      <c r="AJ95" s="112">
        <f t="shared" si="0"/>
        <v>1010.8773206106871</v>
      </c>
      <c r="AK95" s="89"/>
      <c r="AL95" s="96"/>
      <c r="AM95" s="68"/>
      <c r="AN95" s="68"/>
      <c r="AO95" s="96"/>
      <c r="AP95" s="115">
        <f>AM96*AJ95/SUM(AJ94:AJ96)/(AJ95*10^3*10^3)</f>
        <v>4.8499231990596918</v>
      </c>
      <c r="AQ95" s="68"/>
      <c r="AR95" s="69"/>
      <c r="AS95" s="2"/>
      <c r="AT95" s="2"/>
      <c r="AU95" s="2"/>
      <c r="AV95" s="2"/>
      <c r="AW95" s="2"/>
      <c r="AX95" s="2"/>
      <c r="AZ95" s="3"/>
      <c r="BA95" s="3"/>
      <c r="BB95" s="3"/>
      <c r="BC95" s="3"/>
      <c r="BD95" s="3"/>
      <c r="BE95" s="4"/>
      <c r="CG95" s="2"/>
      <c r="CH95" s="3"/>
      <c r="CI95" s="3"/>
      <c r="CJ95" s="3"/>
      <c r="CK95" s="3"/>
      <c r="CL95" s="3"/>
      <c r="CM95" s="3"/>
      <c r="CN95" s="3"/>
      <c r="CO95" s="3"/>
      <c r="CP95" s="3"/>
      <c r="CQ95" s="3"/>
      <c r="CR95" s="3"/>
      <c r="CS95" s="3"/>
      <c r="CT95" s="4"/>
    </row>
    <row r="96" spans="1:98" ht="10.5" customHeight="1" x14ac:dyDescent="0.15">
      <c r="A96" s="3"/>
      <c r="B96" s="20"/>
      <c r="C96" s="20"/>
      <c r="D96" s="20"/>
      <c r="E96" s="20"/>
      <c r="F96" s="20"/>
      <c r="G96" s="20"/>
      <c r="H96" s="20"/>
      <c r="I96" s="20"/>
      <c r="J96" s="20"/>
      <c r="K96" s="20"/>
      <c r="L96" s="20"/>
      <c r="M96" s="20"/>
      <c r="N96" s="20"/>
      <c r="O96" s="20"/>
      <c r="P96" s="20"/>
      <c r="Q96" s="21"/>
      <c r="R96" s="21"/>
      <c r="S96" s="21"/>
      <c r="T96" s="21"/>
      <c r="U96" s="21"/>
      <c r="V96" s="21"/>
      <c r="W96" s="21"/>
      <c r="X96" s="21"/>
      <c r="Y96" s="21"/>
      <c r="Z96" s="21"/>
      <c r="AA96" s="20"/>
      <c r="AB96" s="20"/>
      <c r="AC96" s="2"/>
      <c r="AD96" s="2"/>
      <c r="AE96" s="2"/>
      <c r="AF96" s="105">
        <v>32478</v>
      </c>
      <c r="AG96" s="89">
        <v>387.17</v>
      </c>
      <c r="AH96" s="89"/>
      <c r="AI96" s="96"/>
      <c r="AJ96" s="112">
        <f t="shared" si="0"/>
        <v>1037.3791603053437</v>
      </c>
      <c r="AK96" s="89"/>
      <c r="AL96" s="96"/>
      <c r="AM96" s="68">
        <v>15000000000</v>
      </c>
      <c r="AN96" s="68"/>
      <c r="AO96" s="96"/>
      <c r="AP96" s="115">
        <f>AM96*AJ96/SUM(AJ94:AJ96)/(AJ96*10^3*10^3)</f>
        <v>4.8499231990596927</v>
      </c>
      <c r="AQ96" s="68"/>
      <c r="AR96" s="69"/>
      <c r="AS96" s="2"/>
      <c r="AT96" s="2"/>
      <c r="AU96" s="2"/>
      <c r="AV96" s="2"/>
      <c r="AW96" s="2"/>
      <c r="AX96" s="2"/>
      <c r="AZ96" s="3"/>
      <c r="BA96" s="3"/>
      <c r="BB96" s="3"/>
      <c r="BC96" s="3"/>
      <c r="BD96" s="3"/>
      <c r="BE96" s="4"/>
      <c r="CG96" s="2"/>
      <c r="CH96" s="3"/>
      <c r="CI96" s="3"/>
      <c r="CJ96" s="3"/>
      <c r="CK96" s="3"/>
      <c r="CL96" s="3"/>
      <c r="CM96" s="3"/>
      <c r="CN96" s="3"/>
      <c r="CO96" s="3"/>
      <c r="CP96" s="3"/>
      <c r="CQ96" s="3"/>
      <c r="CR96" s="3"/>
      <c r="CS96" s="3"/>
      <c r="CT96" s="4"/>
    </row>
    <row r="97" spans="1:98" ht="10.5" customHeight="1" x14ac:dyDescent="0.15">
      <c r="A97" s="3"/>
      <c r="B97" s="20"/>
      <c r="C97" s="20"/>
      <c r="D97" s="20"/>
      <c r="E97" s="20"/>
      <c r="F97" s="20"/>
      <c r="G97" s="20"/>
      <c r="H97" s="20"/>
      <c r="I97" s="20"/>
      <c r="J97" s="20"/>
      <c r="K97" s="20"/>
      <c r="L97" s="20"/>
      <c r="M97" s="20"/>
      <c r="N97" s="20"/>
      <c r="O97" s="20"/>
      <c r="P97" s="20"/>
      <c r="Q97" s="21"/>
      <c r="R97" s="21"/>
      <c r="S97" s="21"/>
      <c r="T97" s="21"/>
      <c r="U97" s="21"/>
      <c r="V97" s="21"/>
      <c r="W97" s="21"/>
      <c r="X97" s="21"/>
      <c r="Y97" s="21"/>
      <c r="Z97" s="21"/>
      <c r="AA97" s="20"/>
      <c r="AB97" s="20"/>
      <c r="AC97" s="2"/>
      <c r="AD97" s="2"/>
      <c r="AE97" s="2"/>
      <c r="AF97" s="105">
        <v>32509</v>
      </c>
      <c r="AG97" s="89">
        <v>389.85500000000002</v>
      </c>
      <c r="AH97" s="89"/>
      <c r="AI97" s="96"/>
      <c r="AJ97" s="112">
        <f t="shared" si="0"/>
        <v>1044.5733206106872</v>
      </c>
      <c r="AK97" s="89"/>
      <c r="AL97" s="96"/>
      <c r="AM97" s="68"/>
      <c r="AN97" s="68"/>
      <c r="AO97" s="96"/>
      <c r="AP97" s="115">
        <f>AM99*AJ97/SUM(AJ97:AJ99)/(AJ97*10^3*10^3)</f>
        <v>18.465775521328474</v>
      </c>
      <c r="AQ97" s="68"/>
      <c r="AR97" s="69"/>
      <c r="AS97" s="2"/>
      <c r="AT97" s="2"/>
      <c r="AU97" s="2"/>
      <c r="AV97" s="2"/>
      <c r="AW97" s="2"/>
      <c r="AX97" s="2"/>
      <c r="AZ97" s="3"/>
      <c r="BA97" s="3"/>
      <c r="BB97" s="3"/>
      <c r="BC97" s="3"/>
      <c r="BD97" s="3"/>
      <c r="BE97" s="4"/>
      <c r="CG97" s="2"/>
      <c r="CH97" s="3"/>
      <c r="CI97" s="3"/>
      <c r="CJ97" s="3"/>
      <c r="CK97" s="3"/>
      <c r="CL97" s="3"/>
      <c r="CM97" s="3"/>
      <c r="CN97" s="3"/>
      <c r="CO97" s="3"/>
      <c r="CP97" s="3"/>
      <c r="CQ97" s="3"/>
      <c r="CR97" s="3"/>
      <c r="CS97" s="3"/>
      <c r="CT97" s="4"/>
    </row>
    <row r="98" spans="1:98" ht="10.5" customHeight="1" x14ac:dyDescent="0.15">
      <c r="A98" s="3"/>
      <c r="B98" s="20"/>
      <c r="C98" s="20"/>
      <c r="D98" s="20"/>
      <c r="E98" s="20"/>
      <c r="F98" s="20"/>
      <c r="G98" s="20"/>
      <c r="H98" s="20"/>
      <c r="I98" s="20"/>
      <c r="J98" s="20"/>
      <c r="K98" s="20"/>
      <c r="L98" s="20"/>
      <c r="M98" s="20"/>
      <c r="N98" s="20"/>
      <c r="O98" s="20"/>
      <c r="P98" s="20"/>
      <c r="Q98" s="21"/>
      <c r="R98" s="21"/>
      <c r="S98" s="21"/>
      <c r="T98" s="21"/>
      <c r="U98" s="21"/>
      <c r="V98" s="21"/>
      <c r="W98" s="21"/>
      <c r="X98" s="21"/>
      <c r="Y98" s="21"/>
      <c r="Z98" s="21"/>
      <c r="AA98" s="20"/>
      <c r="AB98" s="20"/>
      <c r="AC98" s="2"/>
      <c r="AD98" s="2"/>
      <c r="AE98" s="2"/>
      <c r="AF98" s="105">
        <v>32540</v>
      </c>
      <c r="AG98" s="89">
        <v>352.12799999999999</v>
      </c>
      <c r="AH98" s="89"/>
      <c r="AI98" s="96"/>
      <c r="AJ98" s="112">
        <f t="shared" si="0"/>
        <v>943.48800000000006</v>
      </c>
      <c r="AK98" s="89"/>
      <c r="AL98" s="96"/>
      <c r="AM98" s="68"/>
      <c r="AN98" s="68"/>
      <c r="AO98" s="96"/>
      <c r="AP98" s="115">
        <f>AM99*AJ98/SUM(AJ97:AJ99)/(AJ98*10^3*10^3)</f>
        <v>18.465775521328471</v>
      </c>
      <c r="AQ98" s="68"/>
      <c r="AR98" s="69"/>
      <c r="AS98" s="2"/>
      <c r="AT98" s="2"/>
      <c r="AU98" s="2"/>
      <c r="AV98" s="2"/>
      <c r="AW98" s="2"/>
      <c r="AX98" s="2"/>
      <c r="AZ98" s="3"/>
      <c r="BA98" s="3"/>
      <c r="BB98" s="3"/>
      <c r="BC98" s="3"/>
      <c r="BD98" s="3"/>
      <c r="BE98" s="4"/>
      <c r="CG98" s="2"/>
      <c r="CH98" s="3"/>
      <c r="CI98" s="3"/>
      <c r="CJ98" s="3"/>
      <c r="CK98" s="3"/>
      <c r="CL98" s="3"/>
      <c r="CM98" s="3"/>
      <c r="CN98" s="3"/>
      <c r="CO98" s="3"/>
      <c r="CP98" s="3"/>
      <c r="CQ98" s="3"/>
      <c r="CR98" s="3"/>
      <c r="CS98" s="3"/>
      <c r="CT98" s="4"/>
    </row>
    <row r="99" spans="1:98" ht="10.5" customHeight="1" x14ac:dyDescent="0.15">
      <c r="A99" s="3"/>
      <c r="B99" s="20"/>
      <c r="C99" s="20"/>
      <c r="D99" s="20"/>
      <c r="E99" s="20"/>
      <c r="F99" s="20"/>
      <c r="G99" s="20"/>
      <c r="H99" s="20"/>
      <c r="I99" s="20"/>
      <c r="J99" s="20"/>
      <c r="K99" s="20"/>
      <c r="L99" s="20"/>
      <c r="M99" s="20"/>
      <c r="N99" s="20"/>
      <c r="O99" s="20"/>
      <c r="P99" s="20"/>
      <c r="Q99" s="21"/>
      <c r="R99" s="21"/>
      <c r="S99" s="21"/>
      <c r="T99" s="21"/>
      <c r="U99" s="21"/>
      <c r="V99" s="21"/>
      <c r="W99" s="21"/>
      <c r="X99" s="21"/>
      <c r="Y99" s="21"/>
      <c r="Z99" s="21"/>
      <c r="AA99" s="20"/>
      <c r="AB99" s="20"/>
      <c r="AC99" s="2"/>
      <c r="AD99" s="2"/>
      <c r="AE99" s="2"/>
      <c r="AF99" s="105">
        <v>32568</v>
      </c>
      <c r="AG99" s="89">
        <v>389.85599999999999</v>
      </c>
      <c r="AH99" s="89"/>
      <c r="AI99" s="96"/>
      <c r="AJ99" s="112">
        <f t="shared" ref="AJ99:AJ162" si="1">39*60*60/(52.4*10^6)*AG99*10^6/10^3</f>
        <v>1044.576</v>
      </c>
      <c r="AK99" s="89"/>
      <c r="AL99" s="96"/>
      <c r="AM99" s="68">
        <v>56000000000</v>
      </c>
      <c r="AN99" s="68"/>
      <c r="AO99" s="96"/>
      <c r="AP99" s="115">
        <f>AM99*AJ99/SUM(AJ97:AJ99)/(AJ99*10^3*10^3)</f>
        <v>18.465775521328474</v>
      </c>
      <c r="AQ99" s="68"/>
      <c r="AR99" s="69"/>
      <c r="AS99" s="2"/>
      <c r="AT99" s="2"/>
      <c r="AU99" s="2"/>
      <c r="AV99" s="2"/>
      <c r="AW99" s="2"/>
      <c r="AX99" s="2"/>
      <c r="AZ99" s="3"/>
      <c r="BA99" s="3"/>
      <c r="BB99" s="3"/>
      <c r="BC99" s="3"/>
      <c r="BD99" s="3"/>
      <c r="BE99" s="4"/>
      <c r="CG99" s="2"/>
      <c r="CH99" s="3"/>
      <c r="CI99" s="3"/>
      <c r="CJ99" s="3"/>
      <c r="CK99" s="3"/>
      <c r="CL99" s="3"/>
      <c r="CM99" s="3"/>
      <c r="CN99" s="3"/>
      <c r="CO99" s="3"/>
      <c r="CP99" s="3"/>
      <c r="CQ99" s="3"/>
      <c r="CR99" s="3"/>
      <c r="CS99" s="3"/>
      <c r="CT99" s="4"/>
    </row>
    <row r="100" spans="1:98" ht="10.5" customHeight="1" x14ac:dyDescent="0.15">
      <c r="A100" s="3"/>
      <c r="B100" s="20"/>
      <c r="C100" s="20"/>
      <c r="D100" s="20"/>
      <c r="E100" s="20"/>
      <c r="F100" s="20"/>
      <c r="G100" s="20"/>
      <c r="H100" s="20"/>
      <c r="I100" s="20"/>
      <c r="J100" s="20"/>
      <c r="K100" s="20"/>
      <c r="L100" s="20"/>
      <c r="M100" s="20"/>
      <c r="N100" s="20"/>
      <c r="O100" s="20"/>
      <c r="P100" s="20"/>
      <c r="Q100" s="21"/>
      <c r="R100" s="21"/>
      <c r="S100" s="21"/>
      <c r="T100" s="21"/>
      <c r="U100" s="21"/>
      <c r="V100" s="21"/>
      <c r="W100" s="21"/>
      <c r="X100" s="21"/>
      <c r="Y100" s="21"/>
      <c r="Z100" s="21"/>
      <c r="AA100" s="20"/>
      <c r="AB100" s="20"/>
      <c r="AC100" s="2"/>
      <c r="AD100" s="2"/>
      <c r="AE100" s="2"/>
      <c r="AF100" s="104">
        <v>32599</v>
      </c>
      <c r="AG100" s="89">
        <v>124.419</v>
      </c>
      <c r="AH100" s="89"/>
      <c r="AI100" s="96"/>
      <c r="AJ100" s="112">
        <f t="shared" si="1"/>
        <v>333.36693893129768</v>
      </c>
      <c r="AK100" s="89"/>
      <c r="AL100" s="96"/>
      <c r="AM100" s="68"/>
      <c r="AN100" s="68"/>
      <c r="AO100" s="96"/>
      <c r="AP100" s="114">
        <f>AM102*AJ100/SUM(AJ100:AJ102)/(AJ100*10^3*10^3)</f>
        <v>65.993346762361156</v>
      </c>
      <c r="AQ100" s="68"/>
      <c r="AR100" s="69"/>
      <c r="AS100" s="2"/>
      <c r="AT100" s="2"/>
      <c r="AU100" s="2"/>
      <c r="AV100" s="2"/>
      <c r="AW100" s="2"/>
      <c r="AX100" s="2"/>
      <c r="AZ100" s="3"/>
      <c r="BA100" s="3"/>
      <c r="BB100" s="3"/>
      <c r="BC100" s="3"/>
      <c r="BD100" s="3"/>
      <c r="BE100" s="4"/>
      <c r="CG100" s="2"/>
      <c r="CH100" s="3"/>
      <c r="CI100" s="3"/>
      <c r="CJ100" s="3"/>
      <c r="CK100" s="3"/>
      <c r="CL100" s="3"/>
      <c r="CM100" s="3"/>
      <c r="CN100" s="3"/>
      <c r="CO100" s="3"/>
      <c r="CP100" s="3"/>
      <c r="CQ100" s="3"/>
      <c r="CR100" s="3"/>
      <c r="CS100" s="3"/>
      <c r="CT100" s="4"/>
    </row>
    <row r="101" spans="1:98" ht="10.5" customHeight="1" x14ac:dyDescent="0.15">
      <c r="A101" s="3"/>
      <c r="B101" s="20"/>
      <c r="C101" s="20"/>
      <c r="D101" s="20"/>
      <c r="E101" s="20"/>
      <c r="F101" s="20"/>
      <c r="G101" s="20"/>
      <c r="H101" s="20"/>
      <c r="I101" s="20"/>
      <c r="J101" s="20"/>
      <c r="K101" s="20"/>
      <c r="L101" s="20"/>
      <c r="M101" s="20"/>
      <c r="N101" s="20"/>
      <c r="O101" s="20"/>
      <c r="P101" s="20"/>
      <c r="Q101" s="21"/>
      <c r="R101" s="21"/>
      <c r="S101" s="21"/>
      <c r="T101" s="21"/>
      <c r="U101" s="21"/>
      <c r="V101" s="21"/>
      <c r="W101" s="21"/>
      <c r="X101" s="21"/>
      <c r="Y101" s="21"/>
      <c r="Z101" s="21"/>
      <c r="AA101" s="20"/>
      <c r="AB101" s="20"/>
      <c r="AC101" s="2"/>
      <c r="AD101" s="2"/>
      <c r="AE101" s="2"/>
      <c r="AF101" s="104">
        <v>32629</v>
      </c>
      <c r="AG101" s="89">
        <v>0</v>
      </c>
      <c r="AH101" s="89"/>
      <c r="AI101" s="96"/>
      <c r="AJ101" s="112">
        <f t="shared" si="1"/>
        <v>0</v>
      </c>
      <c r="AK101" s="89"/>
      <c r="AL101" s="96"/>
      <c r="AM101" s="68"/>
      <c r="AN101" s="68"/>
      <c r="AO101" s="96"/>
      <c r="AP101" s="114" t="e">
        <f>AM102*AJ101/SUM(AJ100:AJ102)/(AJ101*10^3*10^3)</f>
        <v>#DIV/0!</v>
      </c>
      <c r="AQ101" s="68"/>
      <c r="AR101" s="69"/>
      <c r="AS101" s="2"/>
      <c r="AT101" s="2"/>
      <c r="AU101" s="2"/>
      <c r="AV101" s="2"/>
      <c r="AW101" s="2"/>
      <c r="AX101" s="2"/>
      <c r="AZ101" s="3"/>
      <c r="BA101" s="3"/>
      <c r="BB101" s="3"/>
      <c r="BC101" s="3"/>
      <c r="BD101" s="3"/>
      <c r="BE101" s="4"/>
      <c r="CG101" s="2"/>
      <c r="CH101" s="3"/>
      <c r="CI101" s="3"/>
      <c r="CJ101" s="3"/>
      <c r="CK101" s="3"/>
      <c r="CL101" s="3"/>
      <c r="CM101" s="3"/>
      <c r="CN101" s="3"/>
      <c r="CO101" s="3"/>
      <c r="CP101" s="3"/>
      <c r="CQ101" s="3"/>
      <c r="CR101" s="3"/>
      <c r="CS101" s="3"/>
      <c r="CT101" s="4"/>
    </row>
    <row r="102" spans="1:98" ht="10.5" customHeight="1" x14ac:dyDescent="0.15">
      <c r="A102" s="3"/>
      <c r="B102" s="20"/>
      <c r="C102" s="20"/>
      <c r="D102" s="20"/>
      <c r="E102" s="20"/>
      <c r="F102" s="20"/>
      <c r="G102" s="20"/>
      <c r="H102" s="20"/>
      <c r="I102" s="20"/>
      <c r="J102" s="20"/>
      <c r="K102" s="20"/>
      <c r="L102" s="20"/>
      <c r="M102" s="20"/>
      <c r="N102" s="20"/>
      <c r="O102" s="20"/>
      <c r="P102" s="20"/>
      <c r="Q102" s="21"/>
      <c r="R102" s="21"/>
      <c r="S102" s="21"/>
      <c r="T102" s="21"/>
      <c r="U102" s="21"/>
      <c r="V102" s="21"/>
      <c r="W102" s="21"/>
      <c r="X102" s="21"/>
      <c r="Y102" s="21"/>
      <c r="Z102" s="21"/>
      <c r="AA102" s="20"/>
      <c r="AB102" s="20"/>
      <c r="AC102" s="2"/>
      <c r="AD102" s="2"/>
      <c r="AE102" s="2"/>
      <c r="AF102" s="104">
        <v>32660</v>
      </c>
      <c r="AG102" s="89">
        <v>0</v>
      </c>
      <c r="AH102" s="89"/>
      <c r="AI102" s="96"/>
      <c r="AJ102" s="112">
        <f t="shared" si="1"/>
        <v>0</v>
      </c>
      <c r="AK102" s="89"/>
      <c r="AL102" s="96"/>
      <c r="AM102" s="68">
        <v>22000000000</v>
      </c>
      <c r="AN102" s="68"/>
      <c r="AO102" s="96"/>
      <c r="AP102" s="114" t="e">
        <f>AM102*AJ102/SUM(AJ100:AJ102)/(AJ102*10^3*10^3)</f>
        <v>#DIV/0!</v>
      </c>
      <c r="AQ102" s="68"/>
      <c r="AR102" s="69"/>
      <c r="AS102" s="2"/>
      <c r="AT102" s="2"/>
      <c r="AU102" s="2"/>
      <c r="AV102" s="2"/>
      <c r="AW102" s="2"/>
      <c r="AX102" s="2"/>
      <c r="AZ102" s="3"/>
      <c r="BA102" s="3"/>
      <c r="BB102" s="3"/>
      <c r="BC102" s="3"/>
      <c r="BD102" s="3"/>
      <c r="BE102" s="4"/>
      <c r="CG102" s="2"/>
      <c r="CH102" s="3"/>
      <c r="CI102" s="3"/>
      <c r="CJ102" s="3"/>
      <c r="CK102" s="3"/>
      <c r="CL102" s="3"/>
      <c r="CM102" s="3"/>
      <c r="CN102" s="3"/>
      <c r="CO102" s="3"/>
      <c r="CP102" s="3"/>
      <c r="CQ102" s="3"/>
      <c r="CR102" s="3"/>
      <c r="CS102" s="3"/>
      <c r="CT102" s="4"/>
    </row>
    <row r="103" spans="1:98" ht="10.5" customHeight="1" x14ac:dyDescent="0.15">
      <c r="A103" s="3"/>
      <c r="B103" s="20"/>
      <c r="C103" s="20"/>
      <c r="D103" s="20"/>
      <c r="E103" s="20"/>
      <c r="F103" s="20"/>
      <c r="G103" s="20"/>
      <c r="H103" s="20"/>
      <c r="I103" s="20"/>
      <c r="J103" s="20"/>
      <c r="K103" s="20"/>
      <c r="L103" s="20"/>
      <c r="M103" s="20"/>
      <c r="N103" s="20"/>
      <c r="O103" s="20"/>
      <c r="P103" s="20"/>
      <c r="Q103" s="21"/>
      <c r="R103" s="21"/>
      <c r="S103" s="21"/>
      <c r="T103" s="21"/>
      <c r="U103" s="21"/>
      <c r="V103" s="21"/>
      <c r="W103" s="21"/>
      <c r="X103" s="21"/>
      <c r="Y103" s="21"/>
      <c r="Z103" s="21"/>
      <c r="AA103" s="20"/>
      <c r="AB103" s="20"/>
      <c r="AC103" s="2"/>
      <c r="AD103" s="2"/>
      <c r="AE103" s="2"/>
      <c r="AF103" s="104">
        <v>32690</v>
      </c>
      <c r="AG103" s="89">
        <v>33.087000000000003</v>
      </c>
      <c r="AH103" s="89"/>
      <c r="AI103" s="96"/>
      <c r="AJ103" s="112">
        <f t="shared" si="1"/>
        <v>88.652954198473296</v>
      </c>
      <c r="AK103" s="89"/>
      <c r="AL103" s="96"/>
      <c r="AM103" s="68"/>
      <c r="AN103" s="68"/>
      <c r="AO103" s="96"/>
      <c r="AP103" s="114">
        <f>AM105*AJ103/SUM(AJ103:AJ105)/(AJ103*10^3*10^3)</f>
        <v>15.704681368253746</v>
      </c>
      <c r="AQ103" s="68"/>
      <c r="AR103" s="69"/>
      <c r="AS103" s="2"/>
      <c r="AT103" s="2"/>
      <c r="AU103" s="2"/>
      <c r="AV103" s="2"/>
      <c r="AW103" s="2"/>
      <c r="AX103" s="2"/>
      <c r="AZ103" s="3"/>
      <c r="BA103" s="3"/>
      <c r="BB103" s="3"/>
      <c r="BC103" s="3"/>
      <c r="BD103" s="3"/>
      <c r="BE103" s="4"/>
      <c r="CG103" s="2"/>
      <c r="CH103" s="3"/>
      <c r="CI103" s="3"/>
      <c r="CJ103" s="3"/>
      <c r="CK103" s="3"/>
      <c r="CL103" s="3"/>
      <c r="CM103" s="3"/>
      <c r="CN103" s="3"/>
      <c r="CO103" s="3"/>
      <c r="CP103" s="3"/>
      <c r="CQ103" s="3"/>
      <c r="CR103" s="3"/>
      <c r="CS103" s="3"/>
      <c r="CT103" s="4"/>
    </row>
    <row r="104" spans="1:98" ht="10.5" customHeight="1" x14ac:dyDescent="0.15">
      <c r="A104" s="3"/>
      <c r="B104" s="20"/>
      <c r="C104" s="20"/>
      <c r="D104" s="20"/>
      <c r="E104" s="20"/>
      <c r="F104" s="20"/>
      <c r="G104" s="20"/>
      <c r="H104" s="20"/>
      <c r="I104" s="20"/>
      <c r="J104" s="20"/>
      <c r="K104" s="20"/>
      <c r="L104" s="20"/>
      <c r="M104" s="20"/>
      <c r="N104" s="20"/>
      <c r="O104" s="20"/>
      <c r="P104" s="20"/>
      <c r="Q104" s="21"/>
      <c r="R104" s="21"/>
      <c r="S104" s="21"/>
      <c r="T104" s="21"/>
      <c r="U104" s="21"/>
      <c r="V104" s="21"/>
      <c r="W104" s="21"/>
      <c r="X104" s="21"/>
      <c r="Y104" s="21"/>
      <c r="Z104" s="21"/>
      <c r="AA104" s="20"/>
      <c r="AB104" s="20"/>
      <c r="AC104" s="2"/>
      <c r="AD104" s="2"/>
      <c r="AE104" s="2"/>
      <c r="AF104" s="104">
        <v>32721</v>
      </c>
      <c r="AG104" s="89">
        <v>373.87299999999999</v>
      </c>
      <c r="AH104" s="89"/>
      <c r="AI104" s="96"/>
      <c r="AJ104" s="112">
        <f t="shared" si="1"/>
        <v>1001.7513206106871</v>
      </c>
      <c r="AK104" s="89"/>
      <c r="AL104" s="96"/>
      <c r="AM104" s="68"/>
      <c r="AN104" s="68"/>
      <c r="AO104" s="96"/>
      <c r="AP104" s="114">
        <f>AM105*AJ104/SUM(AJ103:AJ105)/(AJ104*10^3*10^3)</f>
        <v>15.704681368253745</v>
      </c>
      <c r="AQ104" s="68"/>
      <c r="AR104" s="69"/>
      <c r="AS104" s="2"/>
      <c r="AT104" s="2"/>
      <c r="AU104" s="2"/>
      <c r="AV104" s="2"/>
      <c r="AW104" s="2"/>
      <c r="AX104" s="2"/>
      <c r="AZ104" s="3"/>
      <c r="BA104" s="3"/>
      <c r="BB104" s="3"/>
      <c r="BC104" s="3"/>
      <c r="BD104" s="3"/>
      <c r="BE104" s="4"/>
      <c r="CG104" s="2"/>
      <c r="CH104" s="3"/>
      <c r="CI104" s="3"/>
      <c r="CJ104" s="3"/>
      <c r="CK104" s="3"/>
      <c r="CL104" s="3"/>
      <c r="CM104" s="3"/>
      <c r="CN104" s="3"/>
      <c r="CO104" s="3"/>
      <c r="CP104" s="3"/>
      <c r="CQ104" s="3"/>
      <c r="CR104" s="3"/>
      <c r="CS104" s="3"/>
      <c r="CT104" s="4"/>
    </row>
    <row r="105" spans="1:98" ht="10.5" customHeight="1" x14ac:dyDescent="0.15">
      <c r="A105" s="3"/>
      <c r="B105" s="20"/>
      <c r="C105" s="20"/>
      <c r="D105" s="20"/>
      <c r="E105" s="20"/>
      <c r="F105" s="20"/>
      <c r="G105" s="20"/>
      <c r="H105" s="20"/>
      <c r="I105" s="20"/>
      <c r="J105" s="20"/>
      <c r="K105" s="20"/>
      <c r="L105" s="20"/>
      <c r="M105" s="20"/>
      <c r="N105" s="20"/>
      <c r="O105" s="20"/>
      <c r="P105" s="20"/>
      <c r="Q105" s="21"/>
      <c r="R105" s="21"/>
      <c r="S105" s="21"/>
      <c r="T105" s="21"/>
      <c r="U105" s="21"/>
      <c r="V105" s="21"/>
      <c r="W105" s="21"/>
      <c r="X105" s="21"/>
      <c r="Y105" s="21"/>
      <c r="Z105" s="21"/>
      <c r="AA105" s="20"/>
      <c r="AB105" s="20"/>
      <c r="AC105" s="2"/>
      <c r="AD105" s="2"/>
      <c r="AE105" s="2"/>
      <c r="AF105" s="104">
        <v>32752</v>
      </c>
      <c r="AG105" s="89">
        <v>377.28</v>
      </c>
      <c r="AH105" s="89"/>
      <c r="AI105" s="96"/>
      <c r="AJ105" s="112">
        <f t="shared" si="1"/>
        <v>1010.88</v>
      </c>
      <c r="AK105" s="89"/>
      <c r="AL105" s="96"/>
      <c r="AM105" s="68">
        <v>33000000000</v>
      </c>
      <c r="AN105" s="68"/>
      <c r="AO105" s="96"/>
      <c r="AP105" s="114">
        <f>AM105*AJ105/SUM(AJ103:AJ105)/(AJ105*10^3*10^3)</f>
        <v>15.704681368253745</v>
      </c>
      <c r="AQ105" s="68"/>
      <c r="AR105" s="69"/>
      <c r="AS105" s="2"/>
      <c r="AT105" s="2"/>
      <c r="AU105" s="2"/>
      <c r="AV105" s="2"/>
      <c r="AW105" s="2"/>
      <c r="AX105" s="2"/>
      <c r="AZ105" s="3"/>
      <c r="BA105" s="3"/>
      <c r="BB105" s="3"/>
      <c r="BC105" s="3"/>
      <c r="BD105" s="3"/>
      <c r="BE105" s="4"/>
      <c r="CG105" s="2"/>
      <c r="CH105" s="3"/>
      <c r="CI105" s="3"/>
      <c r="CJ105" s="3"/>
      <c r="CK105" s="3"/>
      <c r="CL105" s="3"/>
      <c r="CM105" s="3"/>
      <c r="CN105" s="3"/>
      <c r="CO105" s="3"/>
      <c r="CP105" s="3"/>
      <c r="CQ105" s="3"/>
      <c r="CR105" s="3"/>
      <c r="CS105" s="3"/>
      <c r="CT105" s="4"/>
    </row>
    <row r="106" spans="1:98" ht="10.5" customHeight="1" x14ac:dyDescent="0.15">
      <c r="A106" s="3"/>
      <c r="B106" s="20"/>
      <c r="C106" s="20"/>
      <c r="D106" s="20"/>
      <c r="E106" s="20"/>
      <c r="F106" s="20"/>
      <c r="G106" s="20"/>
      <c r="H106" s="20"/>
      <c r="I106" s="20"/>
      <c r="J106" s="20"/>
      <c r="K106" s="20"/>
      <c r="L106" s="20"/>
      <c r="M106" s="20"/>
      <c r="N106" s="20"/>
      <c r="O106" s="20"/>
      <c r="P106" s="20"/>
      <c r="Q106" s="21"/>
      <c r="R106" s="21"/>
      <c r="S106" s="21"/>
      <c r="T106" s="21"/>
      <c r="U106" s="21"/>
      <c r="V106" s="21"/>
      <c r="W106" s="21"/>
      <c r="X106" s="21"/>
      <c r="Y106" s="21"/>
      <c r="Z106" s="21"/>
      <c r="AA106" s="20"/>
      <c r="AB106" s="20"/>
      <c r="AC106" s="2"/>
      <c r="AD106" s="2"/>
      <c r="AE106" s="2"/>
      <c r="AF106" s="104">
        <v>32782</v>
      </c>
      <c r="AG106" s="89">
        <v>389.85599999999999</v>
      </c>
      <c r="AH106" s="89"/>
      <c r="AI106" s="96"/>
      <c r="AJ106" s="112">
        <f t="shared" si="1"/>
        <v>1044.576</v>
      </c>
      <c r="AK106" s="89"/>
      <c r="AL106" s="96"/>
      <c r="AM106" s="68"/>
      <c r="AN106" s="68"/>
      <c r="AO106" s="96"/>
      <c r="AP106" s="114">
        <f>AM108*AJ106/SUM(AJ106:AJ108)/(AJ106*10^3*10^3)</f>
        <v>2.4838431812372019</v>
      </c>
      <c r="AQ106" s="68"/>
      <c r="AR106" s="69"/>
      <c r="AS106" s="2"/>
      <c r="AT106" s="2"/>
      <c r="AU106" s="2"/>
      <c r="AV106" s="2"/>
      <c r="AW106" s="2"/>
      <c r="AX106" s="2"/>
      <c r="AZ106" s="3"/>
      <c r="BA106" s="3"/>
      <c r="BB106" s="3"/>
      <c r="BC106" s="3"/>
      <c r="BD106" s="3"/>
      <c r="BE106" s="4"/>
      <c r="CG106" s="2"/>
      <c r="CH106" s="3"/>
      <c r="CI106" s="3"/>
      <c r="CJ106" s="3"/>
      <c r="CK106" s="3"/>
      <c r="CL106" s="3"/>
      <c r="CM106" s="3"/>
      <c r="CN106" s="3"/>
      <c r="CO106" s="3"/>
      <c r="CP106" s="3"/>
      <c r="CQ106" s="3"/>
      <c r="CR106" s="3"/>
      <c r="CS106" s="3"/>
      <c r="CT106" s="4"/>
    </row>
    <row r="107" spans="1:98" ht="10.5" customHeight="1" x14ac:dyDescent="0.15">
      <c r="A107" s="3"/>
      <c r="B107" s="20"/>
      <c r="C107" s="20"/>
      <c r="D107" s="20"/>
      <c r="E107" s="20"/>
      <c r="F107" s="20"/>
      <c r="G107" s="20"/>
      <c r="H107" s="20"/>
      <c r="I107" s="20"/>
      <c r="J107" s="20"/>
      <c r="K107" s="20"/>
      <c r="L107" s="20"/>
      <c r="M107" s="20"/>
      <c r="N107" s="20"/>
      <c r="O107" s="20"/>
      <c r="P107" s="20"/>
      <c r="Q107" s="21"/>
      <c r="R107" s="21"/>
      <c r="S107" s="21"/>
      <c r="T107" s="21"/>
      <c r="U107" s="21"/>
      <c r="V107" s="21"/>
      <c r="W107" s="21"/>
      <c r="X107" s="21"/>
      <c r="Y107" s="21"/>
      <c r="Z107" s="21"/>
      <c r="AA107" s="20"/>
      <c r="AB107" s="20"/>
      <c r="AC107" s="2"/>
      <c r="AD107" s="2"/>
      <c r="AE107" s="2"/>
      <c r="AF107" s="104">
        <v>32813</v>
      </c>
      <c r="AG107" s="89">
        <v>377.28100000000001</v>
      </c>
      <c r="AH107" s="89"/>
      <c r="AI107" s="96"/>
      <c r="AJ107" s="112">
        <f t="shared" si="1"/>
        <v>1010.8826793893131</v>
      </c>
      <c r="AK107" s="89"/>
      <c r="AL107" s="96"/>
      <c r="AM107" s="68"/>
      <c r="AN107" s="68"/>
      <c r="AO107" s="96"/>
      <c r="AP107" s="114">
        <f>AM108*AJ107/SUM(AJ106:AJ108)/(AJ107*10^3*10^3)</f>
        <v>2.4838431812372015</v>
      </c>
      <c r="AQ107" s="68"/>
      <c r="AR107" s="69"/>
      <c r="AS107" s="2"/>
      <c r="AT107" s="2"/>
      <c r="AU107" s="2"/>
      <c r="AV107" s="2"/>
      <c r="AW107" s="2"/>
      <c r="AX107" s="2"/>
      <c r="AZ107" s="3"/>
      <c r="BA107" s="3"/>
      <c r="BB107" s="3"/>
      <c r="BC107" s="3"/>
      <c r="BD107" s="3"/>
      <c r="BE107" s="4"/>
      <c r="CG107" s="2"/>
      <c r="CH107" s="3"/>
      <c r="CI107" s="3"/>
      <c r="CJ107" s="3"/>
      <c r="CK107" s="3"/>
      <c r="CL107" s="3"/>
      <c r="CM107" s="3"/>
      <c r="CN107" s="3"/>
      <c r="CO107" s="3"/>
      <c r="CP107" s="3"/>
      <c r="CQ107" s="3"/>
      <c r="CR107" s="3"/>
      <c r="CS107" s="3"/>
      <c r="CT107" s="4"/>
    </row>
    <row r="108" spans="1:98" ht="10.5" customHeight="1" x14ac:dyDescent="0.15">
      <c r="A108" s="3"/>
      <c r="B108" s="20"/>
      <c r="C108" s="20"/>
      <c r="D108" s="20"/>
      <c r="E108" s="20"/>
      <c r="F108" s="20"/>
      <c r="G108" s="20"/>
      <c r="H108" s="20"/>
      <c r="I108" s="20"/>
      <c r="J108" s="20"/>
      <c r="K108" s="20"/>
      <c r="L108" s="20"/>
      <c r="M108" s="20"/>
      <c r="N108" s="20"/>
      <c r="O108" s="20"/>
      <c r="P108" s="20"/>
      <c r="Q108" s="21"/>
      <c r="R108" s="21"/>
      <c r="S108" s="21"/>
      <c r="T108" s="21"/>
      <c r="U108" s="21"/>
      <c r="V108" s="21"/>
      <c r="W108" s="21"/>
      <c r="X108" s="21"/>
      <c r="Y108" s="21"/>
      <c r="Z108" s="21"/>
      <c r="AA108" s="20"/>
      <c r="AB108" s="20"/>
      <c r="AC108" s="2"/>
      <c r="AD108" s="2"/>
      <c r="AE108" s="2"/>
      <c r="AF108" s="104">
        <v>32843</v>
      </c>
      <c r="AG108" s="89">
        <v>389.85599999999999</v>
      </c>
      <c r="AH108" s="89"/>
      <c r="AI108" s="96"/>
      <c r="AJ108" s="112">
        <f t="shared" si="1"/>
        <v>1044.576</v>
      </c>
      <c r="AK108" s="89"/>
      <c r="AL108" s="96"/>
      <c r="AM108" s="68">
        <v>7700000000</v>
      </c>
      <c r="AN108" s="68"/>
      <c r="AO108" s="96"/>
      <c r="AP108" s="114">
        <f>AM108*AJ108/SUM(AJ106:AJ108)/(AJ108*10^3*10^3)</f>
        <v>2.4838431812372019</v>
      </c>
      <c r="AQ108" s="68"/>
      <c r="AR108" s="69"/>
      <c r="AS108" s="2"/>
      <c r="AT108" s="2"/>
      <c r="AU108" s="2"/>
      <c r="AV108" s="2"/>
      <c r="AW108" s="2"/>
      <c r="AX108" s="2"/>
      <c r="AZ108" s="3"/>
      <c r="BA108" s="3"/>
      <c r="BB108" s="3"/>
      <c r="BC108" s="3"/>
      <c r="BD108" s="3"/>
      <c r="BE108" s="4"/>
      <c r="CG108" s="2"/>
      <c r="CH108" s="3"/>
      <c r="CI108" s="3"/>
      <c r="CJ108" s="3"/>
      <c r="CK108" s="3"/>
      <c r="CL108" s="3"/>
      <c r="CM108" s="3"/>
      <c r="CN108" s="3"/>
      <c r="CO108" s="3"/>
      <c r="CP108" s="3"/>
      <c r="CQ108" s="3"/>
      <c r="CR108" s="3"/>
      <c r="CS108" s="3"/>
      <c r="CT108" s="4"/>
    </row>
    <row r="109" spans="1:98" ht="10.5" customHeight="1" x14ac:dyDescent="0.15">
      <c r="A109" s="3"/>
      <c r="B109" s="20"/>
      <c r="C109" s="20"/>
      <c r="D109" s="20"/>
      <c r="E109" s="20"/>
      <c r="F109" s="20"/>
      <c r="G109" s="20"/>
      <c r="H109" s="20"/>
      <c r="I109" s="20"/>
      <c r="J109" s="20"/>
      <c r="K109" s="20"/>
      <c r="L109" s="20"/>
      <c r="M109" s="20"/>
      <c r="N109" s="20"/>
      <c r="O109" s="20"/>
      <c r="P109" s="20"/>
      <c r="Q109" s="21"/>
      <c r="R109" s="21"/>
      <c r="S109" s="21"/>
      <c r="T109" s="21"/>
      <c r="U109" s="21"/>
      <c r="V109" s="21"/>
      <c r="W109" s="21"/>
      <c r="X109" s="21"/>
      <c r="Y109" s="21"/>
      <c r="Z109" s="21"/>
      <c r="AA109" s="20"/>
      <c r="AB109" s="20"/>
      <c r="AC109" s="2"/>
      <c r="AD109" s="2"/>
      <c r="AE109" s="2"/>
      <c r="AF109" s="104">
        <v>32874</v>
      </c>
      <c r="AG109" s="89">
        <v>389.85599999999999</v>
      </c>
      <c r="AH109" s="89"/>
      <c r="AI109" s="96"/>
      <c r="AJ109" s="112">
        <f t="shared" si="1"/>
        <v>1044.576</v>
      </c>
      <c r="AK109" s="89"/>
      <c r="AL109" s="96"/>
      <c r="AM109" s="68"/>
      <c r="AN109" s="68"/>
      <c r="AO109" s="96"/>
      <c r="AP109" s="114">
        <f>AM111*AJ109/SUM(AJ109:AJ111)/(AJ109*10^3*10^3)</f>
        <v>3.9569484013928453</v>
      </c>
      <c r="AQ109" s="68"/>
      <c r="AR109" s="69"/>
      <c r="AS109" s="2"/>
      <c r="AT109" s="2"/>
      <c r="AU109" s="2"/>
      <c r="AV109" s="2"/>
      <c r="AW109" s="2"/>
      <c r="AX109" s="2"/>
      <c r="AZ109" s="3"/>
      <c r="BA109" s="3"/>
      <c r="BB109" s="3"/>
      <c r="BC109" s="3"/>
      <c r="BD109" s="3"/>
      <c r="BE109" s="4"/>
      <c r="CG109" s="2"/>
      <c r="CH109" s="3"/>
      <c r="CI109" s="3"/>
      <c r="CJ109" s="3"/>
      <c r="CK109" s="3"/>
      <c r="CL109" s="3"/>
      <c r="CM109" s="3"/>
      <c r="CN109" s="3"/>
      <c r="CO109" s="3"/>
      <c r="CP109" s="3"/>
      <c r="CQ109" s="3"/>
      <c r="CR109" s="3"/>
      <c r="CS109" s="3"/>
      <c r="CT109" s="4"/>
    </row>
    <row r="110" spans="1:98" ht="10.5" customHeight="1" x14ac:dyDescent="0.15">
      <c r="A110" s="3"/>
      <c r="B110" s="20"/>
      <c r="C110" s="20"/>
      <c r="D110" s="20"/>
      <c r="E110" s="20"/>
      <c r="F110" s="20"/>
      <c r="G110" s="20"/>
      <c r="H110" s="20"/>
      <c r="I110" s="20"/>
      <c r="J110" s="20"/>
      <c r="K110" s="20"/>
      <c r="L110" s="20"/>
      <c r="M110" s="20"/>
      <c r="N110" s="20"/>
      <c r="O110" s="20"/>
      <c r="P110" s="20"/>
      <c r="Q110" s="21"/>
      <c r="R110" s="21"/>
      <c r="S110" s="21"/>
      <c r="T110" s="21"/>
      <c r="U110" s="21"/>
      <c r="V110" s="21"/>
      <c r="W110" s="21"/>
      <c r="X110" s="21"/>
      <c r="Y110" s="21"/>
      <c r="Z110" s="21"/>
      <c r="AA110" s="20"/>
      <c r="AB110" s="20"/>
      <c r="AC110" s="2"/>
      <c r="AD110" s="2"/>
      <c r="AE110" s="2"/>
      <c r="AF110" s="104">
        <v>32905</v>
      </c>
      <c r="AG110" s="89">
        <v>352.12799999999999</v>
      </c>
      <c r="AH110" s="89"/>
      <c r="AI110" s="96"/>
      <c r="AJ110" s="112">
        <f t="shared" si="1"/>
        <v>943.48800000000006</v>
      </c>
      <c r="AK110" s="89"/>
      <c r="AL110" s="96"/>
      <c r="AM110" s="68"/>
      <c r="AN110" s="68"/>
      <c r="AO110" s="96"/>
      <c r="AP110" s="114">
        <f>AM111*AJ110/SUM(AJ109:AJ111)/(AJ110*10^3*10^3)</f>
        <v>3.9569484013928453</v>
      </c>
      <c r="AQ110" s="68"/>
      <c r="AR110" s="69"/>
      <c r="AS110" s="2"/>
      <c r="AT110" s="2"/>
      <c r="AU110" s="2"/>
      <c r="AV110" s="2"/>
      <c r="AW110" s="2"/>
      <c r="AX110" s="2"/>
      <c r="AZ110" s="3"/>
      <c r="BA110" s="3"/>
      <c r="BB110" s="3"/>
      <c r="BC110" s="3"/>
      <c r="BD110" s="3"/>
      <c r="BE110" s="4"/>
      <c r="CG110" s="2"/>
      <c r="CH110" s="3"/>
      <c r="CI110" s="3"/>
      <c r="CJ110" s="3"/>
      <c r="CK110" s="3"/>
      <c r="CL110" s="3"/>
      <c r="CM110" s="3"/>
      <c r="CN110" s="3"/>
      <c r="CO110" s="3"/>
      <c r="CP110" s="3"/>
      <c r="CQ110" s="3"/>
      <c r="CR110" s="3"/>
      <c r="CS110" s="3"/>
      <c r="CT110" s="4"/>
    </row>
    <row r="111" spans="1:98" ht="10.5" customHeight="1" x14ac:dyDescent="0.15">
      <c r="A111" s="3"/>
      <c r="B111" s="20"/>
      <c r="C111" s="20"/>
      <c r="D111" s="20"/>
      <c r="E111" s="20"/>
      <c r="F111" s="20"/>
      <c r="G111" s="20"/>
      <c r="H111" s="20"/>
      <c r="I111" s="20"/>
      <c r="J111" s="20"/>
      <c r="K111" s="20"/>
      <c r="L111" s="20"/>
      <c r="M111" s="20"/>
      <c r="N111" s="20"/>
      <c r="O111" s="20"/>
      <c r="P111" s="20"/>
      <c r="Q111" s="21"/>
      <c r="R111" s="21"/>
      <c r="S111" s="21"/>
      <c r="T111" s="21"/>
      <c r="U111" s="21"/>
      <c r="V111" s="21"/>
      <c r="W111" s="21"/>
      <c r="X111" s="21"/>
      <c r="Y111" s="21"/>
      <c r="Z111" s="21"/>
      <c r="AA111" s="20"/>
      <c r="AB111" s="20"/>
      <c r="AC111" s="2"/>
      <c r="AD111" s="2"/>
      <c r="AE111" s="2"/>
      <c r="AF111" s="104">
        <v>32933</v>
      </c>
      <c r="AG111" s="89">
        <v>389.85599999999999</v>
      </c>
      <c r="AH111" s="89"/>
      <c r="AI111" s="96"/>
      <c r="AJ111" s="112">
        <f t="shared" si="1"/>
        <v>1044.576</v>
      </c>
      <c r="AK111" s="89"/>
      <c r="AL111" s="96"/>
      <c r="AM111" s="68">
        <v>12000000000</v>
      </c>
      <c r="AN111" s="68"/>
      <c r="AO111" s="96"/>
      <c r="AP111" s="114">
        <f>AM111*AJ111/SUM(AJ109:AJ111)/(AJ111*10^3*10^3)</f>
        <v>3.9569484013928453</v>
      </c>
      <c r="AQ111" s="68"/>
      <c r="AR111" s="69"/>
      <c r="AS111" s="2"/>
      <c r="AT111" s="2"/>
      <c r="AU111" s="2"/>
      <c r="AV111" s="2"/>
      <c r="AW111" s="2"/>
      <c r="AX111" s="2"/>
      <c r="AZ111" s="3"/>
      <c r="BA111" s="3"/>
      <c r="BB111" s="3"/>
      <c r="BC111" s="3"/>
      <c r="BD111" s="3"/>
      <c r="BE111" s="4"/>
      <c r="CG111" s="2"/>
      <c r="CH111" s="3"/>
      <c r="CI111" s="3"/>
      <c r="CJ111" s="3"/>
      <c r="CK111" s="3"/>
      <c r="CL111" s="3"/>
      <c r="CM111" s="3"/>
      <c r="CN111" s="3"/>
      <c r="CO111" s="3"/>
      <c r="CP111" s="3"/>
      <c r="CQ111" s="3"/>
      <c r="CR111" s="3"/>
      <c r="CS111" s="3"/>
      <c r="CT111" s="4"/>
    </row>
    <row r="112" spans="1:98" ht="10.5" customHeight="1" x14ac:dyDescent="0.15">
      <c r="A112" s="3"/>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
      <c r="AD112" s="2"/>
      <c r="AE112" s="2"/>
      <c r="AF112" s="105">
        <v>32964</v>
      </c>
      <c r="AG112" s="89">
        <v>373.88499999999999</v>
      </c>
      <c r="AH112" s="89"/>
      <c r="AI112" s="96"/>
      <c r="AJ112" s="112">
        <f t="shared" si="1"/>
        <v>1001.7834732824429</v>
      </c>
      <c r="AK112" s="89"/>
      <c r="AL112" s="96"/>
      <c r="AM112" s="68"/>
      <c r="AN112" s="68"/>
      <c r="AO112" s="96"/>
      <c r="AP112" s="115">
        <f>AM114*AJ112/SUM(AJ112:AJ114)/(AJ112*10^3*10^3)</f>
        <v>26.338659184179654</v>
      </c>
      <c r="AQ112" s="68"/>
      <c r="AR112" s="69"/>
      <c r="AS112" s="2"/>
      <c r="AT112" s="2"/>
      <c r="AU112" s="2"/>
      <c r="AV112" s="2"/>
      <c r="AW112" s="2"/>
      <c r="AX112" s="2"/>
      <c r="AZ112" s="3"/>
      <c r="BA112" s="3"/>
      <c r="BB112" s="3"/>
      <c r="BC112" s="3"/>
      <c r="BD112" s="3"/>
      <c r="BE112" s="4"/>
      <c r="CG112" s="2"/>
      <c r="CH112" s="3"/>
      <c r="CI112" s="3"/>
      <c r="CJ112" s="3"/>
      <c r="CK112" s="3"/>
      <c r="CL112" s="3"/>
      <c r="CM112" s="3"/>
      <c r="CN112" s="3"/>
      <c r="CO112" s="3"/>
      <c r="CP112" s="3"/>
      <c r="CQ112" s="3"/>
      <c r="CR112" s="3"/>
      <c r="CS112" s="3"/>
      <c r="CT112" s="4"/>
    </row>
    <row r="113" spans="1:98" ht="10.5" customHeight="1" x14ac:dyDescent="0.15">
      <c r="A113" s="3"/>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
      <c r="AD113" s="2"/>
      <c r="AE113" s="2"/>
      <c r="AF113" s="105">
        <v>32994</v>
      </c>
      <c r="AG113" s="89">
        <v>275.36799999999999</v>
      </c>
      <c r="AH113" s="89"/>
      <c r="AI113" s="96"/>
      <c r="AJ113" s="112">
        <f t="shared" si="1"/>
        <v>737.81807633587789</v>
      </c>
      <c r="AK113" s="89"/>
      <c r="AL113" s="96"/>
      <c r="AM113" s="68"/>
      <c r="AN113" s="68"/>
      <c r="AO113" s="96"/>
      <c r="AP113" s="115">
        <f>AM114*AJ113/SUM(AJ112:AJ114)/(AJ113*10^3*10^3)</f>
        <v>26.338659184179654</v>
      </c>
      <c r="AQ113" s="68"/>
      <c r="AR113" s="69"/>
      <c r="AS113" s="2"/>
      <c r="AT113" s="2"/>
      <c r="AU113" s="2"/>
      <c r="AV113" s="2"/>
      <c r="AW113" s="2"/>
      <c r="AX113" s="2"/>
      <c r="AZ113" s="3"/>
      <c r="BA113" s="3"/>
      <c r="BB113" s="3"/>
      <c r="BC113" s="3"/>
      <c r="BD113" s="3"/>
      <c r="BE113" s="4"/>
      <c r="CG113" s="2"/>
      <c r="CH113" s="3"/>
      <c r="CI113" s="3"/>
      <c r="CJ113" s="3"/>
      <c r="CK113" s="3"/>
      <c r="CL113" s="3"/>
      <c r="CM113" s="3"/>
      <c r="CN113" s="3"/>
      <c r="CO113" s="3"/>
      <c r="CP113" s="3"/>
      <c r="CQ113" s="3"/>
      <c r="CR113" s="3"/>
      <c r="CS113" s="3"/>
      <c r="CT113" s="4"/>
    </row>
    <row r="114" spans="1:98" ht="10.5" customHeight="1" x14ac:dyDescent="0.15">
      <c r="A114" s="3"/>
      <c r="C114" s="2"/>
      <c r="E114" s="2"/>
      <c r="F114" s="2"/>
      <c r="G114" s="2"/>
      <c r="H114" s="2"/>
      <c r="I114" s="2"/>
      <c r="J114" s="2"/>
      <c r="K114" s="2"/>
      <c r="L114" s="2"/>
      <c r="M114" s="2"/>
      <c r="N114" s="2"/>
      <c r="O114" s="2"/>
      <c r="P114" s="2"/>
      <c r="Q114" s="2"/>
      <c r="R114" s="2"/>
      <c r="S114" s="2"/>
      <c r="T114" s="2"/>
      <c r="U114" s="2"/>
      <c r="V114" s="2"/>
      <c r="W114" s="2"/>
      <c r="X114" s="2"/>
      <c r="Y114" s="2"/>
      <c r="Z114" s="2"/>
      <c r="AA114" s="2"/>
      <c r="AB114" s="20"/>
      <c r="AC114" s="2"/>
      <c r="AD114" s="2"/>
      <c r="AE114" s="2"/>
      <c r="AF114" s="105">
        <v>33025</v>
      </c>
      <c r="AG114" s="89">
        <v>2.5680000000000001</v>
      </c>
      <c r="AH114" s="89"/>
      <c r="AI114" s="96"/>
      <c r="AJ114" s="112">
        <f t="shared" si="1"/>
        <v>6.8806717557251913</v>
      </c>
      <c r="AK114" s="89"/>
      <c r="AL114" s="96"/>
      <c r="AM114" s="68">
        <v>46000000000</v>
      </c>
      <c r="AN114" s="68"/>
      <c r="AO114" s="96"/>
      <c r="AP114" s="115">
        <f>AM114*AJ114/SUM(AJ112:AJ114)/(AJ114*10^3*10^3)</f>
        <v>26.338659184179654</v>
      </c>
      <c r="AQ114" s="68"/>
      <c r="AR114" s="69"/>
      <c r="AS114" s="2"/>
      <c r="AT114" s="2"/>
      <c r="AU114" s="2"/>
      <c r="AV114" s="2"/>
      <c r="AW114" s="2"/>
      <c r="AX114" s="2"/>
      <c r="AZ114" s="3"/>
      <c r="BA114" s="3"/>
      <c r="BB114" s="3"/>
      <c r="BC114" s="3"/>
      <c r="BD114" s="3"/>
      <c r="BE114" s="4"/>
      <c r="CG114" s="2"/>
      <c r="CH114" s="3"/>
      <c r="CI114" s="3"/>
      <c r="CJ114" s="3"/>
      <c r="CK114" s="3"/>
      <c r="CL114" s="3"/>
      <c r="CM114" s="3"/>
      <c r="CN114" s="3"/>
      <c r="CO114" s="3"/>
      <c r="CP114" s="3"/>
      <c r="CQ114" s="3"/>
      <c r="CR114" s="3"/>
      <c r="CS114" s="3"/>
      <c r="CT114" s="4"/>
    </row>
    <row r="115" spans="1:98" ht="10.5" customHeight="1" x14ac:dyDescent="0.15">
      <c r="A115" s="3"/>
      <c r="B115" s="3"/>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
      <c r="AD115" s="2"/>
      <c r="AE115" s="2"/>
      <c r="AF115" s="105">
        <v>33055</v>
      </c>
      <c r="AG115" s="89">
        <v>375.84</v>
      </c>
      <c r="AH115" s="89"/>
      <c r="AI115" s="96"/>
      <c r="AJ115" s="112">
        <f t="shared" si="1"/>
        <v>1007.021679389313</v>
      </c>
      <c r="AK115" s="89"/>
      <c r="AL115" s="96"/>
      <c r="AM115" s="68"/>
      <c r="AN115" s="68"/>
      <c r="AO115" s="96"/>
      <c r="AP115" s="115">
        <f>AM117*AJ115/SUM(AJ115:AJ117)/(AJ115*10^3*10^3)</f>
        <v>4.6958840576234939</v>
      </c>
      <c r="AQ115" s="68"/>
      <c r="AR115" s="69"/>
      <c r="AS115" s="2"/>
      <c r="AT115" s="2"/>
      <c r="AU115" s="2"/>
      <c r="AV115" s="2"/>
      <c r="AW115" s="2"/>
      <c r="AX115" s="2"/>
      <c r="AZ115" s="3"/>
      <c r="BA115" s="3"/>
      <c r="BB115" s="3"/>
      <c r="BC115" s="3"/>
      <c r="BD115" s="3"/>
      <c r="BE115" s="4"/>
      <c r="CG115" s="2"/>
      <c r="CH115" s="3"/>
      <c r="CI115" s="3"/>
      <c r="CJ115" s="3"/>
      <c r="CK115" s="3"/>
      <c r="CL115" s="3"/>
      <c r="CM115" s="3"/>
      <c r="CN115" s="3"/>
      <c r="CO115" s="3"/>
      <c r="CP115" s="3"/>
      <c r="CQ115" s="3"/>
      <c r="CR115" s="3"/>
      <c r="CS115" s="3"/>
      <c r="CT115" s="4"/>
    </row>
    <row r="116" spans="1:98" ht="10.5" customHeight="1" x14ac:dyDescent="0.15">
      <c r="A116" s="3"/>
      <c r="B116" s="3"/>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
      <c r="AD116" s="2"/>
      <c r="AE116" s="2"/>
      <c r="AF116" s="105">
        <v>33086</v>
      </c>
      <c r="AG116" s="89">
        <v>361.12599999999998</v>
      </c>
      <c r="AH116" s="89"/>
      <c r="AI116" s="96"/>
      <c r="AJ116" s="112">
        <f t="shared" si="1"/>
        <v>967.59714503816792</v>
      </c>
      <c r="AK116" s="89"/>
      <c r="AL116" s="96"/>
      <c r="AM116" s="68"/>
      <c r="AN116" s="68"/>
      <c r="AO116" s="96"/>
      <c r="AP116" s="115">
        <f>AM117*AJ116/SUM(AJ115:AJ117)/(AJ116*10^3*10^3)</f>
        <v>4.6958840576234939</v>
      </c>
      <c r="AQ116" s="68"/>
      <c r="AR116" s="69"/>
      <c r="AS116" s="2"/>
      <c r="AT116" s="2"/>
      <c r="AU116" s="2"/>
      <c r="AV116" s="2"/>
      <c r="AW116" s="2"/>
      <c r="AX116" s="2"/>
      <c r="AZ116" s="3"/>
      <c r="BA116" s="3"/>
      <c r="BB116" s="3"/>
      <c r="BC116" s="3"/>
      <c r="BD116" s="3"/>
      <c r="BE116" s="4"/>
      <c r="CG116" s="2"/>
      <c r="CH116" s="3"/>
      <c r="CI116" s="3"/>
      <c r="CJ116" s="3"/>
      <c r="CK116" s="3"/>
      <c r="CL116" s="3"/>
      <c r="CM116" s="3"/>
      <c r="CN116" s="3"/>
      <c r="CO116" s="3"/>
      <c r="CP116" s="3"/>
      <c r="CQ116" s="3"/>
      <c r="CR116" s="3"/>
      <c r="CS116" s="3"/>
      <c r="CT116" s="4"/>
    </row>
    <row r="117" spans="1:98" ht="10.5" customHeight="1" x14ac:dyDescent="0.15">
      <c r="A117" s="3"/>
      <c r="B117" s="3"/>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
      <c r="AD117" s="2"/>
      <c r="AE117" s="2"/>
      <c r="AF117" s="105">
        <v>33117</v>
      </c>
      <c r="AG117" s="89">
        <v>10.127000000000001</v>
      </c>
      <c r="AH117" s="89"/>
      <c r="AI117" s="96"/>
      <c r="AJ117" s="112">
        <f t="shared" si="1"/>
        <v>27.134175572519087</v>
      </c>
      <c r="AK117" s="89"/>
      <c r="AL117" s="96"/>
      <c r="AM117" s="68">
        <v>9400000000</v>
      </c>
      <c r="AN117" s="68"/>
      <c r="AO117" s="96"/>
      <c r="AP117" s="115">
        <f>AM117*AJ117/SUM(AJ115:AJ117)/(AJ117*10^3*10^3)</f>
        <v>4.695884057623493</v>
      </c>
      <c r="AQ117" s="68"/>
      <c r="AR117" s="69"/>
      <c r="AS117" s="2"/>
      <c r="AT117" s="2"/>
      <c r="AU117" s="2"/>
      <c r="AV117" s="2"/>
      <c r="AW117" s="2"/>
      <c r="AX117" s="2"/>
      <c r="AZ117" s="3"/>
      <c r="BA117" s="3"/>
      <c r="BB117" s="3"/>
      <c r="BC117" s="3"/>
      <c r="BD117" s="3"/>
      <c r="BE117" s="4"/>
      <c r="CG117" s="2"/>
      <c r="CH117" s="3"/>
      <c r="CI117" s="3"/>
      <c r="CJ117" s="3"/>
      <c r="CK117" s="3"/>
      <c r="CL117" s="3"/>
      <c r="CM117" s="3"/>
      <c r="CN117" s="3"/>
      <c r="CO117" s="3"/>
      <c r="CP117" s="3"/>
      <c r="CQ117" s="3"/>
      <c r="CR117" s="3"/>
      <c r="CS117" s="3"/>
      <c r="CT117" s="4"/>
    </row>
    <row r="118" spans="1:98" ht="10.5" customHeight="1" x14ac:dyDescent="0.15">
      <c r="A118" s="3"/>
      <c r="B118" s="3"/>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
      <c r="AD118" s="2"/>
      <c r="AE118" s="2"/>
      <c r="AF118" s="105">
        <v>33147</v>
      </c>
      <c r="AG118" s="89">
        <v>0</v>
      </c>
      <c r="AH118" s="89"/>
      <c r="AI118" s="96"/>
      <c r="AJ118" s="112">
        <f t="shared" si="1"/>
        <v>0</v>
      </c>
      <c r="AK118" s="89"/>
      <c r="AL118" s="96"/>
      <c r="AM118" s="68"/>
      <c r="AN118" s="68"/>
      <c r="AO118" s="96"/>
      <c r="AP118" s="115" t="e">
        <f>AM120*AJ118/SUM(AJ118:AJ120)/(AJ118*10^3*10^3)</f>
        <v>#DIV/0!</v>
      </c>
      <c r="AQ118" s="68"/>
      <c r="AR118" s="69"/>
      <c r="AS118" s="2"/>
      <c r="AT118" s="2"/>
      <c r="AU118" s="2"/>
      <c r="AV118" s="2"/>
      <c r="AW118" s="2"/>
      <c r="AX118" s="2"/>
      <c r="AZ118" s="3"/>
      <c r="BA118" s="3"/>
      <c r="BB118" s="3"/>
      <c r="BC118" s="3"/>
      <c r="BD118" s="3"/>
      <c r="BE118" s="4"/>
      <c r="CG118" s="2"/>
      <c r="CH118" s="3"/>
      <c r="CI118" s="3"/>
      <c r="CJ118" s="3"/>
      <c r="CK118" s="3"/>
      <c r="CL118" s="3"/>
      <c r="CM118" s="3"/>
      <c r="CN118" s="3"/>
      <c r="CO118" s="3"/>
      <c r="CP118" s="3"/>
      <c r="CQ118" s="3"/>
      <c r="CR118" s="3"/>
      <c r="CS118" s="3"/>
      <c r="CT118" s="4"/>
    </row>
    <row r="119" spans="1:98" ht="10.5" customHeight="1" x14ac:dyDescent="0.15">
      <c r="A119" s="3"/>
      <c r="B119" s="3"/>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
      <c r="AD119" s="2"/>
      <c r="AE119" s="2"/>
      <c r="AF119" s="105">
        <v>33178</v>
      </c>
      <c r="AG119" s="89">
        <v>95.924000000000007</v>
      </c>
      <c r="AH119" s="89"/>
      <c r="AI119" s="96"/>
      <c r="AJ119" s="112">
        <f t="shared" si="1"/>
        <v>257.01774045801528</v>
      </c>
      <c r="AK119" s="89"/>
      <c r="AL119" s="96"/>
      <c r="AM119" s="68"/>
      <c r="AN119" s="68"/>
      <c r="AO119" s="96"/>
      <c r="AP119" s="115">
        <f>AM120*AJ119/SUM(AJ118:AJ120)/(AJ119*10^3*10^3)</f>
        <v>8.4511777047492771</v>
      </c>
      <c r="AQ119" s="68"/>
      <c r="AR119" s="69"/>
      <c r="AS119" s="2"/>
      <c r="AT119" s="2"/>
      <c r="AU119" s="2"/>
      <c r="AV119" s="2"/>
      <c r="AW119" s="2"/>
      <c r="AX119" s="2"/>
      <c r="AZ119" s="3"/>
      <c r="BA119" s="3"/>
      <c r="BB119" s="3"/>
      <c r="BC119" s="3"/>
      <c r="BD119" s="3"/>
      <c r="BE119" s="4"/>
      <c r="CG119" s="2"/>
      <c r="CH119" s="3"/>
      <c r="CI119" s="3"/>
      <c r="CJ119" s="3"/>
      <c r="CK119" s="3"/>
      <c r="CL119" s="3"/>
      <c r="CM119" s="3"/>
      <c r="CN119" s="3"/>
      <c r="CO119" s="3"/>
      <c r="CP119" s="3"/>
      <c r="CQ119" s="3"/>
      <c r="CR119" s="3"/>
      <c r="CS119" s="3"/>
      <c r="CT119" s="4"/>
    </row>
    <row r="120" spans="1:98" ht="10.5" customHeight="1" x14ac:dyDescent="0.15">
      <c r="A120" s="3"/>
      <c r="B120" s="3"/>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
      <c r="AD120" s="2"/>
      <c r="AE120" s="2"/>
      <c r="AF120" s="105">
        <v>33208</v>
      </c>
      <c r="AG120" s="89">
        <v>389.85599999999999</v>
      </c>
      <c r="AH120" s="89"/>
      <c r="AI120" s="96"/>
      <c r="AJ120" s="112">
        <f t="shared" si="1"/>
        <v>1044.576</v>
      </c>
      <c r="AK120" s="89"/>
      <c r="AL120" s="96"/>
      <c r="AM120" s="68">
        <v>11000000000</v>
      </c>
      <c r="AN120" s="68"/>
      <c r="AO120" s="96"/>
      <c r="AP120" s="115">
        <f>AM120*AJ120/SUM(AJ118:AJ120)/(AJ120*10^3*10^3)</f>
        <v>8.4511777047492789</v>
      </c>
      <c r="AQ120" s="68"/>
      <c r="AR120" s="69"/>
      <c r="AS120" s="2"/>
      <c r="AT120" s="2"/>
      <c r="AU120" s="2"/>
      <c r="AV120" s="2"/>
      <c r="AW120" s="2"/>
      <c r="AX120" s="2"/>
      <c r="AZ120" s="3"/>
      <c r="BA120" s="3"/>
      <c r="BB120" s="3"/>
      <c r="BC120" s="3"/>
      <c r="BD120" s="3"/>
      <c r="BE120" s="4"/>
      <c r="CG120" s="2"/>
      <c r="CH120" s="3"/>
      <c r="CI120" s="3"/>
      <c r="CJ120" s="3"/>
      <c r="CK120" s="3"/>
      <c r="CL120" s="3"/>
      <c r="CM120" s="3"/>
      <c r="CN120" s="3"/>
      <c r="CO120" s="3"/>
      <c r="CP120" s="3"/>
      <c r="CQ120" s="3"/>
      <c r="CR120" s="3"/>
      <c r="CS120" s="3"/>
      <c r="CT120" s="4"/>
    </row>
    <row r="121" spans="1:98" ht="10.5" customHeight="1" x14ac:dyDescent="0.15">
      <c r="A121" s="3"/>
      <c r="B121" s="3"/>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
      <c r="AD121" s="2"/>
      <c r="AE121" s="2"/>
      <c r="AF121" s="105">
        <v>33239</v>
      </c>
      <c r="AG121" s="89">
        <v>389.85599999999999</v>
      </c>
      <c r="AH121" s="89"/>
      <c r="AI121" s="96"/>
      <c r="AJ121" s="112">
        <f t="shared" si="1"/>
        <v>1044.576</v>
      </c>
      <c r="AK121" s="89"/>
      <c r="AL121" s="96"/>
      <c r="AM121" s="68"/>
      <c r="AN121" s="68"/>
      <c r="AO121" s="96"/>
      <c r="AP121" s="115">
        <f>AM123*AJ121/SUM(AJ121:AJ123)/(AJ121*10^3*10^3)</f>
        <v>0.31325841511026697</v>
      </c>
      <c r="AQ121" s="68"/>
      <c r="AR121" s="69"/>
      <c r="AS121" s="2"/>
      <c r="AT121" s="2"/>
      <c r="AU121" s="2"/>
      <c r="AV121" s="2"/>
      <c r="AW121" s="2"/>
      <c r="AX121" s="2"/>
      <c r="AZ121" s="3"/>
      <c r="BA121" s="3"/>
      <c r="BB121" s="3"/>
      <c r="BC121" s="3"/>
      <c r="BD121" s="3"/>
      <c r="BE121" s="4"/>
      <c r="CG121" s="2"/>
      <c r="CH121" s="3"/>
      <c r="CI121" s="3"/>
      <c r="CJ121" s="3"/>
      <c r="CK121" s="3"/>
      <c r="CL121" s="3"/>
      <c r="CM121" s="3"/>
      <c r="CN121" s="3"/>
      <c r="CO121" s="3"/>
      <c r="CP121" s="3"/>
      <c r="CQ121" s="3"/>
      <c r="CR121" s="3"/>
      <c r="CS121" s="3"/>
      <c r="CT121" s="4"/>
    </row>
    <row r="122" spans="1:98" ht="10.5" customHeight="1" x14ac:dyDescent="0.15">
      <c r="A122" s="3"/>
      <c r="B122" s="3"/>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F122" s="105">
        <v>33270</v>
      </c>
      <c r="AG122" s="89">
        <v>352.12799999999999</v>
      </c>
      <c r="AH122" s="89"/>
      <c r="AI122" s="96"/>
      <c r="AJ122" s="112">
        <f t="shared" si="1"/>
        <v>943.48800000000006</v>
      </c>
      <c r="AK122" s="89"/>
      <c r="AL122" s="96"/>
      <c r="AM122" s="68"/>
      <c r="AN122" s="68"/>
      <c r="AO122" s="96"/>
      <c r="AP122" s="115">
        <f>AM123*AJ122/SUM(AJ121:AJ123)/(AJ122*10^3*10^3)</f>
        <v>0.31325841511026692</v>
      </c>
      <c r="AQ122" s="68"/>
      <c r="AR122" s="69"/>
      <c r="AU122" s="5"/>
      <c r="AV122" s="20"/>
      <c r="AW122" s="20"/>
      <c r="AX122" s="20"/>
      <c r="AZ122" s="3"/>
      <c r="BA122" s="3"/>
      <c r="BB122" s="3"/>
      <c r="BC122" s="3"/>
      <c r="BD122" s="3"/>
      <c r="BE122" s="4"/>
      <c r="CG122" s="2"/>
      <c r="CH122" s="3"/>
      <c r="CI122" s="3"/>
      <c r="CJ122" s="3"/>
      <c r="CK122" s="3"/>
      <c r="CL122" s="3"/>
      <c r="CM122" s="3"/>
      <c r="CN122" s="3"/>
      <c r="CO122" s="3"/>
      <c r="CP122" s="3"/>
      <c r="CQ122" s="3"/>
      <c r="CR122" s="3"/>
      <c r="CS122" s="3"/>
      <c r="CT122" s="4"/>
    </row>
    <row r="123" spans="1:98" ht="10.5" customHeight="1" x14ac:dyDescent="0.15">
      <c r="A123" s="3"/>
      <c r="B123" s="3"/>
      <c r="C123" s="3"/>
      <c r="D123" s="3"/>
      <c r="Z123" s="20"/>
      <c r="AA123" s="20"/>
      <c r="AB123" s="20"/>
      <c r="AF123" s="105">
        <v>33298</v>
      </c>
      <c r="AG123" s="89">
        <v>389.85599999999999</v>
      </c>
      <c r="AH123" s="89"/>
      <c r="AI123" s="96"/>
      <c r="AJ123" s="112">
        <f t="shared" si="1"/>
        <v>1044.576</v>
      </c>
      <c r="AK123" s="89"/>
      <c r="AL123" s="96"/>
      <c r="AM123" s="68">
        <v>950000000</v>
      </c>
      <c r="AN123" s="68"/>
      <c r="AO123" s="96"/>
      <c r="AP123" s="115">
        <f>AM123*AJ123/SUM(AJ121:AJ123)/(AJ123*10^3*10^3)</f>
        <v>0.31325841511026697</v>
      </c>
      <c r="AQ123" s="68"/>
      <c r="AR123" s="69"/>
      <c r="AS123" s="82"/>
      <c r="AT123" s="3"/>
      <c r="AZ123" s="3"/>
      <c r="BA123" s="3"/>
      <c r="BB123" s="3"/>
      <c r="BC123" s="3"/>
      <c r="BD123" s="3"/>
      <c r="BE123" s="4"/>
      <c r="CG123" s="2"/>
      <c r="CH123" s="3"/>
      <c r="CI123" s="3"/>
      <c r="CJ123" s="3"/>
      <c r="CK123" s="3"/>
      <c r="CL123" s="3"/>
      <c r="CM123" s="3"/>
      <c r="CN123" s="3"/>
      <c r="CO123" s="3"/>
      <c r="CP123" s="3"/>
      <c r="CQ123" s="3"/>
      <c r="CR123" s="3"/>
      <c r="CS123" s="3"/>
      <c r="CT123" s="4"/>
    </row>
    <row r="124" spans="1:98" ht="10.5" customHeight="1" x14ac:dyDescent="0.15">
      <c r="A124" s="3"/>
      <c r="B124" s="3"/>
      <c r="C124" s="3"/>
      <c r="D124" s="3"/>
      <c r="Z124" s="20"/>
      <c r="AA124" s="20"/>
      <c r="AB124" s="20"/>
      <c r="AF124" s="104">
        <v>33329</v>
      </c>
      <c r="AG124" s="89">
        <v>377.279</v>
      </c>
      <c r="AH124" s="89"/>
      <c r="AI124" s="96"/>
      <c r="AJ124" s="112">
        <f t="shared" si="1"/>
        <v>1010.8773206106871</v>
      </c>
      <c r="AK124" s="89"/>
      <c r="AL124" s="96"/>
      <c r="AM124" s="68"/>
      <c r="AN124" s="68"/>
      <c r="AO124" s="96"/>
      <c r="AP124" s="114">
        <f>AM126*AJ124/SUM(AJ124:AJ126)/(AJ124*10^3*10^3)</f>
        <v>0.68485705252088069</v>
      </c>
      <c r="AQ124" s="68"/>
      <c r="AR124" s="69"/>
      <c r="AS124" s="82"/>
      <c r="AT124" s="3"/>
      <c r="AZ124" s="3"/>
      <c r="BA124" s="3"/>
      <c r="BB124" s="3"/>
      <c r="BC124" s="3"/>
      <c r="BD124" s="3"/>
      <c r="BE124" s="4"/>
      <c r="CG124" s="2"/>
      <c r="CH124" s="3"/>
      <c r="CI124" s="3"/>
      <c r="CJ124" s="3"/>
      <c r="CK124" s="3"/>
      <c r="CL124" s="3"/>
      <c r="CM124" s="3"/>
      <c r="CN124" s="3"/>
      <c r="CO124" s="3"/>
      <c r="CP124" s="3"/>
      <c r="CQ124" s="3"/>
      <c r="CR124" s="3"/>
      <c r="CS124" s="3"/>
      <c r="CT124" s="4"/>
    </row>
    <row r="125" spans="1:98" ht="10.5" customHeight="1" x14ac:dyDescent="0.15">
      <c r="A125" s="3"/>
      <c r="B125" s="3"/>
      <c r="C125" s="3"/>
      <c r="D125" s="3"/>
      <c r="Z125" s="20"/>
      <c r="AA125" s="20"/>
      <c r="AB125" s="20"/>
      <c r="AF125" s="104">
        <v>33359</v>
      </c>
      <c r="AG125" s="89">
        <v>389.85599999999999</v>
      </c>
      <c r="AH125" s="89"/>
      <c r="AI125" s="96"/>
      <c r="AJ125" s="112">
        <f t="shared" si="1"/>
        <v>1044.576</v>
      </c>
      <c r="AK125" s="89"/>
      <c r="AL125" s="96"/>
      <c r="AM125" s="68"/>
      <c r="AN125" s="68"/>
      <c r="AO125" s="96"/>
      <c r="AP125" s="114">
        <f>AM126*AJ125/SUM(AJ124:AJ126)/(AJ125*10^3*10^3)</f>
        <v>0.68485705252088069</v>
      </c>
      <c r="AQ125" s="68"/>
      <c r="AR125" s="69"/>
      <c r="AS125" s="82"/>
      <c r="AT125" s="3"/>
      <c r="AZ125" s="3"/>
      <c r="BA125" s="3"/>
      <c r="BB125" s="3"/>
      <c r="BC125" s="3"/>
      <c r="BD125" s="3"/>
      <c r="BE125" s="4"/>
      <c r="CG125" s="2"/>
      <c r="CH125" s="3"/>
      <c r="CI125" s="3"/>
      <c r="CJ125" s="3"/>
      <c r="CK125" s="3"/>
      <c r="CL125" s="3"/>
      <c r="CM125" s="3"/>
      <c r="CN125" s="3"/>
      <c r="CO125" s="3"/>
      <c r="CP125" s="3"/>
      <c r="CQ125" s="3"/>
      <c r="CR125" s="3"/>
      <c r="CS125" s="3"/>
      <c r="CT125" s="4"/>
    </row>
    <row r="126" spans="1:98" ht="10.5" customHeight="1" x14ac:dyDescent="0.15">
      <c r="A126" s="3"/>
      <c r="B126" s="3"/>
      <c r="C126" s="3"/>
      <c r="D126" s="3"/>
      <c r="Z126" s="20"/>
      <c r="AA126" s="20"/>
      <c r="AB126" s="20"/>
      <c r="AF126" s="104">
        <v>33390</v>
      </c>
      <c r="AG126" s="89">
        <v>377.28</v>
      </c>
      <c r="AH126" s="89"/>
      <c r="AI126" s="96"/>
      <c r="AJ126" s="112">
        <f t="shared" si="1"/>
        <v>1010.88</v>
      </c>
      <c r="AK126" s="89"/>
      <c r="AL126" s="96"/>
      <c r="AM126" s="68">
        <v>2100000000</v>
      </c>
      <c r="AN126" s="68"/>
      <c r="AO126" s="96"/>
      <c r="AP126" s="114">
        <f>AM126*AJ126/SUM(AJ124:AJ126)/(AJ126*10^3*10^3)</f>
        <v>0.68485705252088069</v>
      </c>
      <c r="AQ126" s="68"/>
      <c r="AR126" s="69"/>
      <c r="AS126" s="82"/>
      <c r="AT126" s="3"/>
      <c r="AZ126" s="3"/>
      <c r="BA126" s="3"/>
      <c r="BB126" s="3"/>
      <c r="BC126" s="3"/>
      <c r="BD126" s="3"/>
      <c r="BE126" s="4"/>
      <c r="CG126" s="2"/>
      <c r="CH126" s="3"/>
      <c r="CI126" s="3"/>
      <c r="CJ126" s="3"/>
      <c r="CK126" s="3"/>
      <c r="CL126" s="3"/>
      <c r="CM126" s="3"/>
      <c r="CN126" s="3"/>
      <c r="CO126" s="3"/>
      <c r="CP126" s="3"/>
      <c r="CQ126" s="3"/>
      <c r="CR126" s="3"/>
      <c r="CS126" s="3"/>
      <c r="CT126" s="4"/>
    </row>
    <row r="127" spans="1:98" ht="10.5" customHeight="1" x14ac:dyDescent="0.15">
      <c r="A127" s="3"/>
      <c r="B127" s="3"/>
      <c r="C127" s="3"/>
      <c r="D127" s="3"/>
      <c r="Z127" s="20"/>
      <c r="AA127" s="20"/>
      <c r="AB127" s="20"/>
      <c r="AF127" s="104">
        <v>33420</v>
      </c>
      <c r="AG127" s="89">
        <v>389.85599999999999</v>
      </c>
      <c r="AH127" s="89"/>
      <c r="AI127" s="96"/>
      <c r="AJ127" s="112">
        <f t="shared" si="1"/>
        <v>1044.576</v>
      </c>
      <c r="AK127" s="89"/>
      <c r="AL127" s="96"/>
      <c r="AM127" s="68"/>
      <c r="AN127" s="68"/>
      <c r="AO127" s="96"/>
      <c r="AP127" s="114">
        <f>AM129*AJ127/SUM(AJ127:AJ129)/(AJ127*10^3*10^3)</f>
        <v>7.3099048094151557</v>
      </c>
      <c r="AQ127" s="68"/>
      <c r="AR127" s="69"/>
      <c r="AS127" s="82"/>
      <c r="AT127" s="3"/>
      <c r="AZ127" s="3"/>
      <c r="BA127" s="3"/>
      <c r="BB127" s="3"/>
      <c r="BC127" s="3"/>
      <c r="BD127" s="3"/>
      <c r="BE127" s="4"/>
      <c r="CG127" s="2"/>
      <c r="CH127" s="3"/>
      <c r="CI127" s="3"/>
      <c r="CJ127" s="3"/>
      <c r="CK127" s="3"/>
      <c r="CL127" s="3"/>
      <c r="CM127" s="3"/>
      <c r="CN127" s="3"/>
      <c r="CO127" s="3"/>
      <c r="CP127" s="3"/>
      <c r="CQ127" s="3"/>
      <c r="CR127" s="3"/>
      <c r="CS127" s="3"/>
      <c r="CT127" s="4"/>
    </row>
    <row r="128" spans="1:98" ht="10.5" customHeight="1" x14ac:dyDescent="0.15">
      <c r="A128" s="3"/>
      <c r="B128" s="3"/>
      <c r="C128" s="3"/>
      <c r="D128" s="3"/>
      <c r="Z128" s="20"/>
      <c r="AA128" s="20"/>
      <c r="AB128" s="20"/>
      <c r="AF128" s="104">
        <v>33451</v>
      </c>
      <c r="AG128" s="89">
        <v>305.315</v>
      </c>
      <c r="AH128" s="89"/>
      <c r="AI128" s="96"/>
      <c r="AJ128" s="112">
        <f t="shared" si="1"/>
        <v>818.05774809160312</v>
      </c>
      <c r="AK128" s="89"/>
      <c r="AL128" s="96"/>
      <c r="AM128" s="68"/>
      <c r="AN128" s="68"/>
      <c r="AO128" s="96"/>
      <c r="AP128" s="114">
        <f>AM129*AJ128/SUM(AJ127:AJ129)/(AJ128*10^3*10^3)</f>
        <v>7.3099048094151566</v>
      </c>
      <c r="AQ128" s="68"/>
      <c r="AR128" s="69"/>
      <c r="AS128" s="82"/>
      <c r="AT128" s="3"/>
      <c r="AZ128" s="3"/>
      <c r="BA128" s="3"/>
      <c r="BB128" s="3"/>
      <c r="BC128" s="3"/>
      <c r="BD128" s="3"/>
      <c r="BE128" s="4"/>
      <c r="CG128" s="2"/>
      <c r="CH128" s="3"/>
      <c r="CI128" s="3"/>
      <c r="CJ128" s="3"/>
      <c r="CK128" s="3"/>
      <c r="CL128" s="3"/>
      <c r="CM128" s="3"/>
      <c r="CN128" s="3"/>
      <c r="CO128" s="3"/>
      <c r="CP128" s="3"/>
      <c r="CQ128" s="3"/>
      <c r="CR128" s="3"/>
      <c r="CS128" s="3"/>
      <c r="CT128" s="4"/>
    </row>
    <row r="129" spans="1:133" ht="10.5" customHeight="1" x14ac:dyDescent="0.15">
      <c r="A129" s="3"/>
      <c r="B129" s="3"/>
      <c r="C129" s="3"/>
      <c r="D129" s="3"/>
      <c r="Z129" s="20"/>
      <c r="AA129" s="20"/>
      <c r="AB129" s="20"/>
      <c r="AF129" s="104">
        <v>33482</v>
      </c>
      <c r="AG129" s="89">
        <v>377.01900000000001</v>
      </c>
      <c r="AH129" s="89"/>
      <c r="AI129" s="96"/>
      <c r="AJ129" s="112">
        <f t="shared" si="1"/>
        <v>1010.1806793893131</v>
      </c>
      <c r="AK129" s="89"/>
      <c r="AL129" s="96"/>
      <c r="AM129" s="68">
        <v>21000000000</v>
      </c>
      <c r="AN129" s="68"/>
      <c r="AO129" s="96"/>
      <c r="AP129" s="114">
        <f>AM129*AJ129/SUM(AJ127:AJ129)/(AJ129*10^3*10^3)</f>
        <v>7.3099048094151557</v>
      </c>
      <c r="AQ129" s="68"/>
      <c r="AR129" s="69"/>
      <c r="AS129" s="2"/>
      <c r="AT129" s="3"/>
      <c r="AU129" s="2"/>
      <c r="AV129" s="2"/>
      <c r="AW129" s="2"/>
      <c r="AX129" s="2"/>
      <c r="AY129" s="2"/>
      <c r="AZ129" s="3"/>
      <c r="BA129" s="3"/>
      <c r="BB129" s="3"/>
      <c r="BC129" s="3"/>
      <c r="BD129" s="3"/>
      <c r="BE129" s="3"/>
      <c r="BF129" s="3"/>
      <c r="BG129" s="3"/>
      <c r="BH129" s="3"/>
      <c r="BI129" s="4"/>
      <c r="CK129" s="2"/>
      <c r="CL129" s="3"/>
      <c r="CM129" s="3"/>
      <c r="CN129" s="3"/>
      <c r="CO129" s="3"/>
      <c r="CP129" s="3"/>
      <c r="CQ129" s="3"/>
      <c r="CR129" s="3"/>
      <c r="CS129" s="3"/>
      <c r="CT129" s="3"/>
      <c r="CU129" s="3"/>
      <c r="CV129" s="3"/>
      <c r="CW129" s="3"/>
      <c r="CX129" s="4"/>
      <c r="DU129" s="5"/>
      <c r="DV129" s="5"/>
      <c r="DW129" s="5"/>
      <c r="DX129" s="5"/>
      <c r="DZ129" s="3"/>
      <c r="EA129" s="3"/>
      <c r="EB129" s="3"/>
      <c r="EC129" s="3"/>
    </row>
    <row r="130" spans="1:133" s="14" customFormat="1" ht="10.5" customHeight="1" x14ac:dyDescent="0.1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20"/>
      <c r="AA130" s="20"/>
      <c r="AB130" s="20"/>
      <c r="AE130" s="3"/>
      <c r="AF130" s="104">
        <v>33512</v>
      </c>
      <c r="AG130" s="89">
        <v>36.503</v>
      </c>
      <c r="AH130" s="89"/>
      <c r="AI130" s="96"/>
      <c r="AJ130" s="112">
        <f t="shared" si="1"/>
        <v>97.805748091603064</v>
      </c>
      <c r="AK130" s="89"/>
      <c r="AL130" s="96"/>
      <c r="AM130" s="68"/>
      <c r="AN130" s="68"/>
      <c r="AO130" s="96"/>
      <c r="AP130" s="114">
        <f>AM132*AJ130/SUM(AJ130:AJ132)/(AJ130*10^3*10^3)</f>
        <v>9.7571141465418734</v>
      </c>
      <c r="AQ130" s="68"/>
      <c r="AR130" s="69"/>
      <c r="AT130" s="15"/>
      <c r="AZ130" s="15"/>
      <c r="BA130" s="15"/>
      <c r="BB130" s="15"/>
      <c r="BC130" s="15"/>
      <c r="BD130" s="15"/>
      <c r="BE130" s="15"/>
      <c r="BF130" s="15"/>
      <c r="BG130" s="15"/>
      <c r="BH130" s="15"/>
      <c r="BI130" s="16"/>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c r="CL130" s="15"/>
      <c r="CM130" s="15"/>
      <c r="CN130" s="15"/>
      <c r="CO130" s="15"/>
      <c r="CP130" s="15"/>
      <c r="CQ130" s="15"/>
      <c r="CR130" s="15"/>
      <c r="CS130" s="15"/>
      <c r="CT130" s="15"/>
      <c r="CU130" s="15"/>
      <c r="CV130" s="15"/>
      <c r="CW130" s="15"/>
      <c r="CX130" s="16"/>
      <c r="CY130" s="17"/>
      <c r="CZ130" s="17"/>
      <c r="DA130" s="17"/>
      <c r="DB130" s="17"/>
      <c r="DC130" s="17"/>
      <c r="DD130" s="17"/>
      <c r="DE130" s="17"/>
      <c r="DF130" s="17"/>
      <c r="DG130" s="17"/>
      <c r="DH130" s="17"/>
      <c r="DI130" s="17"/>
      <c r="DJ130" s="17"/>
      <c r="DK130" s="17"/>
      <c r="DL130" s="17"/>
      <c r="DM130" s="17"/>
      <c r="DN130" s="17"/>
      <c r="DO130" s="17"/>
      <c r="DP130" s="17"/>
      <c r="DQ130" s="17"/>
      <c r="DR130" s="17"/>
      <c r="DS130" s="17"/>
      <c r="DT130" s="17"/>
      <c r="DU130" s="17"/>
      <c r="DV130" s="17"/>
      <c r="DW130" s="17"/>
      <c r="DX130" s="17"/>
      <c r="DY130" s="15"/>
      <c r="DZ130" s="15"/>
      <c r="EA130" s="15"/>
      <c r="EB130" s="15"/>
      <c r="EC130" s="15"/>
    </row>
    <row r="131" spans="1:133" ht="10.5" customHeight="1" x14ac:dyDescent="0.15">
      <c r="A131" s="3"/>
      <c r="B131" s="3"/>
      <c r="C131" s="3"/>
      <c r="D131" s="3"/>
      <c r="Z131" s="20"/>
      <c r="AA131" s="20"/>
      <c r="AB131" s="20"/>
      <c r="AF131" s="104">
        <v>33543</v>
      </c>
      <c r="AG131" s="89">
        <v>0</v>
      </c>
      <c r="AH131" s="89"/>
      <c r="AI131" s="96"/>
      <c r="AJ131" s="112">
        <f t="shared" si="1"/>
        <v>0</v>
      </c>
      <c r="AK131" s="89"/>
      <c r="AL131" s="96"/>
      <c r="AM131" s="68"/>
      <c r="AN131" s="68"/>
      <c r="AO131" s="96"/>
      <c r="AP131" s="114" t="e">
        <f>AM132*AJ131/SUM(AJ130:AJ132)/(AJ131*10^3*10^3)</f>
        <v>#DIV/0!</v>
      </c>
      <c r="AQ131" s="68"/>
      <c r="AR131" s="69"/>
      <c r="AS131" s="2"/>
      <c r="AT131" s="3"/>
      <c r="AU131" s="2"/>
      <c r="AV131" s="2"/>
      <c r="AW131" s="2"/>
      <c r="AX131" s="2"/>
      <c r="AY131" s="2"/>
      <c r="AZ131" s="3"/>
      <c r="BA131" s="3"/>
      <c r="BB131" s="3"/>
      <c r="BC131" s="3"/>
      <c r="BD131" s="3"/>
      <c r="BE131" s="3"/>
      <c r="BF131" s="3"/>
      <c r="BG131" s="3"/>
      <c r="BH131" s="3"/>
      <c r="BI131" s="4"/>
      <c r="CK131" s="2"/>
      <c r="CL131" s="3"/>
      <c r="CM131" s="3"/>
      <c r="CN131" s="3"/>
      <c r="CO131" s="3"/>
      <c r="CP131" s="3"/>
      <c r="CQ131" s="3"/>
      <c r="CR131" s="3"/>
      <c r="CS131" s="3"/>
      <c r="CT131" s="3"/>
      <c r="CU131" s="3"/>
      <c r="CV131" s="3"/>
      <c r="CW131" s="3"/>
      <c r="CX131" s="4"/>
      <c r="DU131" s="5"/>
      <c r="DV131" s="5"/>
      <c r="DW131" s="5"/>
      <c r="DX131" s="5"/>
      <c r="DZ131" s="3"/>
      <c r="EA131" s="3"/>
      <c r="EB131" s="3"/>
      <c r="EC131" s="3"/>
    </row>
    <row r="132" spans="1:133" s="14" customFormat="1" ht="34.5" customHeight="1" x14ac:dyDescent="0.1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20"/>
      <c r="AA132" s="20"/>
      <c r="AB132" s="20"/>
      <c r="AE132" s="3"/>
      <c r="AF132" s="104">
        <v>33573</v>
      </c>
      <c r="AG132" s="89">
        <v>154.75200000000001</v>
      </c>
      <c r="AH132" s="89"/>
      <c r="AI132" s="96"/>
      <c r="AJ132" s="112">
        <f t="shared" si="1"/>
        <v>414.64085496183213</v>
      </c>
      <c r="AK132" s="89"/>
      <c r="AL132" s="96"/>
      <c r="AM132" s="68">
        <v>5000000000</v>
      </c>
      <c r="AN132" s="68"/>
      <c r="AO132" s="96"/>
      <c r="AP132" s="114">
        <f>AM132*AJ132/SUM(AJ130:AJ132)/(AJ132*10^3*10^3)</f>
        <v>9.7571141465418734</v>
      </c>
      <c r="AQ132" s="68"/>
      <c r="AR132" s="69"/>
      <c r="AT132" s="15"/>
      <c r="AZ132" s="15"/>
      <c r="BA132" s="15"/>
      <c r="BB132" s="15"/>
      <c r="BC132" s="15"/>
      <c r="BD132" s="15"/>
      <c r="BE132" s="15"/>
      <c r="BF132" s="15"/>
      <c r="BG132" s="15"/>
      <c r="BH132" s="15"/>
      <c r="BI132" s="16"/>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c r="CL132" s="15"/>
      <c r="CM132" s="15"/>
      <c r="CN132" s="15"/>
      <c r="CO132" s="15"/>
      <c r="CP132" s="15"/>
      <c r="CQ132" s="15"/>
      <c r="CR132" s="15"/>
      <c r="CS132" s="15"/>
      <c r="CT132" s="15"/>
      <c r="CU132" s="15"/>
      <c r="CV132" s="15"/>
      <c r="CW132" s="15"/>
      <c r="CX132" s="16"/>
      <c r="CY132" s="17"/>
      <c r="CZ132" s="17"/>
      <c r="DA132" s="17"/>
      <c r="DB132" s="17"/>
      <c r="DC132" s="17"/>
      <c r="DD132" s="17"/>
      <c r="DE132" s="17"/>
      <c r="DF132" s="17"/>
      <c r="DG132" s="17"/>
      <c r="DH132" s="17"/>
      <c r="DI132" s="17"/>
      <c r="DJ132" s="17"/>
      <c r="DK132" s="17"/>
      <c r="DL132" s="17"/>
      <c r="DM132" s="17"/>
      <c r="DN132" s="17"/>
      <c r="DO132" s="17"/>
      <c r="DP132" s="17"/>
      <c r="DQ132" s="17"/>
      <c r="DR132" s="17"/>
      <c r="DS132" s="17"/>
      <c r="DT132" s="17"/>
      <c r="DU132" s="17"/>
      <c r="DV132" s="17"/>
      <c r="DW132" s="17"/>
      <c r="DX132" s="17"/>
      <c r="DY132" s="15"/>
      <c r="DZ132" s="15"/>
      <c r="EA132" s="15"/>
      <c r="EB132" s="15"/>
      <c r="EC132" s="15"/>
    </row>
    <row r="133" spans="1:133" s="14" customFormat="1" ht="24" customHeight="1" x14ac:dyDescent="0.1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20"/>
      <c r="AA133" s="20"/>
      <c r="AB133" s="20"/>
      <c r="AE133" s="3"/>
      <c r="AF133" s="104">
        <v>33604</v>
      </c>
      <c r="AG133" s="89">
        <v>389.85599999999999</v>
      </c>
      <c r="AH133" s="89"/>
      <c r="AI133" s="96"/>
      <c r="AJ133" s="112">
        <f t="shared" si="1"/>
        <v>1044.576</v>
      </c>
      <c r="AK133" s="89"/>
      <c r="AL133" s="96"/>
      <c r="AM133" s="68"/>
      <c r="AN133" s="68"/>
      <c r="AO133" s="96"/>
      <c r="AP133" s="114">
        <f>AM135*AJ133/SUM(AJ133:AJ135)/(AJ133*10^3*10^3)</f>
        <v>9.7836636298174735</v>
      </c>
      <c r="AQ133" s="68"/>
      <c r="AR133" s="69"/>
      <c r="AT133" s="15"/>
      <c r="AZ133" s="15"/>
      <c r="BA133" s="15"/>
      <c r="BB133" s="15"/>
      <c r="BC133" s="15"/>
      <c r="BD133" s="15"/>
      <c r="BE133" s="15"/>
      <c r="BF133" s="15"/>
      <c r="BG133" s="15"/>
      <c r="BH133" s="15"/>
      <c r="BI133" s="16"/>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c r="CL133" s="15"/>
      <c r="CM133" s="15"/>
      <c r="CN133" s="15"/>
      <c r="CO133" s="15"/>
      <c r="CP133" s="15"/>
      <c r="CQ133" s="15"/>
      <c r="CR133" s="15"/>
      <c r="CS133" s="15"/>
      <c r="CT133" s="15"/>
      <c r="CU133" s="15"/>
      <c r="CV133" s="15"/>
      <c r="CW133" s="15"/>
      <c r="CX133" s="16"/>
      <c r="CY133" s="17"/>
      <c r="CZ133" s="17"/>
      <c r="DA133" s="17"/>
      <c r="DB133" s="17"/>
      <c r="DC133" s="17"/>
      <c r="DD133" s="17"/>
      <c r="DE133" s="17"/>
      <c r="DF133" s="17"/>
      <c r="DG133" s="17"/>
      <c r="DH133" s="17"/>
      <c r="DI133" s="17"/>
      <c r="DJ133" s="17"/>
      <c r="DK133" s="17"/>
      <c r="DL133" s="17"/>
      <c r="DM133" s="17"/>
      <c r="DN133" s="17"/>
      <c r="DO133" s="17"/>
      <c r="DP133" s="17"/>
      <c r="DQ133" s="17"/>
      <c r="DR133" s="17"/>
      <c r="DS133" s="17"/>
      <c r="DT133" s="17"/>
      <c r="DU133" s="17"/>
      <c r="DV133" s="17"/>
      <c r="DW133" s="17"/>
      <c r="DX133" s="17"/>
      <c r="DY133" s="15"/>
      <c r="DZ133" s="15"/>
      <c r="EA133" s="15"/>
      <c r="EB133" s="15"/>
      <c r="EC133" s="15"/>
    </row>
    <row r="134" spans="1:133" ht="10.5" customHeight="1" x14ac:dyDescent="0.15">
      <c r="A134" s="3"/>
      <c r="B134" s="3"/>
      <c r="C134" s="3"/>
      <c r="D134" s="3"/>
      <c r="Z134" s="20"/>
      <c r="AA134" s="20"/>
      <c r="AB134" s="20"/>
      <c r="AF134" s="104">
        <v>33635</v>
      </c>
      <c r="AG134" s="89">
        <v>364.70400000000001</v>
      </c>
      <c r="AH134" s="89"/>
      <c r="AI134" s="96"/>
      <c r="AJ134" s="112">
        <f t="shared" si="1"/>
        <v>977.18399999999997</v>
      </c>
      <c r="AK134" s="89"/>
      <c r="AL134" s="96"/>
      <c r="AM134" s="68"/>
      <c r="AN134" s="68"/>
      <c r="AO134" s="96"/>
      <c r="AP134" s="114">
        <f>AM135*AJ134/SUM(AJ133:AJ135)/(AJ134*10^3*10^3)</f>
        <v>9.7836636298174753</v>
      </c>
      <c r="AQ134" s="68"/>
      <c r="AR134" s="69"/>
      <c r="AS134" s="2"/>
      <c r="AT134" s="21"/>
      <c r="AU134" s="2"/>
      <c r="AV134" s="2"/>
      <c r="AW134" s="2"/>
      <c r="AX134" s="2"/>
      <c r="AY134" s="2"/>
      <c r="BT134" s="22"/>
      <c r="BU134" s="22"/>
      <c r="BV134" s="22"/>
      <c r="BW134" s="22"/>
      <c r="BX134" s="22"/>
      <c r="BY134" s="22"/>
      <c r="BZ134" s="22"/>
      <c r="CA134" s="22"/>
      <c r="CB134" s="22"/>
      <c r="CC134" s="22"/>
      <c r="CD134" s="22"/>
      <c r="CE134" s="22"/>
      <c r="CF134" s="22"/>
      <c r="CG134" s="22"/>
      <c r="CH134" s="22"/>
      <c r="CI134" s="22"/>
      <c r="DI134" s="22"/>
      <c r="DJ134" s="22"/>
      <c r="DK134" s="22"/>
      <c r="DL134" s="22"/>
      <c r="DM134" s="22"/>
      <c r="DN134" s="22"/>
      <c r="DO134" s="22"/>
      <c r="DP134" s="22"/>
      <c r="DQ134" s="22"/>
      <c r="DR134" s="22"/>
      <c r="DS134" s="22"/>
      <c r="DT134" s="22"/>
      <c r="DU134" s="22"/>
      <c r="DV134" s="22"/>
      <c r="DW134" s="22"/>
      <c r="DX134" s="22"/>
      <c r="DZ134" s="3"/>
      <c r="EA134" s="3"/>
      <c r="EB134" s="3"/>
      <c r="EC134" s="3"/>
    </row>
    <row r="135" spans="1:133" ht="10.5" customHeight="1" x14ac:dyDescent="0.15">
      <c r="A135" s="3"/>
      <c r="B135" s="3"/>
      <c r="C135" s="3"/>
      <c r="D135" s="3"/>
      <c r="Z135" s="20"/>
      <c r="AA135" s="20"/>
      <c r="AB135" s="20"/>
      <c r="AF135" s="104">
        <v>33664</v>
      </c>
      <c r="AG135" s="89">
        <v>389.85599999999999</v>
      </c>
      <c r="AH135" s="89"/>
      <c r="AI135" s="96"/>
      <c r="AJ135" s="112">
        <f t="shared" si="1"/>
        <v>1044.576</v>
      </c>
      <c r="AK135" s="89"/>
      <c r="AL135" s="96"/>
      <c r="AM135" s="68">
        <v>30000000000</v>
      </c>
      <c r="AN135" s="68"/>
      <c r="AO135" s="96"/>
      <c r="AP135" s="114">
        <f>AM135*AJ135/SUM(AJ133:AJ135)/(AJ135*10^3*10^3)</f>
        <v>9.7836636298174735</v>
      </c>
      <c r="AQ135" s="68"/>
      <c r="AR135" s="69"/>
      <c r="AS135" s="2"/>
      <c r="AT135" s="21"/>
      <c r="AU135" s="2"/>
      <c r="AV135" s="2"/>
      <c r="AW135" s="2"/>
      <c r="AX135" s="2"/>
      <c r="AY135" s="2"/>
      <c r="BT135" s="22"/>
      <c r="BU135" s="22"/>
      <c r="BV135" s="22"/>
      <c r="BW135" s="22"/>
      <c r="BX135" s="22"/>
      <c r="BY135" s="22"/>
      <c r="BZ135" s="22"/>
      <c r="CA135" s="22"/>
      <c r="CB135" s="22"/>
      <c r="CC135" s="22"/>
      <c r="CD135" s="22"/>
      <c r="CE135" s="22"/>
      <c r="CF135" s="22"/>
      <c r="CG135" s="22"/>
      <c r="CH135" s="22"/>
      <c r="CI135" s="22"/>
      <c r="DI135" s="22"/>
      <c r="DJ135" s="22"/>
      <c r="DK135" s="22"/>
      <c r="DL135" s="22"/>
      <c r="DM135" s="22"/>
      <c r="DN135" s="22"/>
      <c r="DO135" s="22"/>
      <c r="DP135" s="22"/>
      <c r="DQ135" s="22"/>
      <c r="DR135" s="22"/>
      <c r="DS135" s="22"/>
      <c r="DT135" s="22"/>
      <c r="DU135" s="22"/>
      <c r="DV135" s="22"/>
      <c r="DW135" s="22"/>
      <c r="DX135" s="22"/>
      <c r="DZ135" s="3"/>
      <c r="EA135" s="3"/>
      <c r="EB135" s="3"/>
      <c r="EC135" s="3"/>
    </row>
    <row r="136" spans="1:133" ht="10.5" customHeight="1" x14ac:dyDescent="0.15">
      <c r="A136" s="3"/>
      <c r="B136" s="3"/>
      <c r="C136" s="3"/>
      <c r="D136" s="3"/>
      <c r="Z136" s="20"/>
      <c r="AA136" s="20"/>
      <c r="AB136" s="20"/>
      <c r="AF136" s="105">
        <v>33695</v>
      </c>
      <c r="AG136" s="89">
        <v>377.28</v>
      </c>
      <c r="AH136" s="89"/>
      <c r="AI136" s="96"/>
      <c r="AJ136" s="112">
        <f t="shared" si="1"/>
        <v>1010.88</v>
      </c>
      <c r="AK136" s="89"/>
      <c r="AL136" s="96"/>
      <c r="AM136" s="68"/>
      <c r="AN136" s="68"/>
      <c r="AO136" s="96"/>
      <c r="AP136" s="115">
        <f>AM138*AJ136/SUM(AJ136:AJ138)/(AJ136*10^3*10^3)</f>
        <v>0.58851731732422474</v>
      </c>
      <c r="AQ136" s="68"/>
      <c r="AR136" s="69"/>
      <c r="AS136" s="2"/>
      <c r="AT136" s="21"/>
      <c r="AU136" s="2"/>
      <c r="AV136" s="2"/>
      <c r="AW136" s="2"/>
      <c r="AX136" s="2"/>
      <c r="AY136" s="2"/>
      <c r="BT136" s="22"/>
      <c r="BU136" s="22"/>
      <c r="BV136" s="22"/>
      <c r="BW136" s="22"/>
      <c r="BX136" s="22"/>
      <c r="BY136" s="22"/>
      <c r="BZ136" s="22"/>
      <c r="CA136" s="22"/>
      <c r="CB136" s="22"/>
      <c r="CC136" s="22"/>
      <c r="CD136" s="22"/>
      <c r="CE136" s="22"/>
      <c r="CF136" s="22"/>
      <c r="CG136" s="22"/>
      <c r="CH136" s="22"/>
      <c r="CI136" s="22"/>
      <c r="DI136" s="22"/>
      <c r="DJ136" s="22"/>
      <c r="DK136" s="22"/>
      <c r="DL136" s="22"/>
      <c r="DM136" s="22"/>
      <c r="DN136" s="22"/>
      <c r="DO136" s="22"/>
      <c r="DP136" s="22"/>
      <c r="DQ136" s="22"/>
      <c r="DR136" s="22"/>
      <c r="DS136" s="22"/>
      <c r="DT136" s="22"/>
      <c r="DU136" s="22"/>
      <c r="DV136" s="22"/>
      <c r="DW136" s="22"/>
      <c r="DX136" s="22"/>
      <c r="DZ136" s="3"/>
      <c r="EA136" s="3"/>
      <c r="EB136" s="3"/>
      <c r="EC136" s="3"/>
    </row>
    <row r="137" spans="1:133" ht="10.5" customHeight="1" x14ac:dyDescent="0.15">
      <c r="A137" s="3"/>
      <c r="B137" s="3"/>
      <c r="C137" s="3"/>
      <c r="D137" s="3"/>
      <c r="Z137" s="20"/>
      <c r="AA137" s="20"/>
      <c r="AB137" s="20"/>
      <c r="AF137" s="105">
        <v>33725</v>
      </c>
      <c r="AG137" s="89">
        <v>386.94799999999998</v>
      </c>
      <c r="AH137" s="89"/>
      <c r="AI137" s="96"/>
      <c r="AJ137" s="112">
        <f t="shared" si="1"/>
        <v>1036.7843358778625</v>
      </c>
      <c r="AK137" s="89"/>
      <c r="AL137" s="96"/>
      <c r="AM137" s="68"/>
      <c r="AN137" s="68"/>
      <c r="AO137" s="96"/>
      <c r="AP137" s="115">
        <f>AM138*AJ137/SUM(AJ136:AJ138)/(AJ137*10^3*10^3)</f>
        <v>0.58851731732422474</v>
      </c>
      <c r="AQ137" s="68"/>
      <c r="AR137" s="69"/>
      <c r="AS137" s="2"/>
      <c r="AT137" s="21"/>
      <c r="AU137" s="2"/>
      <c r="AV137" s="2"/>
      <c r="AW137" s="2"/>
      <c r="AX137" s="2"/>
      <c r="AY137" s="2"/>
      <c r="BT137" s="22"/>
      <c r="BU137" s="22"/>
      <c r="BV137" s="22"/>
      <c r="BW137" s="22"/>
      <c r="BX137" s="22"/>
      <c r="BY137" s="22"/>
      <c r="BZ137" s="22"/>
      <c r="CA137" s="22"/>
      <c r="CB137" s="22"/>
      <c r="CC137" s="22"/>
      <c r="CD137" s="22"/>
      <c r="CE137" s="22"/>
      <c r="CF137" s="22"/>
      <c r="CG137" s="22"/>
      <c r="CH137" s="22"/>
      <c r="CI137" s="22"/>
      <c r="DI137" s="22"/>
      <c r="DJ137" s="22"/>
      <c r="DK137" s="22"/>
      <c r="DL137" s="22"/>
      <c r="DM137" s="22"/>
      <c r="DN137" s="22"/>
      <c r="DO137" s="22"/>
      <c r="DP137" s="22"/>
      <c r="DQ137" s="22"/>
      <c r="DR137" s="22"/>
      <c r="DS137" s="22"/>
      <c r="DT137" s="22"/>
      <c r="DU137" s="22"/>
      <c r="DV137" s="22"/>
      <c r="DW137" s="22"/>
      <c r="DX137" s="22"/>
      <c r="DZ137" s="3"/>
      <c r="EA137" s="3"/>
      <c r="EB137" s="3"/>
      <c r="EC137" s="3"/>
    </row>
    <row r="138" spans="1:133" ht="10.5" customHeight="1" x14ac:dyDescent="0.15">
      <c r="A138" s="3"/>
      <c r="B138" s="3"/>
      <c r="C138" s="3"/>
      <c r="D138" s="3"/>
      <c r="Z138" s="20"/>
      <c r="AA138" s="20"/>
      <c r="AB138" s="20"/>
      <c r="AF138" s="105">
        <v>33756</v>
      </c>
      <c r="AG138" s="89">
        <v>377.27600000000001</v>
      </c>
      <c r="AH138" s="89"/>
      <c r="AI138" s="96"/>
      <c r="AJ138" s="112">
        <f t="shared" si="1"/>
        <v>1010.869282442748</v>
      </c>
      <c r="AK138" s="89"/>
      <c r="AL138" s="96"/>
      <c r="AM138" s="68">
        <v>1800000000</v>
      </c>
      <c r="AN138" s="68"/>
      <c r="AO138" s="96"/>
      <c r="AP138" s="115">
        <f>AM138*AJ138/SUM(AJ136:AJ138)/(AJ138*10^3*10^3)</f>
        <v>0.58851731732422474</v>
      </c>
      <c r="AQ138" s="68"/>
      <c r="AR138" s="69"/>
      <c r="AS138" s="2"/>
      <c r="AT138" s="21"/>
      <c r="AU138" s="2"/>
      <c r="AV138" s="2"/>
      <c r="AW138" s="2"/>
      <c r="AX138" s="2"/>
      <c r="AY138" s="2"/>
      <c r="BT138" s="22"/>
      <c r="BU138" s="22"/>
      <c r="BV138" s="22"/>
      <c r="BW138" s="22"/>
      <c r="BX138" s="22"/>
      <c r="BY138" s="22"/>
      <c r="BZ138" s="22"/>
      <c r="CA138" s="22"/>
      <c r="CB138" s="22"/>
      <c r="CC138" s="22"/>
      <c r="CD138" s="22"/>
      <c r="CE138" s="22"/>
      <c r="CF138" s="22"/>
      <c r="CG138" s="22"/>
      <c r="CH138" s="22"/>
      <c r="CI138" s="22"/>
      <c r="DI138" s="22"/>
      <c r="DJ138" s="22"/>
      <c r="DK138" s="22"/>
      <c r="DL138" s="22"/>
      <c r="DM138" s="22"/>
      <c r="DN138" s="22"/>
      <c r="DO138" s="22"/>
      <c r="DP138" s="22"/>
      <c r="DQ138" s="22"/>
      <c r="DR138" s="22"/>
      <c r="DS138" s="22"/>
      <c r="DT138" s="22"/>
      <c r="DU138" s="22"/>
      <c r="DV138" s="22"/>
      <c r="DW138" s="22"/>
      <c r="DX138" s="22"/>
      <c r="DZ138" s="3"/>
      <c r="EA138" s="3"/>
      <c r="EB138" s="3"/>
      <c r="EC138" s="3"/>
    </row>
    <row r="139" spans="1:133" ht="10.5" customHeight="1" x14ac:dyDescent="0.15">
      <c r="A139" s="3"/>
      <c r="B139" s="3"/>
      <c r="C139" s="3"/>
      <c r="D139" s="3"/>
      <c r="Z139" s="20"/>
      <c r="AA139" s="20"/>
      <c r="AB139" s="20"/>
      <c r="AF139" s="105">
        <v>33786</v>
      </c>
      <c r="AG139" s="89">
        <v>389.85500000000002</v>
      </c>
      <c r="AH139" s="89"/>
      <c r="AI139" s="96"/>
      <c r="AJ139" s="112">
        <f t="shared" si="1"/>
        <v>1044.5733206106872</v>
      </c>
      <c r="AK139" s="89"/>
      <c r="AL139" s="96"/>
      <c r="AM139" s="68"/>
      <c r="AN139" s="68"/>
      <c r="AO139" s="96"/>
      <c r="AP139" s="115">
        <f>AM141*AJ139/SUM(AJ139:AJ141)/(AJ139*10^3*10^3)</f>
        <v>1.0568272979620497</v>
      </c>
      <c r="AQ139" s="68"/>
      <c r="AR139" s="69"/>
      <c r="AS139" s="2"/>
      <c r="AT139" s="21"/>
      <c r="AU139" s="2"/>
      <c r="AV139" s="2"/>
      <c r="AW139" s="2"/>
      <c r="AX139" s="2"/>
      <c r="AY139" s="2"/>
      <c r="BT139" s="22"/>
      <c r="BU139" s="22"/>
      <c r="BV139" s="22"/>
      <c r="BW139" s="22"/>
      <c r="BX139" s="22"/>
      <c r="BY139" s="22"/>
      <c r="BZ139" s="22"/>
      <c r="CA139" s="22"/>
      <c r="CB139" s="22"/>
      <c r="CC139" s="22"/>
      <c r="CD139" s="22"/>
      <c r="CE139" s="22"/>
      <c r="CF139" s="22"/>
      <c r="CG139" s="22"/>
      <c r="CH139" s="22"/>
      <c r="CI139" s="22"/>
      <c r="DI139" s="22"/>
      <c r="DJ139" s="22"/>
      <c r="DK139" s="22"/>
      <c r="DL139" s="22"/>
      <c r="DM139" s="22"/>
      <c r="DN139" s="22"/>
      <c r="DO139" s="22"/>
      <c r="DP139" s="22"/>
      <c r="DQ139" s="22"/>
      <c r="DR139" s="22"/>
      <c r="DS139" s="22"/>
      <c r="DT139" s="22"/>
      <c r="DU139" s="22"/>
      <c r="DV139" s="22"/>
      <c r="DW139" s="22"/>
      <c r="DX139" s="22"/>
      <c r="DZ139" s="3"/>
      <c r="EA139" s="3"/>
      <c r="EB139" s="3"/>
      <c r="EC139" s="3"/>
    </row>
    <row r="140" spans="1:133" ht="10.5" customHeight="1" x14ac:dyDescent="0.15">
      <c r="A140" s="3"/>
      <c r="B140" s="3"/>
      <c r="C140" s="3"/>
      <c r="D140" s="3"/>
      <c r="Z140" s="20"/>
      <c r="AA140" s="20"/>
      <c r="AB140" s="20"/>
      <c r="AF140" s="105">
        <v>33817</v>
      </c>
      <c r="AG140" s="89">
        <v>384.04</v>
      </c>
      <c r="AH140" s="89"/>
      <c r="AI140" s="96"/>
      <c r="AJ140" s="112">
        <f t="shared" si="1"/>
        <v>1028.9926717557255</v>
      </c>
      <c r="AK140" s="89"/>
      <c r="AL140" s="96"/>
      <c r="AM140" s="68"/>
      <c r="AN140" s="68"/>
      <c r="AO140" s="96"/>
      <c r="AP140" s="115">
        <f>AM141*AJ140/SUM(AJ139:AJ141)/(AJ140*10^3*10^3)</f>
        <v>1.0568272979620497</v>
      </c>
      <c r="AQ140" s="68"/>
      <c r="AR140" s="69"/>
      <c r="AS140" s="2"/>
      <c r="AT140" s="21"/>
      <c r="AU140" s="2"/>
      <c r="AV140" s="2"/>
      <c r="AW140" s="2"/>
      <c r="AX140" s="2"/>
      <c r="AY140" s="2"/>
      <c r="BT140" s="22"/>
      <c r="BU140" s="22"/>
      <c r="BV140" s="22"/>
      <c r="BW140" s="22"/>
      <c r="BX140" s="22"/>
      <c r="BY140" s="22"/>
      <c r="BZ140" s="22"/>
      <c r="CA140" s="22"/>
      <c r="CB140" s="22"/>
      <c r="CC140" s="22"/>
      <c r="CD140" s="22"/>
      <c r="CE140" s="22"/>
      <c r="CF140" s="22"/>
      <c r="CG140" s="22"/>
      <c r="CH140" s="22"/>
      <c r="CI140" s="22"/>
      <c r="CJ140" s="22"/>
      <c r="DI140" s="22"/>
      <c r="DJ140" s="22"/>
      <c r="DK140" s="22"/>
      <c r="DL140" s="22"/>
      <c r="DM140" s="22"/>
      <c r="DN140" s="22"/>
      <c r="DO140" s="22"/>
      <c r="DP140" s="22"/>
      <c r="DQ140" s="22"/>
      <c r="DR140" s="22"/>
      <c r="DS140" s="22"/>
      <c r="DT140" s="22"/>
      <c r="DU140" s="22"/>
      <c r="DV140" s="22"/>
      <c r="DW140" s="22"/>
      <c r="DX140" s="22"/>
      <c r="DZ140" s="3"/>
      <c r="EA140" s="3"/>
      <c r="EB140" s="3"/>
      <c r="EC140" s="3"/>
    </row>
    <row r="141" spans="1:133" ht="10.5" customHeight="1" x14ac:dyDescent="0.15">
      <c r="A141" s="3"/>
      <c r="B141" s="3"/>
      <c r="C141" s="3"/>
      <c r="D141" s="3"/>
      <c r="Z141" s="20"/>
      <c r="AA141" s="20"/>
      <c r="AB141" s="20"/>
      <c r="AF141" s="105">
        <v>33848</v>
      </c>
      <c r="AG141" s="89">
        <v>144.297</v>
      </c>
      <c r="AH141" s="89"/>
      <c r="AI141" s="96"/>
      <c r="AJ141" s="112">
        <f t="shared" si="1"/>
        <v>386.62783969465653</v>
      </c>
      <c r="AK141" s="89"/>
      <c r="AL141" s="96"/>
      <c r="AM141" s="68">
        <v>2600000000</v>
      </c>
      <c r="AN141" s="68"/>
      <c r="AO141" s="96"/>
      <c r="AP141" s="115">
        <f>AM141*AJ141/SUM(AJ139:AJ141)/(AJ141*10^3*10^3)</f>
        <v>1.0568272979620494</v>
      </c>
      <c r="AQ141" s="68"/>
      <c r="AR141" s="69"/>
      <c r="AS141" s="2"/>
      <c r="AT141" s="21"/>
      <c r="AU141" s="2"/>
      <c r="AV141" s="2"/>
      <c r="AW141" s="2"/>
      <c r="AX141" s="2"/>
      <c r="AY141" s="2"/>
      <c r="BT141" s="22"/>
      <c r="BU141" s="22"/>
      <c r="BV141" s="22"/>
      <c r="BW141" s="22"/>
      <c r="BX141" s="22"/>
      <c r="BY141" s="22"/>
      <c r="BZ141" s="22"/>
      <c r="CA141" s="22"/>
      <c r="CB141" s="22"/>
      <c r="CC141" s="22"/>
      <c r="CD141" s="22"/>
      <c r="CE141" s="22"/>
      <c r="CF141" s="22"/>
      <c r="CG141" s="22"/>
      <c r="CH141" s="22"/>
      <c r="CI141" s="22"/>
      <c r="CJ141" s="22"/>
      <c r="DI141" s="22"/>
      <c r="DJ141" s="22"/>
      <c r="DK141" s="22"/>
      <c r="DL141" s="22"/>
      <c r="DM141" s="22"/>
      <c r="DN141" s="22"/>
      <c r="DO141" s="22"/>
      <c r="DP141" s="22"/>
      <c r="DQ141" s="22"/>
      <c r="DR141" s="22"/>
      <c r="DS141" s="22"/>
      <c r="DT141" s="22"/>
      <c r="DU141" s="22"/>
      <c r="DV141" s="22"/>
      <c r="DW141" s="22"/>
      <c r="DX141" s="22"/>
      <c r="DZ141" s="3"/>
      <c r="EA141" s="3"/>
      <c r="EB141" s="3"/>
      <c r="EC141" s="3"/>
    </row>
    <row r="142" spans="1:133" ht="10.5" customHeight="1" x14ac:dyDescent="0.15">
      <c r="A142" s="3"/>
      <c r="B142" s="3"/>
      <c r="C142" s="3"/>
      <c r="D142" s="3"/>
      <c r="Z142" s="20"/>
      <c r="AA142" s="20"/>
      <c r="AB142" s="20"/>
      <c r="AF142" s="105">
        <v>33878</v>
      </c>
      <c r="AG142" s="89">
        <v>389.85599999999999</v>
      </c>
      <c r="AH142" s="89"/>
      <c r="AI142" s="96"/>
      <c r="AJ142" s="112">
        <f t="shared" si="1"/>
        <v>1044.576</v>
      </c>
      <c r="AK142" s="89"/>
      <c r="AL142" s="96"/>
      <c r="AM142" s="68"/>
      <c r="AN142" s="68"/>
      <c r="AO142" s="96"/>
      <c r="AP142" s="115">
        <f>AM144*AJ142/SUM(AJ142:AJ144)/(AJ142*10^3*10^3)</f>
        <v>8.726346438618144</v>
      </c>
      <c r="AQ142" s="68"/>
      <c r="AR142" s="69"/>
      <c r="AS142" s="2"/>
      <c r="AT142" s="21"/>
      <c r="AU142" s="2"/>
      <c r="AV142" s="2"/>
      <c r="AW142" s="2"/>
      <c r="AX142" s="2"/>
      <c r="AY142" s="2"/>
      <c r="BT142" s="22"/>
      <c r="BU142" s="22"/>
      <c r="BV142" s="22"/>
      <c r="BW142" s="22"/>
      <c r="BX142" s="22"/>
      <c r="BY142" s="22"/>
      <c r="BZ142" s="22"/>
      <c r="CA142" s="22"/>
      <c r="CB142" s="22"/>
      <c r="CC142" s="22"/>
      <c r="CD142" s="22"/>
      <c r="CE142" s="22"/>
      <c r="CF142" s="22"/>
      <c r="CG142" s="22"/>
      <c r="CH142" s="22"/>
      <c r="CI142" s="22"/>
      <c r="CJ142" s="22"/>
      <c r="DI142" s="22"/>
      <c r="DJ142" s="22"/>
      <c r="DK142" s="22"/>
      <c r="DL142" s="22"/>
      <c r="DM142" s="22"/>
      <c r="DN142" s="22"/>
      <c r="DO142" s="22"/>
      <c r="DP142" s="22"/>
      <c r="DQ142" s="22"/>
      <c r="DR142" s="22"/>
      <c r="DS142" s="22"/>
      <c r="DT142" s="22"/>
      <c r="DU142" s="22"/>
      <c r="DV142" s="22"/>
      <c r="DW142" s="22"/>
      <c r="DX142" s="22"/>
      <c r="DZ142" s="3"/>
      <c r="EA142" s="3"/>
      <c r="EB142" s="3"/>
      <c r="EC142" s="3"/>
    </row>
    <row r="143" spans="1:133" ht="10.5" customHeight="1" x14ac:dyDescent="0.15">
      <c r="A143" s="3"/>
      <c r="B143" s="3"/>
      <c r="C143" s="3"/>
      <c r="D143" s="3"/>
      <c r="Z143" s="20"/>
      <c r="AA143" s="20"/>
      <c r="AB143" s="20"/>
      <c r="AF143" s="105">
        <v>33909</v>
      </c>
      <c r="AG143" s="89">
        <v>375.51600000000002</v>
      </c>
      <c r="AH143" s="89"/>
      <c r="AI143" s="96"/>
      <c r="AJ143" s="112">
        <f t="shared" si="1"/>
        <v>1006.1535572519085</v>
      </c>
      <c r="AK143" s="89"/>
      <c r="AL143" s="96"/>
      <c r="AM143" s="68"/>
      <c r="AN143" s="68"/>
      <c r="AO143" s="96"/>
      <c r="AP143" s="115">
        <f>AM144*AJ143/SUM(AJ142:AJ144)/(AJ143*10^3*10^3)</f>
        <v>8.7263464386181457</v>
      </c>
      <c r="AQ143" s="68"/>
      <c r="AR143" s="69"/>
      <c r="AS143" s="2"/>
      <c r="AT143" s="21"/>
      <c r="AU143" s="2"/>
      <c r="AV143" s="2"/>
      <c r="AW143" s="2"/>
      <c r="AX143" s="2"/>
      <c r="AY143" s="2"/>
      <c r="BT143" s="22"/>
      <c r="BU143" s="22"/>
      <c r="BV143" s="22"/>
      <c r="BW143" s="22"/>
      <c r="BX143" s="22"/>
      <c r="BY143" s="22"/>
      <c r="BZ143" s="22"/>
      <c r="CA143" s="22"/>
      <c r="CB143" s="22"/>
      <c r="CC143" s="22"/>
      <c r="CD143" s="22"/>
      <c r="CE143" s="22"/>
      <c r="CF143" s="22"/>
      <c r="CG143" s="22"/>
      <c r="CH143" s="22"/>
      <c r="CI143" s="22"/>
      <c r="CJ143" s="22"/>
      <c r="DI143" s="22"/>
      <c r="DJ143" s="22"/>
      <c r="DK143" s="22"/>
      <c r="DL143" s="22"/>
      <c r="DM143" s="22"/>
      <c r="DN143" s="22"/>
      <c r="DO143" s="22"/>
      <c r="DP143" s="22"/>
      <c r="DQ143" s="22"/>
      <c r="DR143" s="22"/>
      <c r="DS143" s="22"/>
      <c r="DT143" s="22"/>
      <c r="DU143" s="22"/>
      <c r="DV143" s="22"/>
      <c r="DW143" s="22"/>
      <c r="DX143" s="22"/>
      <c r="DZ143" s="3"/>
      <c r="EA143" s="3"/>
      <c r="EB143" s="3"/>
      <c r="EC143" s="3"/>
    </row>
    <row r="144" spans="1:133" ht="10.5" customHeight="1" x14ac:dyDescent="0.15">
      <c r="A144" s="3"/>
      <c r="B144" s="3"/>
      <c r="C144" s="3"/>
      <c r="D144" s="3"/>
      <c r="Z144" s="20"/>
      <c r="AA144" s="20"/>
      <c r="AB144" s="20"/>
      <c r="AF144" s="105">
        <v>33939</v>
      </c>
      <c r="AG144" s="89">
        <v>389.39800000000002</v>
      </c>
      <c r="AH144" s="89"/>
      <c r="AI144" s="96"/>
      <c r="AJ144" s="112">
        <f t="shared" si="1"/>
        <v>1043.3488396946566</v>
      </c>
      <c r="AK144" s="89"/>
      <c r="AL144" s="96"/>
      <c r="AM144" s="68">
        <v>27000000000</v>
      </c>
      <c r="AN144" s="68"/>
      <c r="AO144" s="96"/>
      <c r="AP144" s="115">
        <f>AM144*AJ144/SUM(AJ142:AJ144)/(AJ144*10^3*10^3)</f>
        <v>8.7263464386181457</v>
      </c>
      <c r="AQ144" s="68"/>
      <c r="AR144" s="69"/>
      <c r="AS144" s="2"/>
      <c r="AT144" s="21"/>
      <c r="AU144" s="2"/>
      <c r="AV144" s="2"/>
      <c r="AW144" s="2"/>
      <c r="AX144" s="2"/>
      <c r="AY144" s="2"/>
      <c r="BT144" s="22"/>
      <c r="BU144" s="22"/>
      <c r="BV144" s="22"/>
      <c r="BW144" s="22"/>
      <c r="BX144" s="22"/>
      <c r="BY144" s="22"/>
      <c r="BZ144" s="22"/>
      <c r="CA144" s="22"/>
      <c r="CB144" s="22"/>
      <c r="CC144" s="22"/>
      <c r="CD144" s="22"/>
      <c r="CE144" s="22"/>
      <c r="CF144" s="22"/>
      <c r="CG144" s="22"/>
      <c r="CH144" s="22"/>
      <c r="CI144" s="22"/>
      <c r="CJ144" s="22"/>
      <c r="DI144" s="22"/>
      <c r="DJ144" s="22"/>
      <c r="DK144" s="22"/>
      <c r="DL144" s="22"/>
      <c r="DM144" s="22"/>
      <c r="DN144" s="22"/>
      <c r="DO144" s="22"/>
      <c r="DP144" s="22"/>
      <c r="DQ144" s="22"/>
      <c r="DR144" s="22"/>
      <c r="DS144" s="22"/>
      <c r="DT144" s="22"/>
      <c r="DU144" s="22"/>
      <c r="DV144" s="22"/>
      <c r="DW144" s="22"/>
      <c r="DX144" s="22"/>
      <c r="DZ144" s="3"/>
      <c r="EA144" s="3"/>
      <c r="EB144" s="3"/>
      <c r="EC144" s="3"/>
    </row>
    <row r="145" spans="1:133" ht="10.5" customHeight="1" x14ac:dyDescent="0.15">
      <c r="A145" s="3"/>
      <c r="B145" s="3"/>
      <c r="C145" s="3"/>
      <c r="D145" s="3"/>
      <c r="Z145" s="20"/>
      <c r="AA145" s="20"/>
      <c r="AB145" s="20"/>
      <c r="AF145" s="105">
        <v>33970</v>
      </c>
      <c r="AG145" s="89">
        <v>96.808999999999997</v>
      </c>
      <c r="AH145" s="89"/>
      <c r="AI145" s="96"/>
      <c r="AJ145" s="112">
        <f t="shared" si="1"/>
        <v>259.38900000000001</v>
      </c>
      <c r="AK145" s="89"/>
      <c r="AL145" s="96"/>
      <c r="AM145" s="68"/>
      <c r="AN145" s="68"/>
      <c r="AO145" s="96"/>
      <c r="AP145" s="115">
        <f>AM147*AJ145/SUM(AJ145:AJ147)/(AJ145*10^3*10^3)</f>
        <v>23.902324308278299</v>
      </c>
      <c r="AQ145" s="68"/>
      <c r="AR145" s="69"/>
      <c r="AS145" s="2"/>
      <c r="AT145" s="21"/>
      <c r="AU145" s="2"/>
      <c r="AV145" s="2"/>
      <c r="AW145" s="2"/>
      <c r="AX145" s="2"/>
      <c r="AY145" s="2"/>
      <c r="BT145" s="22"/>
      <c r="BU145" s="22"/>
      <c r="BV145" s="22"/>
      <c r="BW145" s="22"/>
      <c r="BX145" s="22"/>
      <c r="BY145" s="22"/>
      <c r="BZ145" s="22"/>
      <c r="CA145" s="22"/>
      <c r="CB145" s="22"/>
      <c r="CC145" s="22"/>
      <c r="CD145" s="22"/>
      <c r="CE145" s="22"/>
      <c r="CF145" s="22"/>
      <c r="CG145" s="22"/>
      <c r="CH145" s="22"/>
      <c r="CI145" s="22"/>
      <c r="CJ145" s="22"/>
      <c r="DI145" s="22"/>
      <c r="DJ145" s="22"/>
      <c r="DK145" s="22"/>
      <c r="DL145" s="22"/>
      <c r="DM145" s="22"/>
      <c r="DN145" s="22"/>
      <c r="DO145" s="22"/>
      <c r="DP145" s="22"/>
      <c r="DQ145" s="22"/>
      <c r="DR145" s="22"/>
      <c r="DS145" s="22"/>
      <c r="DT145" s="22"/>
      <c r="DU145" s="22"/>
      <c r="DV145" s="22"/>
      <c r="DW145" s="22"/>
      <c r="DX145" s="22"/>
      <c r="DZ145" s="3"/>
      <c r="EA145" s="3"/>
      <c r="EB145" s="3"/>
      <c r="EC145" s="3"/>
    </row>
    <row r="146" spans="1:133" ht="10.5" customHeight="1" x14ac:dyDescent="0.15">
      <c r="A146" s="3"/>
      <c r="B146" s="3"/>
      <c r="C146" s="3"/>
      <c r="D146" s="3"/>
      <c r="Z146" s="20"/>
      <c r="AA146" s="20"/>
      <c r="AB146" s="20"/>
      <c r="AF146" s="105">
        <v>34001</v>
      </c>
      <c r="AG146" s="89">
        <v>0</v>
      </c>
      <c r="AH146" s="89"/>
      <c r="AI146" s="96"/>
      <c r="AJ146" s="112">
        <f t="shared" si="1"/>
        <v>0</v>
      </c>
      <c r="AK146" s="89"/>
      <c r="AL146" s="96"/>
      <c r="AM146" s="68"/>
      <c r="AN146" s="68"/>
      <c r="AO146" s="96"/>
      <c r="AP146" s="115" t="e">
        <f>AM147*AJ146/SUM(AJ145:AJ147)/(AJ146*10^3*10^3)</f>
        <v>#DIV/0!</v>
      </c>
      <c r="AQ146" s="68"/>
      <c r="AR146" s="69"/>
      <c r="AS146" s="2"/>
      <c r="AT146" s="21"/>
      <c r="AU146" s="2"/>
      <c r="AV146" s="2"/>
      <c r="AW146" s="2"/>
      <c r="AX146" s="2"/>
      <c r="AY146" s="2"/>
      <c r="BT146" s="22"/>
      <c r="BU146" s="22"/>
      <c r="BV146" s="22"/>
      <c r="BW146" s="22"/>
      <c r="BX146" s="22"/>
      <c r="BY146" s="22"/>
      <c r="BZ146" s="22"/>
      <c r="CA146" s="22"/>
      <c r="CB146" s="22"/>
      <c r="CC146" s="22"/>
      <c r="CD146" s="22"/>
      <c r="CE146" s="22"/>
      <c r="CF146" s="22"/>
      <c r="CG146" s="22"/>
      <c r="CH146" s="22"/>
      <c r="CI146" s="22"/>
      <c r="CJ146" s="22"/>
      <c r="DI146" s="22"/>
      <c r="DJ146" s="22"/>
      <c r="DK146" s="22"/>
      <c r="DL146" s="22"/>
      <c r="DM146" s="22"/>
      <c r="DN146" s="22"/>
      <c r="DO146" s="22"/>
      <c r="DP146" s="22"/>
      <c r="DQ146" s="22"/>
      <c r="DR146" s="22"/>
      <c r="DS146" s="22"/>
      <c r="DT146" s="22"/>
      <c r="DU146" s="22"/>
      <c r="DV146" s="22"/>
      <c r="DW146" s="22"/>
      <c r="DX146" s="22"/>
      <c r="DZ146" s="3"/>
      <c r="EA146" s="3"/>
      <c r="EB146" s="3"/>
      <c r="EC146" s="3"/>
    </row>
    <row r="147" spans="1:133" ht="10.5" customHeight="1" x14ac:dyDescent="0.15">
      <c r="A147" s="3"/>
      <c r="B147" s="3"/>
      <c r="C147" s="3"/>
      <c r="D147" s="3"/>
      <c r="Z147" s="20"/>
      <c r="AA147" s="20"/>
      <c r="AB147" s="20"/>
      <c r="AF147" s="105">
        <v>34029</v>
      </c>
      <c r="AG147" s="89">
        <v>0</v>
      </c>
      <c r="AH147" s="89"/>
      <c r="AI147" s="96"/>
      <c r="AJ147" s="112">
        <f t="shared" si="1"/>
        <v>0</v>
      </c>
      <c r="AK147" s="89"/>
      <c r="AL147" s="96"/>
      <c r="AM147" s="68">
        <v>6200000000</v>
      </c>
      <c r="AN147" s="68"/>
      <c r="AO147" s="96"/>
      <c r="AP147" s="115" t="e">
        <f>AM147*AJ147/SUM(AJ145:AJ147)/(AJ147*10^3*10^3)</f>
        <v>#DIV/0!</v>
      </c>
      <c r="AQ147" s="68"/>
      <c r="AR147" s="69"/>
      <c r="AS147" s="2"/>
      <c r="AT147" s="21"/>
      <c r="AU147" s="2"/>
      <c r="AV147" s="2"/>
      <c r="AW147" s="2"/>
      <c r="AX147" s="2"/>
      <c r="AY147" s="2"/>
      <c r="BT147" s="22"/>
      <c r="BU147" s="22"/>
      <c r="BV147" s="22"/>
      <c r="BW147" s="22"/>
      <c r="BX147" s="22"/>
      <c r="BY147" s="22"/>
      <c r="BZ147" s="22"/>
      <c r="CA147" s="22"/>
      <c r="CB147" s="22"/>
      <c r="CC147" s="22"/>
      <c r="CD147" s="22"/>
      <c r="CE147" s="22"/>
      <c r="CF147" s="22"/>
      <c r="CG147" s="22"/>
      <c r="CH147" s="22"/>
      <c r="CI147" s="22"/>
      <c r="CJ147" s="22"/>
      <c r="DI147" s="22"/>
      <c r="DJ147" s="22"/>
      <c r="DK147" s="22"/>
      <c r="DL147" s="22"/>
      <c r="DM147" s="22"/>
      <c r="DN147" s="22"/>
      <c r="DO147" s="22"/>
      <c r="DP147" s="22"/>
      <c r="DQ147" s="22"/>
      <c r="DR147" s="22"/>
      <c r="DS147" s="22"/>
      <c r="DT147" s="22"/>
      <c r="DU147" s="22"/>
      <c r="DV147" s="22"/>
      <c r="DW147" s="22"/>
      <c r="DX147" s="22"/>
      <c r="DZ147" s="3"/>
      <c r="EA147" s="3"/>
      <c r="EB147" s="3"/>
      <c r="EC147" s="3"/>
    </row>
    <row r="148" spans="1:133" ht="10.5" customHeight="1" x14ac:dyDescent="0.15">
      <c r="A148" s="3"/>
      <c r="B148" s="3"/>
      <c r="C148" s="3"/>
      <c r="D148" s="3"/>
      <c r="Z148" s="20"/>
      <c r="AA148" s="20"/>
      <c r="AB148" s="20"/>
      <c r="AF148" s="104">
        <v>34060</v>
      </c>
      <c r="AG148" s="89">
        <v>0</v>
      </c>
      <c r="AH148" s="89"/>
      <c r="AI148" s="96"/>
      <c r="AJ148" s="112">
        <f t="shared" si="1"/>
        <v>0</v>
      </c>
      <c r="AK148" s="89"/>
      <c r="AL148" s="96"/>
      <c r="AM148" s="68"/>
      <c r="AN148" s="68"/>
      <c r="AO148" s="96"/>
      <c r="AP148" s="114" t="e">
        <f>AM150*AJ148/SUM(AJ148:AJ150)/(AJ148*10^3*10^3)</f>
        <v>#DIV/0!</v>
      </c>
      <c r="AQ148" s="68"/>
      <c r="AR148" s="69"/>
      <c r="AS148" s="2"/>
      <c r="AT148" s="21"/>
      <c r="AU148" s="2"/>
      <c r="AV148" s="2"/>
      <c r="AW148" s="2"/>
      <c r="AX148" s="2"/>
      <c r="AY148" s="2"/>
      <c r="BT148" s="22"/>
      <c r="BU148" s="22"/>
      <c r="BV148" s="22"/>
      <c r="BW148" s="22"/>
      <c r="BX148" s="22"/>
      <c r="BY148" s="22"/>
      <c r="BZ148" s="22"/>
      <c r="CA148" s="22"/>
      <c r="CB148" s="22"/>
      <c r="CC148" s="22"/>
      <c r="CD148" s="22"/>
      <c r="CE148" s="22"/>
      <c r="CF148" s="22"/>
      <c r="CG148" s="22"/>
      <c r="CH148" s="22"/>
      <c r="CI148" s="22"/>
      <c r="CJ148" s="22"/>
      <c r="DI148" s="22"/>
      <c r="DJ148" s="22"/>
      <c r="DK148" s="22"/>
      <c r="DL148" s="22"/>
      <c r="DM148" s="22"/>
      <c r="DN148" s="22"/>
      <c r="DO148" s="22"/>
      <c r="DP148" s="22"/>
      <c r="DQ148" s="22"/>
      <c r="DR148" s="22"/>
      <c r="DS148" s="22"/>
      <c r="DT148" s="22"/>
      <c r="DU148" s="22"/>
      <c r="DV148" s="22"/>
      <c r="DW148" s="22"/>
      <c r="DX148" s="22"/>
      <c r="DZ148" s="3"/>
      <c r="EA148" s="3"/>
      <c r="EB148" s="3"/>
      <c r="EC148" s="3"/>
    </row>
    <row r="149" spans="1:133" ht="10.5" customHeight="1" x14ac:dyDescent="0.15">
      <c r="A149" s="3"/>
      <c r="B149" s="3"/>
      <c r="C149" s="3"/>
      <c r="D149" s="3"/>
      <c r="Z149" s="20"/>
      <c r="AA149" s="20"/>
      <c r="AB149" s="20"/>
      <c r="AF149" s="104">
        <v>34090</v>
      </c>
      <c r="AG149" s="89">
        <v>0</v>
      </c>
      <c r="AH149" s="89"/>
      <c r="AI149" s="96"/>
      <c r="AJ149" s="112">
        <f t="shared" si="1"/>
        <v>0</v>
      </c>
      <c r="AK149" s="89"/>
      <c r="AL149" s="96"/>
      <c r="AM149" s="68"/>
      <c r="AN149" s="68"/>
      <c r="AO149" s="96"/>
      <c r="AP149" s="114" t="e">
        <f>AM150*AJ149/SUM(AJ148:AJ150)/(AJ149*10^3*10^3)</f>
        <v>#DIV/0!</v>
      </c>
      <c r="AQ149" s="68"/>
      <c r="AR149" s="69"/>
      <c r="AS149" s="2"/>
      <c r="AT149" s="21"/>
      <c r="AU149" s="2"/>
      <c r="AV149" s="2"/>
      <c r="AW149" s="2"/>
      <c r="AX149" s="2"/>
      <c r="AY149" s="2"/>
      <c r="BT149" s="22"/>
      <c r="BU149" s="22"/>
      <c r="BV149" s="22"/>
      <c r="BW149" s="22"/>
      <c r="BX149" s="22"/>
      <c r="BY149" s="22"/>
      <c r="BZ149" s="22"/>
      <c r="CA149" s="22"/>
      <c r="CB149" s="22"/>
      <c r="CC149" s="22"/>
      <c r="CD149" s="22"/>
      <c r="CE149" s="22"/>
      <c r="CF149" s="22"/>
      <c r="CG149" s="22"/>
      <c r="CH149" s="22"/>
      <c r="CI149" s="22"/>
      <c r="CJ149" s="22"/>
      <c r="DI149" s="22"/>
      <c r="DJ149" s="22"/>
      <c r="DK149" s="22"/>
      <c r="DL149" s="22"/>
      <c r="DM149" s="22"/>
      <c r="DN149" s="22"/>
      <c r="DO149" s="22"/>
      <c r="DP149" s="22"/>
      <c r="DQ149" s="22"/>
      <c r="DR149" s="22"/>
      <c r="DS149" s="22"/>
      <c r="DT149" s="22"/>
      <c r="DU149" s="22"/>
      <c r="DV149" s="22"/>
      <c r="DW149" s="22"/>
      <c r="DX149" s="22"/>
      <c r="DZ149" s="3"/>
      <c r="EA149" s="3"/>
      <c r="EB149" s="3"/>
      <c r="EC149" s="3"/>
    </row>
    <row r="150" spans="1:133" ht="10.5" customHeight="1" x14ac:dyDescent="0.15">
      <c r="A150" s="3"/>
      <c r="B150" s="3"/>
      <c r="C150" s="3"/>
      <c r="D150" s="3"/>
      <c r="Z150" s="20"/>
      <c r="AA150" s="20"/>
      <c r="AB150" s="20"/>
      <c r="AF150" s="104">
        <v>34121</v>
      </c>
      <c r="AG150" s="89">
        <v>328.86399999999998</v>
      </c>
      <c r="AH150" s="89"/>
      <c r="AI150" s="96"/>
      <c r="AJ150" s="112">
        <f t="shared" si="1"/>
        <v>881.15468702290082</v>
      </c>
      <c r="AK150" s="89"/>
      <c r="AL150" s="96"/>
      <c r="AM150" s="68">
        <v>10000000000</v>
      </c>
      <c r="AN150" s="68"/>
      <c r="AO150" s="96"/>
      <c r="AP150" s="114">
        <f>AM150*AJ150/SUM(AJ148:AJ150)/(AJ150*10^3*10^3)</f>
        <v>11.348745171845298</v>
      </c>
      <c r="AQ150" s="68"/>
      <c r="AR150" s="69"/>
      <c r="AS150" s="2"/>
      <c r="AT150" s="21"/>
      <c r="AU150" s="2"/>
      <c r="AV150" s="2"/>
      <c r="AW150" s="2"/>
      <c r="AX150" s="2"/>
      <c r="AY150" s="2"/>
      <c r="BT150" s="22"/>
      <c r="BU150" s="22"/>
      <c r="BV150" s="22"/>
      <c r="BW150" s="22"/>
      <c r="BX150" s="22"/>
      <c r="BY150" s="22"/>
      <c r="BZ150" s="22"/>
      <c r="CA150" s="22"/>
      <c r="CB150" s="22"/>
      <c r="CC150" s="22"/>
      <c r="CD150" s="22"/>
      <c r="CE150" s="22"/>
      <c r="CF150" s="22"/>
      <c r="CG150" s="22"/>
      <c r="CH150" s="22"/>
      <c r="CI150" s="22"/>
      <c r="CJ150" s="22"/>
      <c r="DI150" s="22"/>
      <c r="DJ150" s="22"/>
      <c r="DK150" s="22"/>
      <c r="DL150" s="22"/>
      <c r="DM150" s="22"/>
      <c r="DN150" s="22"/>
      <c r="DO150" s="22"/>
      <c r="DP150" s="22"/>
      <c r="DQ150" s="22"/>
      <c r="DR150" s="22"/>
      <c r="DS150" s="22"/>
      <c r="DT150" s="22"/>
      <c r="DU150" s="22"/>
      <c r="DV150" s="22"/>
      <c r="DW150" s="22"/>
      <c r="DX150" s="22"/>
      <c r="DZ150" s="3"/>
      <c r="EA150" s="3"/>
      <c r="EB150" s="3"/>
      <c r="EC150" s="3"/>
    </row>
    <row r="151" spans="1:133" ht="10.5" customHeight="1" x14ac:dyDescent="0.15">
      <c r="A151" s="3"/>
      <c r="B151" s="3"/>
      <c r="C151" s="3"/>
      <c r="D151" s="3"/>
      <c r="Z151" s="20"/>
      <c r="AA151" s="20"/>
      <c r="AB151" s="20"/>
      <c r="AF151" s="104">
        <v>34151</v>
      </c>
      <c r="AG151" s="89">
        <v>389.85599999999999</v>
      </c>
      <c r="AH151" s="89"/>
      <c r="AI151" s="96"/>
      <c r="AJ151" s="112">
        <f t="shared" si="1"/>
        <v>1044.576</v>
      </c>
      <c r="AK151" s="89"/>
      <c r="AL151" s="96"/>
      <c r="AM151" s="68"/>
      <c r="AN151" s="68"/>
      <c r="AO151" s="96"/>
      <c r="AP151" s="114">
        <f>AM153*AJ151/SUM(AJ151:AJ153)/(AJ151*10^3*10^3)</f>
        <v>11.299180988292314</v>
      </c>
      <c r="AQ151" s="68"/>
      <c r="AR151" s="69"/>
      <c r="AS151" s="2"/>
      <c r="AT151" s="21"/>
      <c r="AU151" s="2"/>
      <c r="AV151" s="2"/>
      <c r="AW151" s="2"/>
      <c r="AX151" s="2"/>
      <c r="AY151" s="2"/>
      <c r="BT151" s="22"/>
      <c r="BU151" s="22"/>
      <c r="BV151" s="22"/>
      <c r="BW151" s="22"/>
      <c r="BX151" s="22"/>
      <c r="BY151" s="22"/>
      <c r="BZ151" s="22"/>
      <c r="CA151" s="22"/>
      <c r="CB151" s="22"/>
      <c r="CC151" s="22"/>
      <c r="CD151" s="22"/>
      <c r="CE151" s="22"/>
      <c r="CF151" s="22"/>
      <c r="CG151" s="22"/>
      <c r="CH151" s="22"/>
      <c r="CI151" s="22"/>
      <c r="CJ151" s="22"/>
      <c r="DI151" s="22"/>
      <c r="DJ151" s="22"/>
      <c r="DK151" s="22"/>
      <c r="DL151" s="22"/>
      <c r="DM151" s="22"/>
      <c r="DN151" s="22"/>
      <c r="DO151" s="22"/>
      <c r="DP151" s="22"/>
      <c r="DQ151" s="22"/>
      <c r="DR151" s="22"/>
      <c r="DS151" s="22"/>
      <c r="DT151" s="22"/>
      <c r="DU151" s="22"/>
      <c r="DV151" s="22"/>
      <c r="DW151" s="22"/>
      <c r="DX151" s="22"/>
      <c r="DZ151" s="3"/>
      <c r="EA151" s="3"/>
      <c r="EB151" s="3"/>
      <c r="EC151" s="3"/>
    </row>
    <row r="152" spans="1:133" ht="10.5" customHeight="1" x14ac:dyDescent="0.15">
      <c r="A152" s="3"/>
      <c r="B152" s="3"/>
      <c r="C152" s="3"/>
      <c r="D152" s="3"/>
      <c r="Q152" s="5"/>
      <c r="R152" s="5"/>
      <c r="S152" s="5"/>
      <c r="T152" s="5"/>
      <c r="U152" s="5"/>
      <c r="V152" s="5"/>
      <c r="W152" s="5"/>
      <c r="X152" s="5"/>
      <c r="Y152" s="5"/>
      <c r="Z152" s="20"/>
      <c r="AA152" s="20"/>
      <c r="AB152" s="20"/>
      <c r="AF152" s="104">
        <v>34182</v>
      </c>
      <c r="AG152" s="89">
        <v>389.58600000000001</v>
      </c>
      <c r="AH152" s="89"/>
      <c r="AI152" s="96"/>
      <c r="AJ152" s="112">
        <f t="shared" si="1"/>
        <v>1043.8525648854963</v>
      </c>
      <c r="AK152" s="89"/>
      <c r="AL152" s="96"/>
      <c r="AM152" s="68"/>
      <c r="AN152" s="68"/>
      <c r="AO152" s="96"/>
      <c r="AP152" s="114">
        <f>AM153*AJ152/SUM(AJ151:AJ153)/(AJ152*10^3*10^3)</f>
        <v>11.299180988292314</v>
      </c>
      <c r="AQ152" s="68"/>
      <c r="AR152" s="69"/>
      <c r="AS152" s="2"/>
      <c r="AT152" s="21"/>
      <c r="AU152" s="2"/>
      <c r="AV152" s="2"/>
      <c r="AW152" s="2"/>
      <c r="AX152" s="2"/>
      <c r="AY152" s="2"/>
      <c r="BT152" s="22"/>
      <c r="BU152" s="22"/>
      <c r="BV152" s="22"/>
      <c r="BW152" s="22"/>
      <c r="BX152" s="22"/>
      <c r="BY152" s="22"/>
      <c r="BZ152" s="22"/>
      <c r="CA152" s="22"/>
      <c r="CB152" s="22"/>
      <c r="CC152" s="22"/>
      <c r="CD152" s="22"/>
      <c r="CE152" s="22"/>
      <c r="CF152" s="22"/>
      <c r="CG152" s="22"/>
      <c r="CH152" s="22"/>
      <c r="CI152" s="22"/>
      <c r="CJ152" s="22"/>
      <c r="DI152" s="22"/>
      <c r="DJ152" s="22"/>
      <c r="DK152" s="22"/>
      <c r="DL152" s="22"/>
      <c r="DM152" s="22"/>
      <c r="DN152" s="22"/>
      <c r="DO152" s="22"/>
      <c r="DP152" s="22"/>
      <c r="DQ152" s="22"/>
      <c r="DR152" s="22"/>
      <c r="DS152" s="22"/>
      <c r="DT152" s="22"/>
      <c r="DU152" s="22"/>
      <c r="DV152" s="22"/>
      <c r="DW152" s="22"/>
      <c r="DX152" s="22"/>
      <c r="DZ152" s="3"/>
      <c r="EA152" s="3"/>
      <c r="EB152" s="3"/>
      <c r="EC152" s="3"/>
    </row>
    <row r="153" spans="1:133" ht="10.5" customHeight="1" x14ac:dyDescent="0.15">
      <c r="A153" s="1"/>
      <c r="B153" s="3"/>
      <c r="C153" s="3"/>
      <c r="D153" s="3"/>
      <c r="Q153" s="5"/>
      <c r="R153" s="5"/>
      <c r="S153" s="5"/>
      <c r="T153" s="5"/>
      <c r="U153" s="5"/>
      <c r="V153" s="5"/>
      <c r="W153" s="5"/>
      <c r="X153" s="5"/>
      <c r="Y153" s="5"/>
      <c r="Z153" s="20"/>
      <c r="AA153" s="20"/>
      <c r="AF153" s="104">
        <v>34213</v>
      </c>
      <c r="AG153" s="89">
        <v>376.63099999999997</v>
      </c>
      <c r="AH153" s="89"/>
      <c r="AI153" s="96"/>
      <c r="AJ153" s="112">
        <f t="shared" si="1"/>
        <v>1009.1410763358779</v>
      </c>
      <c r="AK153" s="89"/>
      <c r="AL153" s="96"/>
      <c r="AM153" s="68">
        <v>35000000000</v>
      </c>
      <c r="AN153" s="68"/>
      <c r="AO153" s="96"/>
      <c r="AP153" s="114">
        <f>AM153*AJ153/SUM(AJ151:AJ153)/(AJ153*10^3*10^3)</f>
        <v>11.299180988292315</v>
      </c>
      <c r="AQ153" s="68"/>
      <c r="AR153" s="69"/>
      <c r="AS153" s="2"/>
      <c r="AT153" s="21"/>
      <c r="AU153" s="2"/>
      <c r="AV153" s="2"/>
      <c r="AW153" s="2"/>
      <c r="AX153" s="2"/>
      <c r="AY153" s="2"/>
      <c r="BT153" s="22"/>
      <c r="BU153" s="22"/>
      <c r="BV153" s="22"/>
      <c r="BW153" s="22"/>
      <c r="BX153" s="22"/>
      <c r="BY153" s="22"/>
      <c r="BZ153" s="22"/>
      <c r="CA153" s="22"/>
      <c r="CB153" s="22"/>
      <c r="CC153" s="22"/>
      <c r="CD153" s="22"/>
      <c r="CE153" s="22"/>
      <c r="CF153" s="22"/>
      <c r="CG153" s="22"/>
      <c r="CH153" s="22"/>
      <c r="CI153" s="22"/>
      <c r="CJ153" s="22"/>
      <c r="DI153" s="22"/>
      <c r="DJ153" s="22"/>
      <c r="DK153" s="22"/>
      <c r="DL153" s="22"/>
      <c r="DM153" s="22"/>
      <c r="DN153" s="22"/>
      <c r="DO153" s="22"/>
      <c r="DP153" s="22"/>
      <c r="DQ153" s="22"/>
      <c r="DR153" s="22"/>
      <c r="DS153" s="22"/>
      <c r="DT153" s="22"/>
      <c r="DU153" s="22"/>
      <c r="DV153" s="22"/>
      <c r="DW153" s="22"/>
      <c r="DX153" s="22"/>
      <c r="DZ153" s="3"/>
      <c r="EA153" s="3"/>
      <c r="EB153" s="3"/>
      <c r="EC153" s="3"/>
    </row>
    <row r="154" spans="1:133" ht="10.5" customHeight="1" x14ac:dyDescent="0.15">
      <c r="A154" s="1"/>
      <c r="B154" s="3"/>
      <c r="C154" s="3"/>
      <c r="D154" s="3"/>
      <c r="Q154" s="5"/>
      <c r="R154" s="5"/>
      <c r="S154" s="5"/>
      <c r="T154" s="5"/>
      <c r="U154" s="5"/>
      <c r="V154" s="5"/>
      <c r="W154" s="5"/>
      <c r="X154" s="5"/>
      <c r="Y154" s="5"/>
      <c r="Z154" s="20"/>
      <c r="AA154" s="20"/>
      <c r="AF154" s="104">
        <v>34243</v>
      </c>
      <c r="AG154" s="89">
        <v>389.85599999999999</v>
      </c>
      <c r="AH154" s="89"/>
      <c r="AI154" s="96"/>
      <c r="AJ154" s="112">
        <f t="shared" si="1"/>
        <v>1044.576</v>
      </c>
      <c r="AK154" s="89"/>
      <c r="AL154" s="96"/>
      <c r="AM154" s="68"/>
      <c r="AN154" s="68"/>
      <c r="AO154" s="96"/>
      <c r="AP154" s="114">
        <f>AM156*AJ154/SUM(AJ154:AJ156)/(AJ154*10^3*10^3)</f>
        <v>9.138893946673706</v>
      </c>
      <c r="AQ154" s="68"/>
      <c r="AR154" s="69"/>
      <c r="AS154" s="2"/>
      <c r="AT154" s="21"/>
      <c r="AU154" s="2"/>
      <c r="AV154" s="2"/>
      <c r="AW154" s="2"/>
      <c r="AX154" s="2"/>
      <c r="AY154" s="2"/>
      <c r="BT154" s="22"/>
      <c r="BU154" s="22"/>
      <c r="BV154" s="22"/>
      <c r="BW154" s="22"/>
      <c r="BX154" s="22"/>
      <c r="BY154" s="22"/>
      <c r="BZ154" s="22"/>
      <c r="CA154" s="22"/>
      <c r="CB154" s="22"/>
      <c r="CC154" s="22"/>
      <c r="CD154" s="22"/>
      <c r="CE154" s="22"/>
      <c r="CF154" s="22"/>
      <c r="CG154" s="22"/>
      <c r="CH154" s="22"/>
      <c r="CI154" s="22"/>
      <c r="CJ154" s="22"/>
      <c r="DI154" s="22"/>
      <c r="DJ154" s="22"/>
      <c r="DK154" s="22"/>
      <c r="DL154" s="22"/>
      <c r="DM154" s="22"/>
      <c r="DN154" s="22"/>
      <c r="DO154" s="22"/>
      <c r="DP154" s="22"/>
      <c r="DQ154" s="22"/>
      <c r="DR154" s="22"/>
      <c r="DS154" s="22"/>
      <c r="DT154" s="22"/>
      <c r="DU154" s="22"/>
      <c r="DV154" s="22"/>
      <c r="DW154" s="22"/>
      <c r="DX154" s="22"/>
      <c r="DZ154" s="3"/>
      <c r="EA154" s="3"/>
      <c r="EB154" s="3"/>
      <c r="EC154" s="3"/>
    </row>
    <row r="155" spans="1:133" ht="10.5" customHeight="1" x14ac:dyDescent="0.15">
      <c r="A155" s="1"/>
      <c r="B155" s="1"/>
      <c r="C155" s="2"/>
      <c r="G155" s="6"/>
      <c r="AF155" s="104">
        <v>34274</v>
      </c>
      <c r="AG155" s="89">
        <v>334.93400000000003</v>
      </c>
      <c r="AH155" s="89"/>
      <c r="AI155" s="96"/>
      <c r="AJ155" s="112">
        <f t="shared" si="1"/>
        <v>897.41858015267178</v>
      </c>
      <c r="AK155" s="89"/>
      <c r="AL155" s="96"/>
      <c r="AM155" s="68"/>
      <c r="AN155" s="68"/>
      <c r="AO155" s="96"/>
      <c r="AP155" s="114">
        <f>AM156*AJ155/SUM(AJ154:AJ156)/(AJ155*10^3*10^3)</f>
        <v>9.1388939466737042</v>
      </c>
      <c r="AQ155" s="68"/>
      <c r="AR155" s="69"/>
      <c r="AS155" s="2"/>
      <c r="AT155" s="21"/>
      <c r="AU155" s="2"/>
      <c r="AV155" s="2"/>
      <c r="AW155" s="2"/>
      <c r="AX155" s="2"/>
      <c r="AY155" s="2"/>
      <c r="BT155" s="22"/>
      <c r="BU155" s="22"/>
      <c r="BV155" s="22"/>
      <c r="BW155" s="22"/>
      <c r="BX155" s="22"/>
      <c r="BY155" s="22"/>
      <c r="BZ155" s="22"/>
      <c r="CA155" s="22"/>
      <c r="CB155" s="22"/>
      <c r="CC155" s="22"/>
      <c r="CD155" s="22"/>
      <c r="CE155" s="22"/>
      <c r="CF155" s="22"/>
      <c r="CG155" s="22"/>
      <c r="CH155" s="22"/>
      <c r="CI155" s="22"/>
      <c r="CJ155" s="22"/>
      <c r="DI155" s="22"/>
      <c r="DJ155" s="22"/>
      <c r="DK155" s="22"/>
      <c r="DL155" s="22"/>
      <c r="DM155" s="22"/>
      <c r="DN155" s="22"/>
      <c r="DO155" s="22"/>
      <c r="DP155" s="22"/>
      <c r="DQ155" s="22"/>
      <c r="DR155" s="22"/>
      <c r="DS155" s="22"/>
      <c r="DT155" s="22"/>
      <c r="DU155" s="22"/>
      <c r="DV155" s="22"/>
      <c r="DW155" s="22"/>
      <c r="DX155" s="22"/>
      <c r="DZ155" s="3"/>
      <c r="EA155" s="3"/>
      <c r="EB155" s="3"/>
      <c r="EC155" s="3"/>
    </row>
    <row r="156" spans="1:133" ht="10.5" customHeight="1" x14ac:dyDescent="0.15">
      <c r="AF156" s="104">
        <v>34304</v>
      </c>
      <c r="AG156" s="89">
        <v>132.82</v>
      </c>
      <c r="AH156" s="89"/>
      <c r="AI156" s="96"/>
      <c r="AJ156" s="112">
        <f t="shared" si="1"/>
        <v>355.87648854961833</v>
      </c>
      <c r="AK156" s="89"/>
      <c r="AL156" s="96"/>
      <c r="AM156" s="68">
        <v>21000000000</v>
      </c>
      <c r="AN156" s="68"/>
      <c r="AO156" s="96"/>
      <c r="AP156" s="114">
        <f>AM156*AJ156/SUM(AJ154:AJ156)/(AJ156*10^3*10^3)</f>
        <v>9.138893946673706</v>
      </c>
      <c r="AQ156" s="68"/>
      <c r="AR156" s="69"/>
      <c r="AS156" s="2"/>
      <c r="AT156" s="21"/>
      <c r="AU156" s="2"/>
      <c r="AV156" s="2"/>
      <c r="AW156" s="2"/>
      <c r="AX156" s="2"/>
      <c r="AY156" s="2"/>
      <c r="BT156" s="22"/>
      <c r="BU156" s="22"/>
      <c r="BV156" s="22"/>
      <c r="BW156" s="22"/>
      <c r="BX156" s="22"/>
      <c r="BY156" s="22"/>
      <c r="BZ156" s="22"/>
      <c r="CA156" s="22"/>
      <c r="CB156" s="22"/>
      <c r="CC156" s="22"/>
      <c r="CD156" s="22"/>
      <c r="CE156" s="22"/>
      <c r="CF156" s="22"/>
      <c r="CG156" s="22"/>
      <c r="CH156" s="22"/>
      <c r="CI156" s="22"/>
      <c r="CJ156" s="22"/>
      <c r="DI156" s="22"/>
      <c r="DJ156" s="22"/>
      <c r="DK156" s="22"/>
      <c r="DL156" s="22"/>
      <c r="DM156" s="22"/>
      <c r="DN156" s="22"/>
      <c r="DO156" s="22"/>
      <c r="DP156" s="22"/>
      <c r="DQ156" s="22"/>
      <c r="DR156" s="22"/>
      <c r="DS156" s="22"/>
      <c r="DT156" s="22"/>
      <c r="DU156" s="22"/>
      <c r="DV156" s="22"/>
      <c r="DW156" s="22"/>
      <c r="DX156" s="22"/>
      <c r="DZ156" s="3"/>
      <c r="EA156" s="3"/>
      <c r="EB156" s="3"/>
      <c r="EC156" s="3"/>
    </row>
    <row r="157" spans="1:133" ht="10.5" customHeight="1" x14ac:dyDescent="0.15">
      <c r="AF157" s="104">
        <v>34335</v>
      </c>
      <c r="AG157" s="89">
        <v>389.85599999999999</v>
      </c>
      <c r="AH157" s="89"/>
      <c r="AI157" s="96"/>
      <c r="AJ157" s="112">
        <f t="shared" si="1"/>
        <v>1044.576</v>
      </c>
      <c r="AK157" s="89"/>
      <c r="AL157" s="96"/>
      <c r="AM157" s="68"/>
      <c r="AN157" s="68"/>
      <c r="AO157" s="96"/>
      <c r="AP157" s="114">
        <f>AM159*AJ157/SUM(AJ157:AJ159)/(AJ157*10^3*10^3)</f>
        <v>8.2568465708736323</v>
      </c>
      <c r="AQ157" s="68"/>
      <c r="AR157" s="69"/>
      <c r="AS157" s="2"/>
      <c r="AT157" s="21"/>
      <c r="AU157" s="2"/>
      <c r="AV157" s="2"/>
      <c r="AW157" s="2"/>
      <c r="AX157" s="2"/>
      <c r="AY157" s="2"/>
      <c r="BT157" s="22"/>
      <c r="BU157" s="22"/>
      <c r="BV157" s="22"/>
      <c r="BW157" s="22"/>
      <c r="BX157" s="22"/>
      <c r="BY157" s="22"/>
      <c r="BZ157" s="22"/>
      <c r="CA157" s="22"/>
      <c r="CB157" s="22"/>
      <c r="CC157" s="22"/>
      <c r="CD157" s="22"/>
      <c r="CE157" s="22"/>
      <c r="CF157" s="22"/>
      <c r="CG157" s="22"/>
      <c r="CH157" s="22"/>
      <c r="CI157" s="22"/>
      <c r="CJ157" s="22"/>
      <c r="DI157" s="22"/>
      <c r="DJ157" s="22"/>
      <c r="DK157" s="22"/>
      <c r="DL157" s="22"/>
      <c r="DM157" s="22"/>
      <c r="DN157" s="22"/>
      <c r="DO157" s="22"/>
      <c r="DP157" s="22"/>
      <c r="DQ157" s="22"/>
      <c r="DR157" s="22"/>
      <c r="DS157" s="22"/>
      <c r="DT157" s="22"/>
      <c r="DU157" s="22"/>
      <c r="DV157" s="22"/>
      <c r="DW157" s="22"/>
      <c r="DX157" s="22"/>
      <c r="DZ157" s="3"/>
      <c r="EA157" s="3"/>
      <c r="EB157" s="3"/>
      <c r="EC157" s="3"/>
    </row>
    <row r="158" spans="1:133" ht="10.5" customHeight="1" x14ac:dyDescent="0.15">
      <c r="A158" s="1"/>
      <c r="B158" s="1"/>
      <c r="C158" s="2"/>
      <c r="G158" s="6"/>
      <c r="AF158" s="104">
        <v>34366</v>
      </c>
      <c r="AG158" s="89">
        <v>352.12799999999999</v>
      </c>
      <c r="AH158" s="89"/>
      <c r="AI158" s="96"/>
      <c r="AJ158" s="112">
        <f t="shared" si="1"/>
        <v>943.48800000000006</v>
      </c>
      <c r="AK158" s="89"/>
      <c r="AL158" s="96"/>
      <c r="AM158" s="68"/>
      <c r="AN158" s="68"/>
      <c r="AO158" s="96"/>
      <c r="AP158" s="114">
        <f>AM159*AJ158/SUM(AJ157:AJ159)/(AJ158*10^3*10^3)</f>
        <v>8.2568465708736305</v>
      </c>
      <c r="AQ158" s="68"/>
      <c r="AR158" s="69"/>
      <c r="AS158" s="2"/>
      <c r="AT158" s="21"/>
      <c r="AU158" s="2"/>
      <c r="AV158" s="2"/>
      <c r="AW158" s="2"/>
      <c r="AX158" s="2"/>
      <c r="AY158" s="2"/>
      <c r="BT158" s="22"/>
      <c r="BU158" s="22"/>
      <c r="BV158" s="22"/>
      <c r="BW158" s="22"/>
      <c r="BX158" s="22"/>
      <c r="BY158" s="22"/>
      <c r="BZ158" s="22"/>
      <c r="CA158" s="22"/>
      <c r="CB158" s="22"/>
      <c r="CC158" s="22"/>
      <c r="CD158" s="22"/>
      <c r="CE158" s="22"/>
      <c r="CF158" s="22"/>
      <c r="CG158" s="22"/>
      <c r="CH158" s="22"/>
      <c r="CI158" s="22"/>
      <c r="CJ158" s="22"/>
      <c r="DI158" s="22"/>
      <c r="DJ158" s="22"/>
      <c r="DK158" s="22"/>
      <c r="DL158" s="22"/>
      <c r="DM158" s="22"/>
      <c r="DN158" s="22"/>
      <c r="DO158" s="22"/>
      <c r="DP158" s="22"/>
      <c r="DQ158" s="22"/>
      <c r="DR158" s="22"/>
      <c r="DS158" s="22"/>
      <c r="DT158" s="22"/>
      <c r="DU158" s="22"/>
      <c r="DV158" s="22"/>
      <c r="DW158" s="22"/>
      <c r="DX158" s="22"/>
      <c r="DZ158" s="3"/>
      <c r="EA158" s="3"/>
      <c r="EB158" s="3"/>
      <c r="EC158" s="3"/>
    </row>
    <row r="159" spans="1:133" ht="10.5" customHeight="1" x14ac:dyDescent="0.15">
      <c r="A159" s="1" t="s">
        <v>0</v>
      </c>
      <c r="B159" s="1"/>
      <c r="C159" s="2"/>
      <c r="F159" s="35" t="s">
        <v>57</v>
      </c>
      <c r="O159" s="4"/>
      <c r="AF159" s="104">
        <v>34394</v>
      </c>
      <c r="AG159" s="89">
        <v>388.04599999999999</v>
      </c>
      <c r="AH159" s="89"/>
      <c r="AI159" s="96"/>
      <c r="AJ159" s="112">
        <f t="shared" si="1"/>
        <v>1039.7263053435115</v>
      </c>
      <c r="AK159" s="89"/>
      <c r="AL159" s="96"/>
      <c r="AM159" s="68">
        <v>25000000000</v>
      </c>
      <c r="AN159" s="68"/>
      <c r="AO159" s="96"/>
      <c r="AP159" s="114">
        <f>AM159*AJ159/SUM(AJ157:AJ159)/(AJ159*10^3*10^3)</f>
        <v>8.2568465708736323</v>
      </c>
      <c r="AQ159" s="68"/>
      <c r="AR159" s="69"/>
      <c r="AS159" s="2"/>
      <c r="AT159" s="21"/>
      <c r="AU159" s="2"/>
      <c r="AV159" s="2"/>
      <c r="AW159" s="2"/>
      <c r="AX159" s="2"/>
      <c r="AY159" s="2"/>
      <c r="BT159" s="22"/>
      <c r="BU159" s="22"/>
      <c r="BV159" s="22"/>
      <c r="BW159" s="22"/>
      <c r="BX159" s="22"/>
      <c r="BY159" s="22"/>
      <c r="BZ159" s="22"/>
      <c r="CA159" s="22"/>
      <c r="CB159" s="22"/>
      <c r="CC159" s="22"/>
      <c r="CD159" s="22"/>
      <c r="CE159" s="22"/>
      <c r="CF159" s="22"/>
      <c r="CG159" s="22"/>
      <c r="CH159" s="22"/>
      <c r="CI159" s="22"/>
      <c r="CJ159" s="22"/>
      <c r="DI159" s="22"/>
      <c r="DJ159" s="22"/>
      <c r="DK159" s="22"/>
      <c r="DL159" s="22"/>
      <c r="DM159" s="22"/>
      <c r="DN159" s="22"/>
      <c r="DO159" s="22"/>
      <c r="DP159" s="22"/>
      <c r="DQ159" s="22"/>
      <c r="DR159" s="22"/>
      <c r="DS159" s="22"/>
      <c r="DT159" s="22"/>
      <c r="DU159" s="22"/>
      <c r="DV159" s="22"/>
      <c r="DW159" s="22"/>
      <c r="DX159" s="22"/>
      <c r="DZ159" s="3"/>
      <c r="EA159" s="3"/>
      <c r="EB159" s="3"/>
      <c r="EC159" s="3"/>
    </row>
    <row r="160" spans="1:133" ht="10.5" customHeight="1" x14ac:dyDescent="0.15">
      <c r="A160" s="1"/>
      <c r="B160" s="1"/>
      <c r="C160" s="2"/>
      <c r="D160" s="6" t="s">
        <v>37</v>
      </c>
      <c r="O160" s="4"/>
      <c r="AF160" s="105">
        <v>34425</v>
      </c>
      <c r="AG160" s="89">
        <v>377.28</v>
      </c>
      <c r="AH160" s="89">
        <v>0</v>
      </c>
      <c r="AI160" s="96"/>
      <c r="AJ160" s="112">
        <f t="shared" si="1"/>
        <v>1010.88</v>
      </c>
      <c r="AK160" s="112">
        <f>60*60*60/(82.5*10^6)*AH160*10^6/10^3</f>
        <v>0</v>
      </c>
      <c r="AL160" s="96"/>
      <c r="AM160" s="68"/>
      <c r="AN160" s="68"/>
      <c r="AO160" s="96"/>
      <c r="AP160" s="115">
        <f>AM162*AJ160/SUM(AJ160:AJ162)/(AJ160*10^3*10^3)</f>
        <v>4.6978333843460653</v>
      </c>
      <c r="AQ160" s="114" t="e">
        <f>AN162*AK160/SUM(AK160:AK162)/(AK160*10^3*10^3)</f>
        <v>#DIV/0!</v>
      </c>
      <c r="AR160" s="69"/>
      <c r="AS160" s="2"/>
      <c r="AT160" s="21"/>
      <c r="AU160" s="2"/>
      <c r="AV160" s="2"/>
      <c r="AW160" s="2"/>
      <c r="AX160" s="2"/>
      <c r="AY160" s="2"/>
      <c r="BT160" s="22"/>
      <c r="BU160" s="22"/>
      <c r="BV160" s="22"/>
      <c r="BW160" s="22"/>
      <c r="BX160" s="22"/>
      <c r="BY160" s="22"/>
      <c r="BZ160" s="22"/>
      <c r="CA160" s="22"/>
      <c r="CB160" s="22"/>
      <c r="CC160" s="22"/>
      <c r="CD160" s="22"/>
      <c r="CE160" s="22"/>
      <c r="CF160" s="22"/>
      <c r="CG160" s="22"/>
      <c r="CH160" s="22"/>
      <c r="CI160" s="22"/>
      <c r="CJ160" s="22"/>
      <c r="DI160" s="22"/>
      <c r="DJ160" s="22"/>
      <c r="DK160" s="22"/>
      <c r="DL160" s="22"/>
      <c r="DM160" s="22"/>
      <c r="DN160" s="22"/>
      <c r="DO160" s="22"/>
      <c r="DP160" s="22"/>
      <c r="DQ160" s="22"/>
      <c r="DR160" s="22"/>
      <c r="DS160" s="22"/>
      <c r="DT160" s="22"/>
      <c r="DU160" s="22"/>
      <c r="DV160" s="22"/>
      <c r="DW160" s="22"/>
      <c r="DX160" s="22"/>
      <c r="DZ160" s="3"/>
      <c r="EA160" s="3"/>
      <c r="EB160" s="3"/>
      <c r="EC160" s="3"/>
    </row>
    <row r="161" spans="3:133" ht="10.5" customHeight="1" x14ac:dyDescent="0.15">
      <c r="C161" s="26"/>
      <c r="D161" s="9"/>
      <c r="E161" s="9"/>
      <c r="F161" s="9" t="s">
        <v>47</v>
      </c>
      <c r="G161" s="27"/>
      <c r="H161" s="27"/>
      <c r="I161" s="27"/>
      <c r="J161" s="27"/>
      <c r="K161" s="27"/>
      <c r="L161" s="27"/>
      <c r="M161" s="28"/>
      <c r="N161" s="27"/>
      <c r="O161" s="27"/>
      <c r="P161" s="9" t="s">
        <v>38</v>
      </c>
      <c r="Q161" s="27"/>
      <c r="R161" s="27"/>
      <c r="S161" s="27"/>
      <c r="T161" s="27"/>
      <c r="U161" s="27"/>
      <c r="V161" s="27"/>
      <c r="W161" s="28"/>
      <c r="X161" s="9" t="s">
        <v>3</v>
      </c>
      <c r="Y161" s="9"/>
      <c r="Z161" s="9"/>
      <c r="AA161" s="9"/>
      <c r="AB161" s="9"/>
      <c r="AC161" s="10"/>
      <c r="AF161" s="105">
        <v>34455</v>
      </c>
      <c r="AG161" s="89">
        <v>99.39</v>
      </c>
      <c r="AH161" s="89">
        <v>0</v>
      </c>
      <c r="AI161" s="96"/>
      <c r="AJ161" s="112">
        <f t="shared" si="1"/>
        <v>266.30450381679395</v>
      </c>
      <c r="AK161" s="112">
        <f t="shared" ref="AK161:AK224" si="2">60*60*60/(82.5*10^6)*AH161*10^6/10^3</f>
        <v>0</v>
      </c>
      <c r="AL161" s="96"/>
      <c r="AM161" s="68"/>
      <c r="AN161" s="68"/>
      <c r="AO161" s="96"/>
      <c r="AP161" s="115">
        <f>AM162*AJ161/SUM(AJ160:AJ162)/(AJ161*10^3*10^3)</f>
        <v>4.6978333843460653</v>
      </c>
      <c r="AQ161" s="114" t="e">
        <f>AN162*AK161/SUM(AK160:AK162)/(AK161*10^3*10^3)</f>
        <v>#DIV/0!</v>
      </c>
      <c r="AR161" s="69"/>
      <c r="AS161" s="2"/>
      <c r="AT161" s="21"/>
      <c r="AU161" s="2"/>
      <c r="AV161" s="2"/>
      <c r="AW161" s="2"/>
      <c r="AX161" s="2"/>
      <c r="AY161" s="2"/>
      <c r="BT161" s="22"/>
      <c r="BU161" s="22"/>
      <c r="BV161" s="22"/>
      <c r="BW161" s="22"/>
      <c r="BX161" s="22"/>
      <c r="BY161" s="22"/>
      <c r="BZ161" s="22"/>
      <c r="CA161" s="22"/>
      <c r="CB161" s="22"/>
      <c r="CC161" s="22"/>
      <c r="CD161" s="22"/>
      <c r="CE161" s="22"/>
      <c r="CF161" s="22"/>
      <c r="CG161" s="22"/>
      <c r="CH161" s="22"/>
      <c r="CI161" s="22"/>
      <c r="CJ161" s="22"/>
      <c r="DI161" s="22"/>
      <c r="DJ161" s="22"/>
      <c r="DK161" s="22"/>
      <c r="DL161" s="22"/>
      <c r="DM161" s="22"/>
      <c r="DN161" s="22"/>
      <c r="DO161" s="22"/>
      <c r="DP161" s="22"/>
      <c r="DQ161" s="22"/>
      <c r="DR161" s="22"/>
      <c r="DS161" s="22"/>
      <c r="DT161" s="22"/>
      <c r="DU161" s="22"/>
      <c r="DV161" s="22"/>
      <c r="DW161" s="22"/>
      <c r="DX161" s="22"/>
      <c r="DZ161" s="3"/>
      <c r="EA161" s="3"/>
      <c r="EB161" s="3"/>
      <c r="EC161" s="3"/>
    </row>
    <row r="162" spans="3:133" ht="35.25" customHeight="1" x14ac:dyDescent="0.15">
      <c r="C162" s="29"/>
      <c r="D162" s="30" t="s">
        <v>61</v>
      </c>
      <c r="E162" s="28"/>
      <c r="G162" s="31"/>
      <c r="H162" s="27"/>
      <c r="I162" s="32" t="s">
        <v>62</v>
      </c>
      <c r="J162" s="28"/>
      <c r="K162" s="27"/>
      <c r="M162" s="31"/>
      <c r="N162" s="30" t="s">
        <v>63</v>
      </c>
      <c r="O162" s="31"/>
      <c r="P162" s="27"/>
      <c r="Q162" s="27"/>
      <c r="R162" s="31"/>
      <c r="S162" s="30" t="s">
        <v>64</v>
      </c>
      <c r="T162" s="31"/>
      <c r="U162" s="27"/>
      <c r="V162" s="31"/>
      <c r="W162" s="13"/>
      <c r="X162" s="85" t="s">
        <v>5</v>
      </c>
      <c r="Y162" s="86" t="s">
        <v>58</v>
      </c>
      <c r="Z162" s="86" t="s">
        <v>59</v>
      </c>
      <c r="AA162" s="87" t="s">
        <v>6</v>
      </c>
      <c r="AB162" s="85" t="s">
        <v>7</v>
      </c>
      <c r="AC162" s="88" t="s">
        <v>8</v>
      </c>
      <c r="AF162" s="105">
        <v>34486</v>
      </c>
      <c r="AG162" s="89">
        <v>0</v>
      </c>
      <c r="AH162" s="89">
        <v>0</v>
      </c>
      <c r="AI162" s="96"/>
      <c r="AJ162" s="112">
        <f t="shared" si="1"/>
        <v>0</v>
      </c>
      <c r="AK162" s="112">
        <f t="shared" si="2"/>
        <v>0</v>
      </c>
      <c r="AL162" s="96"/>
      <c r="AM162" s="68">
        <v>6000000000</v>
      </c>
      <c r="AN162" s="68"/>
      <c r="AO162" s="96"/>
      <c r="AP162" s="115" t="e">
        <f>AM162*AJ162/SUM(AJ160:AJ162)/(AJ162*10^3*10^3)</f>
        <v>#DIV/0!</v>
      </c>
      <c r="AQ162" s="114" t="e">
        <f>AN162*AK162/SUM(AK160:AK162)/(AK162*10^3*10^3)</f>
        <v>#DIV/0!</v>
      </c>
      <c r="AR162" s="69"/>
      <c r="AS162" s="2"/>
      <c r="AT162" s="21"/>
      <c r="AU162" s="2"/>
      <c r="AV162" s="2"/>
      <c r="AW162" s="2"/>
      <c r="AX162" s="2"/>
      <c r="AY162" s="2"/>
      <c r="BT162" s="22"/>
      <c r="BU162" s="22"/>
      <c r="BV162" s="22"/>
      <c r="BW162" s="22"/>
      <c r="BX162" s="22"/>
      <c r="BY162" s="22"/>
      <c r="BZ162" s="22"/>
      <c r="CA162" s="22"/>
      <c r="CB162" s="22"/>
      <c r="CC162" s="22"/>
      <c r="CD162" s="22"/>
      <c r="CE162" s="22"/>
      <c r="CF162" s="22"/>
      <c r="CG162" s="22"/>
      <c r="CH162" s="22"/>
      <c r="CI162" s="22"/>
      <c r="CJ162" s="22"/>
      <c r="DI162" s="22"/>
      <c r="DJ162" s="22"/>
      <c r="DK162" s="22"/>
      <c r="DL162" s="22"/>
      <c r="DM162" s="22"/>
      <c r="DN162" s="22"/>
      <c r="DO162" s="22"/>
      <c r="DP162" s="22"/>
      <c r="DQ162" s="22"/>
      <c r="DR162" s="22"/>
      <c r="DS162" s="22"/>
      <c r="DT162" s="22"/>
      <c r="DU162" s="22"/>
      <c r="DV162" s="22"/>
      <c r="DW162" s="22"/>
      <c r="DX162" s="22"/>
      <c r="DZ162" s="3"/>
      <c r="EA162" s="3"/>
      <c r="EB162" s="3"/>
      <c r="EC162" s="3"/>
    </row>
    <row r="163" spans="3:133" ht="33" customHeight="1" x14ac:dyDescent="0.15">
      <c r="C163" s="201"/>
      <c r="D163" s="142" t="s">
        <v>1</v>
      </c>
      <c r="E163" s="142" t="s">
        <v>2</v>
      </c>
      <c r="F163" s="142" t="s">
        <v>36</v>
      </c>
      <c r="G163" s="143" t="s">
        <v>35</v>
      </c>
      <c r="H163" s="144" t="s">
        <v>52</v>
      </c>
      <c r="I163" s="142" t="s">
        <v>1</v>
      </c>
      <c r="J163" s="142" t="s">
        <v>2</v>
      </c>
      <c r="K163" s="142" t="s">
        <v>36</v>
      </c>
      <c r="L163" s="143" t="s">
        <v>35</v>
      </c>
      <c r="M163" s="144" t="s">
        <v>53</v>
      </c>
      <c r="N163" s="142" t="s">
        <v>1</v>
      </c>
      <c r="O163" s="142" t="s">
        <v>2</v>
      </c>
      <c r="P163" s="142" t="s">
        <v>39</v>
      </c>
      <c r="Q163" s="143" t="s">
        <v>35</v>
      </c>
      <c r="R163" s="144" t="s">
        <v>53</v>
      </c>
      <c r="S163" s="142" t="s">
        <v>1</v>
      </c>
      <c r="T163" s="142" t="s">
        <v>2</v>
      </c>
      <c r="U163" s="142" t="s">
        <v>39</v>
      </c>
      <c r="V163" s="143" t="s">
        <v>35</v>
      </c>
      <c r="W163" s="144" t="s">
        <v>54</v>
      </c>
      <c r="X163" s="145" t="s">
        <v>35</v>
      </c>
      <c r="Y163" s="145"/>
      <c r="Z163" s="145"/>
      <c r="AB163" s="47"/>
      <c r="AC163" s="33" t="s">
        <v>4</v>
      </c>
      <c r="AF163" s="105">
        <v>34516</v>
      </c>
      <c r="AG163" s="89">
        <v>112.363</v>
      </c>
      <c r="AH163" s="89">
        <v>0</v>
      </c>
      <c r="AI163" s="96"/>
      <c r="AJ163" s="112">
        <f t="shared" ref="AJ163:AJ226" si="3">39*60*60/(52.4*10^6)*AG163*10^6/10^3</f>
        <v>301.06422137404581</v>
      </c>
      <c r="AK163" s="112">
        <f t="shared" si="2"/>
        <v>0</v>
      </c>
      <c r="AL163" s="96"/>
      <c r="AM163" s="68"/>
      <c r="AN163" s="68"/>
      <c r="AO163" s="96"/>
      <c r="AP163" s="115">
        <f>AM165*AJ163/SUM(AJ163:AJ165)/(AJ163*10^3*10^3)</f>
        <v>2.2085142608064832</v>
      </c>
      <c r="AQ163" s="114" t="e">
        <f>AN165*AK163/SUM(AK163:AK165)/(AK163*10^3*10^3)</f>
        <v>#DIV/0!</v>
      </c>
      <c r="AR163" s="69"/>
      <c r="AS163" s="2"/>
      <c r="AT163" s="21"/>
      <c r="AU163" s="2"/>
      <c r="AV163" s="2"/>
      <c r="AW163" s="2"/>
      <c r="AX163" s="2"/>
      <c r="AY163" s="2"/>
      <c r="BT163" s="22"/>
      <c r="BU163" s="22"/>
      <c r="BV163" s="22"/>
      <c r="BW163" s="22"/>
      <c r="BX163" s="22"/>
      <c r="BY163" s="22"/>
      <c r="BZ163" s="22"/>
      <c r="CA163" s="22"/>
      <c r="CB163" s="22"/>
      <c r="CC163" s="22"/>
      <c r="CD163" s="22"/>
      <c r="CE163" s="22"/>
      <c r="CF163" s="22"/>
      <c r="CG163" s="22"/>
      <c r="CH163" s="22"/>
      <c r="CI163" s="22"/>
      <c r="CJ163" s="22"/>
      <c r="DI163" s="22"/>
      <c r="DJ163" s="22"/>
      <c r="DK163" s="22"/>
      <c r="DL163" s="22"/>
      <c r="DM163" s="22"/>
      <c r="DN163" s="22"/>
      <c r="DO163" s="22"/>
      <c r="DP163" s="22"/>
      <c r="DQ163" s="22"/>
      <c r="DR163" s="22"/>
      <c r="DS163" s="22"/>
      <c r="DT163" s="22"/>
      <c r="DU163" s="22"/>
      <c r="DV163" s="22"/>
      <c r="DW163" s="22"/>
      <c r="DX163" s="22"/>
      <c r="DZ163" s="3"/>
      <c r="EA163" s="3"/>
      <c r="EB163" s="3"/>
      <c r="EC163" s="3"/>
    </row>
    <row r="164" spans="3:133" ht="10.5" customHeight="1" x14ac:dyDescent="0.15">
      <c r="C164" s="202" t="s">
        <v>9</v>
      </c>
      <c r="D164" s="184" t="s">
        <v>88</v>
      </c>
      <c r="E164" s="166"/>
      <c r="F164" s="166"/>
      <c r="G164" s="167" t="s">
        <v>88</v>
      </c>
      <c r="H164" s="61">
        <f>3.8*10^4*3.7*10^10</f>
        <v>1406000000000000</v>
      </c>
      <c r="I164" s="184" t="s">
        <v>88</v>
      </c>
      <c r="J164" s="166"/>
      <c r="K164" s="166"/>
      <c r="L164" s="167" t="s">
        <v>88</v>
      </c>
      <c r="M164" s="205">
        <f>2.3*10^0*3.7*10^10</f>
        <v>85100000000</v>
      </c>
      <c r="N164" s="189" t="s">
        <v>88</v>
      </c>
      <c r="O164" s="168"/>
      <c r="P164" s="168"/>
      <c r="Q164" s="169" t="s">
        <v>88</v>
      </c>
      <c r="R164" s="205">
        <f>1*10^-1*3.7*10^10</f>
        <v>3700000000.0000005</v>
      </c>
      <c r="S164" s="193">
        <f>0.017*3.7*10^10</f>
        <v>629000000.00000012</v>
      </c>
      <c r="T164" s="170"/>
      <c r="U164" s="170"/>
      <c r="V164" s="171">
        <f t="shared" ref="V164:V189" si="4">SUM(S164:U164)</f>
        <v>629000000.00000012</v>
      </c>
      <c r="W164" s="209">
        <f>1*10^2*3.7*10^10</f>
        <v>3700000000000</v>
      </c>
      <c r="X164" s="198">
        <v>152</v>
      </c>
      <c r="Y164" s="172"/>
      <c r="Z164" s="172"/>
      <c r="AA164" s="173">
        <f>SUM(Y164:Z164)</f>
        <v>0</v>
      </c>
      <c r="AB164" s="172">
        <v>152</v>
      </c>
      <c r="AC164" s="174">
        <v>15000</v>
      </c>
      <c r="AF164" s="105">
        <v>34547</v>
      </c>
      <c r="AG164" s="89">
        <v>389.55599999999998</v>
      </c>
      <c r="AH164" s="89">
        <v>0</v>
      </c>
      <c r="AI164" s="96"/>
      <c r="AJ164" s="112">
        <f t="shared" si="3"/>
        <v>1043.7721832061068</v>
      </c>
      <c r="AK164" s="112">
        <f t="shared" si="2"/>
        <v>0</v>
      </c>
      <c r="AL164" s="96"/>
      <c r="AM164" s="68"/>
      <c r="AN164" s="68"/>
      <c r="AO164" s="96"/>
      <c r="AP164" s="115">
        <f>AM165*AJ164/SUM(AJ163:AJ165)/(AJ164*10^3*10^3)</f>
        <v>2.2085142608064836</v>
      </c>
      <c r="AQ164" s="114" t="e">
        <f>AN165*AK164/SUM(AK163:AK165)/(AK164*10^3*10^3)</f>
        <v>#DIV/0!</v>
      </c>
      <c r="AR164" s="69"/>
      <c r="AS164" s="2"/>
      <c r="AT164" s="21"/>
      <c r="AU164" s="2"/>
      <c r="AV164" s="2"/>
      <c r="AW164" s="2"/>
      <c r="AX164" s="2"/>
      <c r="AY164" s="2"/>
      <c r="BT164" s="22"/>
      <c r="BU164" s="22"/>
      <c r="BV164" s="22"/>
      <c r="BW164" s="22"/>
      <c r="BX164" s="22"/>
      <c r="BY164" s="22"/>
      <c r="BZ164" s="22"/>
      <c r="CA164" s="22"/>
      <c r="CB164" s="22"/>
      <c r="CC164" s="22"/>
      <c r="CD164" s="22"/>
      <c r="CE164" s="22"/>
      <c r="CF164" s="22"/>
      <c r="CG164" s="22"/>
      <c r="CH164" s="22"/>
      <c r="CI164" s="22"/>
      <c r="CJ164" s="22"/>
      <c r="DI164" s="22"/>
      <c r="DJ164" s="22"/>
      <c r="DK164" s="22"/>
      <c r="DL164" s="22"/>
      <c r="DM164" s="22"/>
      <c r="DN164" s="22"/>
      <c r="DO164" s="22"/>
      <c r="DP164" s="22"/>
      <c r="DQ164" s="22"/>
      <c r="DR164" s="22"/>
      <c r="DS164" s="22"/>
      <c r="DT164" s="22"/>
      <c r="DU164" s="22"/>
      <c r="DV164" s="22"/>
      <c r="DW164" s="22"/>
      <c r="DX164" s="22"/>
      <c r="DZ164" s="3"/>
      <c r="EA164" s="3"/>
      <c r="EB164" s="3"/>
      <c r="EC164" s="3"/>
    </row>
    <row r="165" spans="3:133" ht="10.5" customHeight="1" x14ac:dyDescent="0.15">
      <c r="C165" s="203" t="s">
        <v>12</v>
      </c>
      <c r="D165" s="185" t="s">
        <v>88</v>
      </c>
      <c r="E165" s="146"/>
      <c r="F165" s="146"/>
      <c r="G165" s="147" t="s">
        <v>88</v>
      </c>
      <c r="H165" s="69">
        <f t="shared" ref="H165:H174" si="5">3.8*10^4*3.7*10^10</f>
        <v>1406000000000000</v>
      </c>
      <c r="I165" s="185" t="s">
        <v>88</v>
      </c>
      <c r="J165" s="146"/>
      <c r="K165" s="146"/>
      <c r="L165" s="147" t="s">
        <v>88</v>
      </c>
      <c r="M165" s="206">
        <f t="shared" ref="M165:M170" si="6">2.3*10^0*3.7*10^10</f>
        <v>85100000000</v>
      </c>
      <c r="N165" s="190" t="s">
        <v>88</v>
      </c>
      <c r="O165" s="148"/>
      <c r="P165" s="148"/>
      <c r="Q165" s="149" t="s">
        <v>88</v>
      </c>
      <c r="R165" s="206">
        <f t="shared" ref="R165:R174" si="7">1*10^-1*3.7*10^10</f>
        <v>3700000000.0000005</v>
      </c>
      <c r="S165" s="194">
        <f>0.55*3.7*10^10</f>
        <v>20350000000</v>
      </c>
      <c r="T165" s="151"/>
      <c r="U165" s="151"/>
      <c r="V165" s="152">
        <f t="shared" si="4"/>
        <v>20350000000</v>
      </c>
      <c r="W165" s="128">
        <f t="shared" ref="W165:W174" si="8">1*10^2*3.7*10^10</f>
        <v>3700000000000</v>
      </c>
      <c r="X165" s="199">
        <v>344</v>
      </c>
      <c r="Y165" s="154"/>
      <c r="Z165" s="154"/>
      <c r="AA165" s="155">
        <f t="shared" ref="AA165:AA191" si="9">SUM(Y165:Z165)</f>
        <v>0</v>
      </c>
      <c r="AB165" s="154">
        <f>X165+AB164</f>
        <v>496</v>
      </c>
      <c r="AC165" s="175">
        <v>15000</v>
      </c>
      <c r="AF165" s="105">
        <v>34578</v>
      </c>
      <c r="AG165" s="89">
        <v>376.83499999999998</v>
      </c>
      <c r="AH165" s="89">
        <v>0</v>
      </c>
      <c r="AI165" s="96"/>
      <c r="AJ165" s="112">
        <f t="shared" si="3"/>
        <v>1009.6876717557253</v>
      </c>
      <c r="AK165" s="112">
        <f t="shared" si="2"/>
        <v>0</v>
      </c>
      <c r="AL165" s="96"/>
      <c r="AM165" s="68">
        <v>5200000000</v>
      </c>
      <c r="AN165" s="68"/>
      <c r="AO165" s="96"/>
      <c r="AP165" s="115">
        <f>AM165*AJ165/SUM(AJ163:AJ165)/(AJ165*10^3*10^3)</f>
        <v>2.2085142608064836</v>
      </c>
      <c r="AQ165" s="114" t="e">
        <f>AN165*AK165/SUM(AK163:AK165)/(AK165*10^3*10^3)</f>
        <v>#DIV/0!</v>
      </c>
      <c r="AR165" s="69"/>
      <c r="AS165" s="2"/>
      <c r="AT165" s="21"/>
      <c r="AU165" s="2"/>
      <c r="AV165" s="2"/>
      <c r="AW165" s="2"/>
      <c r="AX165" s="2"/>
      <c r="AY165" s="2"/>
      <c r="BT165" s="22"/>
      <c r="BU165" s="22"/>
      <c r="BV165" s="22"/>
      <c r="BW165" s="22"/>
      <c r="BX165" s="22"/>
      <c r="BY165" s="22"/>
      <c r="BZ165" s="22"/>
      <c r="CA165" s="22"/>
      <c r="CB165" s="22"/>
      <c r="CC165" s="22"/>
      <c r="CD165" s="22"/>
      <c r="CE165" s="22"/>
      <c r="CF165" s="22"/>
      <c r="CG165" s="22"/>
      <c r="CH165" s="22"/>
      <c r="CI165" s="22"/>
      <c r="CJ165" s="22"/>
      <c r="DI165" s="22"/>
      <c r="DJ165" s="22"/>
      <c r="DK165" s="22"/>
      <c r="DL165" s="22"/>
      <c r="DM165" s="22"/>
      <c r="DN165" s="22"/>
      <c r="DO165" s="22"/>
      <c r="DP165" s="22"/>
      <c r="DQ165" s="22"/>
      <c r="DR165" s="22"/>
      <c r="DS165" s="22"/>
      <c r="DT165" s="22"/>
      <c r="DU165" s="22"/>
      <c r="DV165" s="22"/>
      <c r="DW165" s="22"/>
      <c r="DX165" s="22"/>
      <c r="DZ165" s="3"/>
      <c r="EA165" s="3"/>
      <c r="EB165" s="3"/>
      <c r="EC165" s="3"/>
    </row>
    <row r="166" spans="3:133" ht="10.5" customHeight="1" x14ac:dyDescent="0.15">
      <c r="C166" s="203" t="s">
        <v>14</v>
      </c>
      <c r="D166" s="185" t="s">
        <v>88</v>
      </c>
      <c r="E166" s="146"/>
      <c r="F166" s="146"/>
      <c r="G166" s="147" t="s">
        <v>88</v>
      </c>
      <c r="H166" s="69">
        <f t="shared" si="5"/>
        <v>1406000000000000</v>
      </c>
      <c r="I166" s="185" t="s">
        <v>88</v>
      </c>
      <c r="J166" s="146"/>
      <c r="K166" s="146"/>
      <c r="L166" s="147" t="s">
        <v>88</v>
      </c>
      <c r="M166" s="206">
        <f t="shared" si="6"/>
        <v>85100000000</v>
      </c>
      <c r="N166" s="190" t="s">
        <v>88</v>
      </c>
      <c r="O166" s="148"/>
      <c r="P166" s="148"/>
      <c r="Q166" s="149" t="s">
        <v>88</v>
      </c>
      <c r="R166" s="206">
        <f t="shared" si="7"/>
        <v>3700000000.0000005</v>
      </c>
      <c r="S166" s="194">
        <f>0.64*3.7*10^10</f>
        <v>23680000000.000004</v>
      </c>
      <c r="T166" s="151"/>
      <c r="U166" s="151"/>
      <c r="V166" s="152">
        <f t="shared" si="4"/>
        <v>23680000000.000004</v>
      </c>
      <c r="W166" s="128">
        <f t="shared" si="8"/>
        <v>3700000000000</v>
      </c>
      <c r="X166" s="199">
        <v>1180</v>
      </c>
      <c r="Y166" s="154"/>
      <c r="Z166" s="154"/>
      <c r="AA166" s="155">
        <f t="shared" si="9"/>
        <v>0</v>
      </c>
      <c r="AB166" s="154">
        <f>X166+AB165</f>
        <v>1676</v>
      </c>
      <c r="AC166" s="175">
        <v>15000</v>
      </c>
      <c r="AF166" s="105">
        <v>34608</v>
      </c>
      <c r="AG166" s="89">
        <v>389.85599999999999</v>
      </c>
      <c r="AH166" s="89">
        <v>0</v>
      </c>
      <c r="AI166" s="96"/>
      <c r="AJ166" s="112">
        <f t="shared" si="3"/>
        <v>1044.576</v>
      </c>
      <c r="AK166" s="112">
        <f t="shared" si="2"/>
        <v>0</v>
      </c>
      <c r="AL166" s="96"/>
      <c r="AM166" s="68"/>
      <c r="AN166" s="68"/>
      <c r="AO166" s="96"/>
      <c r="AP166" s="115">
        <f>AM168*AJ166/SUM(AJ166:AJ168)/(AJ166*10^3*10^3)</f>
        <v>0.58124955920984045</v>
      </c>
      <c r="AQ166" s="114" t="e">
        <f>AN168*AK166/SUM(AK166:AK168)/(AK166*10^3*10^3)</f>
        <v>#DIV/0!</v>
      </c>
      <c r="AR166" s="69"/>
      <c r="AS166" s="2"/>
      <c r="AT166" s="21"/>
      <c r="AU166" s="2"/>
      <c r="AV166" s="2"/>
      <c r="AW166" s="2"/>
      <c r="AX166" s="2"/>
      <c r="AY166" s="2"/>
      <c r="BT166" s="22"/>
      <c r="BU166" s="22"/>
      <c r="BV166" s="22"/>
      <c r="BW166" s="22"/>
      <c r="BX166" s="22"/>
      <c r="BY166" s="22"/>
      <c r="BZ166" s="22"/>
      <c r="CA166" s="22"/>
      <c r="CB166" s="22"/>
      <c r="CC166" s="22"/>
      <c r="CD166" s="22"/>
      <c r="CE166" s="22"/>
      <c r="CF166" s="22"/>
      <c r="CG166" s="22"/>
      <c r="CH166" s="22"/>
      <c r="CI166" s="22"/>
      <c r="CJ166" s="22"/>
      <c r="DI166" s="22"/>
      <c r="DJ166" s="22"/>
      <c r="DK166" s="22"/>
      <c r="DL166" s="22"/>
      <c r="DM166" s="22"/>
      <c r="DN166" s="22"/>
      <c r="DO166" s="22"/>
      <c r="DP166" s="22"/>
      <c r="DQ166" s="22"/>
      <c r="DR166" s="22"/>
      <c r="DS166" s="22"/>
      <c r="DT166" s="22"/>
      <c r="DU166" s="22"/>
      <c r="DV166" s="22"/>
      <c r="DW166" s="22"/>
      <c r="DX166" s="22"/>
      <c r="DZ166" s="3"/>
      <c r="EA166" s="3"/>
      <c r="EB166" s="3"/>
      <c r="EC166" s="3"/>
    </row>
    <row r="167" spans="3:133" ht="10.5" customHeight="1" x14ac:dyDescent="0.15">
      <c r="C167" s="203" t="s">
        <v>16</v>
      </c>
      <c r="D167" s="185" t="s">
        <v>88</v>
      </c>
      <c r="E167" s="146"/>
      <c r="F167" s="146"/>
      <c r="G167" s="147" t="s">
        <v>88</v>
      </c>
      <c r="H167" s="69">
        <f t="shared" si="5"/>
        <v>1406000000000000</v>
      </c>
      <c r="I167" s="185">
        <f>4.1*10^-4*3.7*10^10</f>
        <v>15170000.000000002</v>
      </c>
      <c r="J167" s="156" t="s">
        <v>50</v>
      </c>
      <c r="K167" s="146"/>
      <c r="L167" s="152">
        <f>SUM(I167:K167)</f>
        <v>15170000.000000002</v>
      </c>
      <c r="M167" s="206">
        <f t="shared" si="6"/>
        <v>85100000000</v>
      </c>
      <c r="N167" s="190" t="s">
        <v>88</v>
      </c>
      <c r="O167" s="148"/>
      <c r="P167" s="148"/>
      <c r="Q167" s="149" t="s">
        <v>88</v>
      </c>
      <c r="R167" s="206">
        <f t="shared" si="7"/>
        <v>3700000000.0000005</v>
      </c>
      <c r="S167" s="194">
        <f>1.1*3.7*10^10</f>
        <v>40700000000</v>
      </c>
      <c r="T167" s="151"/>
      <c r="U167" s="151"/>
      <c r="V167" s="152">
        <f t="shared" si="4"/>
        <v>40700000000</v>
      </c>
      <c r="W167" s="128">
        <f t="shared" si="8"/>
        <v>3700000000000</v>
      </c>
      <c r="X167" s="199">
        <v>1696</v>
      </c>
      <c r="Y167" s="154"/>
      <c r="Z167" s="154"/>
      <c r="AA167" s="155">
        <f t="shared" si="9"/>
        <v>0</v>
      </c>
      <c r="AB167" s="154">
        <f>X167+AB166</f>
        <v>3372</v>
      </c>
      <c r="AC167" s="175">
        <v>15000</v>
      </c>
      <c r="AF167" s="105">
        <v>34639</v>
      </c>
      <c r="AG167" s="89">
        <v>377.28</v>
      </c>
      <c r="AH167" s="89">
        <v>0</v>
      </c>
      <c r="AI167" s="96"/>
      <c r="AJ167" s="112">
        <f t="shared" si="3"/>
        <v>1010.88</v>
      </c>
      <c r="AK167" s="112">
        <f t="shared" si="2"/>
        <v>0</v>
      </c>
      <c r="AL167" s="96"/>
      <c r="AM167" s="68"/>
      <c r="AN167" s="68"/>
      <c r="AO167" s="96"/>
      <c r="AP167" s="115">
        <f>AM168*AJ167/SUM(AJ166:AJ168)/(AJ167*10^3*10^3)</f>
        <v>0.58124955920984045</v>
      </c>
      <c r="AQ167" s="114" t="e">
        <f>AN168*AK167/SUM(AK166:AK168)/(AK167*10^3*10^3)</f>
        <v>#DIV/0!</v>
      </c>
      <c r="AR167" s="69"/>
      <c r="AS167" s="2"/>
      <c r="AT167" s="21"/>
      <c r="AU167" s="2"/>
      <c r="AV167" s="2"/>
      <c r="AW167" s="2"/>
      <c r="AX167" s="2"/>
      <c r="AY167" s="2"/>
      <c r="BT167" s="22"/>
      <c r="BU167" s="22"/>
      <c r="BV167" s="22"/>
      <c r="BW167" s="22"/>
      <c r="BX167" s="22"/>
      <c r="BY167" s="22"/>
      <c r="BZ167" s="22"/>
      <c r="CA167" s="22"/>
      <c r="CB167" s="22"/>
      <c r="CC167" s="22"/>
      <c r="CD167" s="22"/>
      <c r="CE167" s="22"/>
      <c r="CF167" s="22"/>
      <c r="CG167" s="22"/>
      <c r="CH167" s="22"/>
      <c r="CI167" s="22"/>
      <c r="CJ167" s="22"/>
      <c r="DI167" s="22"/>
      <c r="DJ167" s="22"/>
      <c r="DK167" s="22"/>
      <c r="DL167" s="22"/>
      <c r="DM167" s="22"/>
      <c r="DN167" s="22"/>
      <c r="DO167" s="22"/>
      <c r="DP167" s="22"/>
      <c r="DQ167" s="22"/>
      <c r="DR167" s="22"/>
      <c r="DS167" s="22"/>
      <c r="DT167" s="22"/>
      <c r="DU167" s="22"/>
      <c r="DV167" s="22"/>
      <c r="DW167" s="22"/>
      <c r="DX167" s="22"/>
      <c r="DZ167" s="3"/>
      <c r="EA167" s="3"/>
      <c r="EB167" s="3"/>
      <c r="EC167" s="3"/>
    </row>
    <row r="168" spans="3:133" ht="10.5" customHeight="1" x14ac:dyDescent="0.15">
      <c r="C168" s="203" t="s">
        <v>17</v>
      </c>
      <c r="D168" s="185" t="s">
        <v>88</v>
      </c>
      <c r="E168" s="146"/>
      <c r="F168" s="146"/>
      <c r="G168" s="147" t="s">
        <v>88</v>
      </c>
      <c r="H168" s="69">
        <f t="shared" si="5"/>
        <v>1406000000000000</v>
      </c>
      <c r="I168" s="185" t="s">
        <v>88</v>
      </c>
      <c r="J168" s="157"/>
      <c r="K168" s="146"/>
      <c r="L168" s="147" t="s">
        <v>88</v>
      </c>
      <c r="M168" s="206">
        <f t="shared" si="6"/>
        <v>85100000000</v>
      </c>
      <c r="N168" s="190" t="s">
        <v>88</v>
      </c>
      <c r="O168" s="148"/>
      <c r="P168" s="148"/>
      <c r="Q168" s="149" t="s">
        <v>88</v>
      </c>
      <c r="R168" s="206">
        <f t="shared" si="7"/>
        <v>3700000000.0000005</v>
      </c>
      <c r="S168" s="194">
        <f>1.7*3.7*10^10</f>
        <v>62900000000</v>
      </c>
      <c r="T168" s="151"/>
      <c r="U168" s="151"/>
      <c r="V168" s="152">
        <f t="shared" si="4"/>
        <v>62900000000</v>
      </c>
      <c r="W168" s="128">
        <f t="shared" si="8"/>
        <v>3700000000000</v>
      </c>
      <c r="X168" s="199">
        <v>1384</v>
      </c>
      <c r="Y168" s="154"/>
      <c r="Z168" s="154"/>
      <c r="AA168" s="155">
        <f t="shared" si="9"/>
        <v>0</v>
      </c>
      <c r="AB168" s="154">
        <f>X168+AB167</f>
        <v>4756</v>
      </c>
      <c r="AC168" s="175">
        <v>15000</v>
      </c>
      <c r="AF168" s="105">
        <v>34669</v>
      </c>
      <c r="AG168" s="89">
        <v>388.64100000000002</v>
      </c>
      <c r="AH168" s="89">
        <v>18.673999999999999</v>
      </c>
      <c r="AI168" s="96"/>
      <c r="AJ168" s="112">
        <f t="shared" si="3"/>
        <v>1041.3205419847329</v>
      </c>
      <c r="AK168" s="112">
        <f t="shared" si="2"/>
        <v>48.89192727272728</v>
      </c>
      <c r="AL168" s="96"/>
      <c r="AM168" s="68">
        <v>1800000000</v>
      </c>
      <c r="AN168" s="68" t="s">
        <v>88</v>
      </c>
      <c r="AO168" s="96"/>
      <c r="AP168" s="115">
        <f>AM168*AJ168/SUM(AJ166:AJ168)/(AJ168*10^3*10^3)</f>
        <v>0.58124955920984045</v>
      </c>
      <c r="AQ168" s="114">
        <f>AN168*AK168/SUM(AK166:AK168)/(AK168*10^3*10^3)</f>
        <v>0</v>
      </c>
      <c r="AR168" s="69"/>
      <c r="AS168" s="2"/>
      <c r="AT168" s="21"/>
      <c r="AU168" s="2"/>
      <c r="AV168" s="2"/>
      <c r="AW168" s="2"/>
      <c r="AX168" s="2"/>
      <c r="AY168" s="2"/>
      <c r="BT168" s="22"/>
      <c r="BU168" s="22"/>
      <c r="BV168" s="22"/>
      <c r="BW168" s="22"/>
      <c r="BX168" s="22"/>
      <c r="BY168" s="22"/>
      <c r="BZ168" s="22"/>
      <c r="CA168" s="22"/>
      <c r="CB168" s="22"/>
      <c r="CC168" s="22"/>
      <c r="CD168" s="22"/>
      <c r="CE168" s="22"/>
      <c r="CF168" s="22"/>
      <c r="CG168" s="22"/>
      <c r="CH168" s="22"/>
      <c r="CI168" s="22"/>
      <c r="CJ168" s="22"/>
      <c r="DI168" s="22"/>
      <c r="DJ168" s="22"/>
      <c r="DK168" s="22"/>
      <c r="DL168" s="22"/>
      <c r="DM168" s="22"/>
      <c r="DN168" s="22"/>
      <c r="DO168" s="22"/>
      <c r="DP168" s="22"/>
      <c r="DQ168" s="22"/>
      <c r="DR168" s="22"/>
      <c r="DS168" s="22"/>
      <c r="DT168" s="22"/>
      <c r="DU168" s="22"/>
      <c r="DV168" s="22"/>
      <c r="DW168" s="22"/>
      <c r="DX168" s="22"/>
      <c r="DZ168" s="3"/>
      <c r="EA168" s="3"/>
      <c r="EB168" s="3"/>
      <c r="EC168" s="3"/>
    </row>
    <row r="169" spans="3:133" ht="10.5" customHeight="1" x14ac:dyDescent="0.15">
      <c r="C169" s="203" t="s">
        <v>18</v>
      </c>
      <c r="D169" s="185" t="s">
        <v>88</v>
      </c>
      <c r="E169" s="146"/>
      <c r="F169" s="146"/>
      <c r="G169" s="147" t="s">
        <v>88</v>
      </c>
      <c r="H169" s="69">
        <f t="shared" si="5"/>
        <v>1406000000000000</v>
      </c>
      <c r="I169" s="185">
        <f>1*10^-5*3.7*10^10</f>
        <v>370000.00000000006</v>
      </c>
      <c r="J169" s="156" t="s">
        <v>60</v>
      </c>
      <c r="K169" s="146"/>
      <c r="L169" s="152">
        <f>SUM(I169:K169)</f>
        <v>370000.00000000006</v>
      </c>
      <c r="M169" s="206">
        <f t="shared" si="6"/>
        <v>85100000000</v>
      </c>
      <c r="N169" s="190" t="s">
        <v>88</v>
      </c>
      <c r="O169" s="148"/>
      <c r="P169" s="148"/>
      <c r="Q169" s="149" t="s">
        <v>88</v>
      </c>
      <c r="R169" s="206">
        <f t="shared" si="7"/>
        <v>3700000000.0000005</v>
      </c>
      <c r="S169" s="194">
        <f>2.9*3.7*10^10</f>
        <v>107300000000</v>
      </c>
      <c r="T169" s="151"/>
      <c r="U169" s="151"/>
      <c r="V169" s="152">
        <f t="shared" si="4"/>
        <v>107300000000</v>
      </c>
      <c r="W169" s="128">
        <f t="shared" si="8"/>
        <v>3700000000000</v>
      </c>
      <c r="X169" s="199">
        <v>1480</v>
      </c>
      <c r="Y169" s="154"/>
      <c r="Z169" s="154"/>
      <c r="AA169" s="155">
        <f t="shared" si="9"/>
        <v>0</v>
      </c>
      <c r="AB169" s="154">
        <f>X169+AB168</f>
        <v>6236</v>
      </c>
      <c r="AC169" s="175">
        <v>15000</v>
      </c>
      <c r="AF169" s="105">
        <v>34700</v>
      </c>
      <c r="AG169" s="89">
        <v>389.85599999999999</v>
      </c>
      <c r="AH169" s="89">
        <v>96.146000000000001</v>
      </c>
      <c r="AI169" s="96"/>
      <c r="AJ169" s="112">
        <f t="shared" si="3"/>
        <v>1044.576</v>
      </c>
      <c r="AK169" s="112">
        <f t="shared" si="2"/>
        <v>251.72770909090909</v>
      </c>
      <c r="AL169" s="96"/>
      <c r="AM169" s="68"/>
      <c r="AN169" s="68"/>
      <c r="AO169" s="96"/>
      <c r="AP169" s="115">
        <f>AM171*AJ169/SUM(AJ169:AJ171)/(AJ169*10^3*10^3)</f>
        <v>0.59354226020892675</v>
      </c>
      <c r="AQ169" s="114">
        <f>AN171*AK169/SUM(AK169:AK171)/(AK169*10^3*10^3)</f>
        <v>0</v>
      </c>
      <c r="AR169" s="69"/>
      <c r="AS169" s="2"/>
      <c r="AT169" s="21"/>
      <c r="AU169" s="2"/>
      <c r="AV169" s="2"/>
      <c r="AW169" s="2"/>
      <c r="AX169" s="2"/>
      <c r="AY169" s="2"/>
      <c r="BT169" s="22"/>
      <c r="BU169" s="22"/>
      <c r="BV169" s="22"/>
      <c r="BW169" s="22"/>
      <c r="BX169" s="22"/>
      <c r="BY169" s="22"/>
      <c r="BZ169" s="22"/>
      <c r="CA169" s="22"/>
      <c r="CB169" s="22"/>
      <c r="CC169" s="22"/>
      <c r="CD169" s="22"/>
      <c r="CE169" s="22"/>
      <c r="CF169" s="22"/>
      <c r="CG169" s="22"/>
      <c r="CH169" s="22"/>
      <c r="CI169" s="22"/>
      <c r="CJ169" s="22"/>
      <c r="DI169" s="22"/>
      <c r="DJ169" s="22"/>
      <c r="DK169" s="22"/>
      <c r="DL169" s="22"/>
      <c r="DM169" s="22"/>
      <c r="DN169" s="22"/>
      <c r="DO169" s="22"/>
      <c r="DP169" s="22"/>
      <c r="DQ169" s="22"/>
      <c r="DR169" s="22"/>
      <c r="DS169" s="22"/>
      <c r="DT169" s="22"/>
      <c r="DU169" s="22"/>
      <c r="DV169" s="22"/>
      <c r="DW169" s="22"/>
      <c r="DX169" s="22"/>
      <c r="DZ169" s="3"/>
      <c r="EA169" s="3"/>
      <c r="EB169" s="3"/>
      <c r="EC169" s="3"/>
    </row>
    <row r="170" spans="3:133" ht="10.5" customHeight="1" x14ac:dyDescent="0.15">
      <c r="C170" s="203" t="s">
        <v>106</v>
      </c>
      <c r="D170" s="185" t="s">
        <v>88</v>
      </c>
      <c r="E170" s="146"/>
      <c r="F170" s="146"/>
      <c r="G170" s="147" t="s">
        <v>88</v>
      </c>
      <c r="H170" s="69">
        <f t="shared" si="5"/>
        <v>1406000000000000</v>
      </c>
      <c r="I170" s="185" t="s">
        <v>88</v>
      </c>
      <c r="J170" s="146"/>
      <c r="K170" s="146"/>
      <c r="L170" s="147" t="s">
        <v>88</v>
      </c>
      <c r="M170" s="206">
        <f t="shared" si="6"/>
        <v>85100000000</v>
      </c>
      <c r="N170" s="190" t="s">
        <v>88</v>
      </c>
      <c r="O170" s="148"/>
      <c r="P170" s="148"/>
      <c r="Q170" s="149" t="s">
        <v>88</v>
      </c>
      <c r="R170" s="206">
        <f t="shared" si="7"/>
        <v>3700000000.0000005</v>
      </c>
      <c r="S170" s="194">
        <f>7.5*10^10</f>
        <v>75000000000</v>
      </c>
      <c r="T170" s="151"/>
      <c r="U170" s="151"/>
      <c r="V170" s="152">
        <f t="shared" si="4"/>
        <v>75000000000</v>
      </c>
      <c r="W170" s="128">
        <f t="shared" si="8"/>
        <v>3700000000000</v>
      </c>
      <c r="X170" s="199">
        <v>1844</v>
      </c>
      <c r="Y170" s="154">
        <v>-1428</v>
      </c>
      <c r="Z170" s="154"/>
      <c r="AA170" s="155">
        <f t="shared" si="9"/>
        <v>-1428</v>
      </c>
      <c r="AB170" s="158">
        <v>6652</v>
      </c>
      <c r="AC170" s="175">
        <v>15000</v>
      </c>
      <c r="AF170" s="105">
        <v>34731</v>
      </c>
      <c r="AG170" s="89">
        <v>352.12799999999999</v>
      </c>
      <c r="AH170" s="89">
        <v>154.179</v>
      </c>
      <c r="AI170" s="96"/>
      <c r="AJ170" s="112">
        <f t="shared" si="3"/>
        <v>943.48800000000006</v>
      </c>
      <c r="AK170" s="112">
        <f t="shared" si="2"/>
        <v>403.66865454545456</v>
      </c>
      <c r="AL170" s="96"/>
      <c r="AM170" s="68"/>
      <c r="AN170" s="68"/>
      <c r="AO170" s="96"/>
      <c r="AP170" s="115">
        <f>AM171*AJ170/SUM(AJ169:AJ171)/(AJ170*10^3*10^3)</f>
        <v>0.59354226020892675</v>
      </c>
      <c r="AQ170" s="114">
        <f>AN171*AK170/SUM(AK169:AK171)/(AK170*10^3*10^3)</f>
        <v>0</v>
      </c>
      <c r="AR170" s="69"/>
      <c r="AS170" s="2"/>
      <c r="AT170" s="21"/>
      <c r="AU170" s="2"/>
      <c r="AV170" s="2"/>
      <c r="AW170" s="2"/>
      <c r="AX170" s="2"/>
      <c r="AY170" s="2"/>
      <c r="BT170" s="22"/>
      <c r="BU170" s="22"/>
      <c r="BV170" s="22"/>
      <c r="BW170" s="22"/>
      <c r="BX170" s="22"/>
      <c r="BY170" s="22"/>
      <c r="BZ170" s="22"/>
      <c r="CA170" s="22"/>
      <c r="CB170" s="22"/>
      <c r="CC170" s="22"/>
      <c r="CD170" s="22"/>
      <c r="CE170" s="22"/>
      <c r="CF170" s="22"/>
      <c r="CG170" s="22"/>
      <c r="CH170" s="22"/>
      <c r="CI170" s="22"/>
      <c r="CJ170" s="22"/>
      <c r="DI170" s="22"/>
      <c r="DJ170" s="22"/>
      <c r="DK170" s="22"/>
      <c r="DL170" s="22"/>
      <c r="DM170" s="22"/>
      <c r="DN170" s="22"/>
      <c r="DO170" s="22"/>
      <c r="DP170" s="22"/>
      <c r="DQ170" s="22"/>
      <c r="DR170" s="22"/>
      <c r="DS170" s="22"/>
      <c r="DT170" s="22"/>
      <c r="DU170" s="22"/>
      <c r="DV170" s="22"/>
      <c r="DW170" s="22"/>
      <c r="DX170" s="22"/>
      <c r="DZ170" s="3"/>
      <c r="EA170" s="3"/>
      <c r="EB170" s="3"/>
      <c r="EC170" s="3"/>
    </row>
    <row r="171" spans="3:133" ht="10.5" customHeight="1" x14ac:dyDescent="0.15">
      <c r="C171" s="203" t="s">
        <v>107</v>
      </c>
      <c r="D171" s="185" t="s">
        <v>88</v>
      </c>
      <c r="E171" s="146"/>
      <c r="F171" s="146"/>
      <c r="G171" s="147" t="s">
        <v>88</v>
      </c>
      <c r="H171" s="69">
        <f t="shared" si="5"/>
        <v>1406000000000000</v>
      </c>
      <c r="I171" s="185" t="s">
        <v>88</v>
      </c>
      <c r="J171" s="146"/>
      <c r="K171" s="146"/>
      <c r="L171" s="147" t="s">
        <v>88</v>
      </c>
      <c r="M171" s="206">
        <f>8.5*10^10</f>
        <v>85000000000</v>
      </c>
      <c r="N171" s="190" t="s">
        <v>88</v>
      </c>
      <c r="O171" s="148"/>
      <c r="P171" s="148"/>
      <c r="Q171" s="149" t="s">
        <v>88</v>
      </c>
      <c r="R171" s="206">
        <f t="shared" si="7"/>
        <v>3700000000.0000005</v>
      </c>
      <c r="S171" s="194">
        <f>6.8*10^10</f>
        <v>68000000000</v>
      </c>
      <c r="T171" s="151"/>
      <c r="U171" s="151"/>
      <c r="V171" s="152">
        <f t="shared" si="4"/>
        <v>68000000000</v>
      </c>
      <c r="W171" s="128">
        <f t="shared" si="8"/>
        <v>3700000000000</v>
      </c>
      <c r="X171" s="199">
        <v>3136</v>
      </c>
      <c r="Y171" s="154">
        <v>-1536</v>
      </c>
      <c r="Z171" s="154"/>
      <c r="AA171" s="155">
        <f t="shared" si="9"/>
        <v>-1536</v>
      </c>
      <c r="AB171" s="158">
        <v>7252</v>
      </c>
      <c r="AC171" s="175">
        <v>15000</v>
      </c>
      <c r="AE171" s="2"/>
      <c r="AF171" s="105">
        <v>34759</v>
      </c>
      <c r="AG171" s="89">
        <v>389.85599999999999</v>
      </c>
      <c r="AH171" s="89">
        <v>225.83799999999999</v>
      </c>
      <c r="AI171" s="96"/>
      <c r="AJ171" s="112">
        <f t="shared" si="3"/>
        <v>1044.576</v>
      </c>
      <c r="AK171" s="112">
        <f t="shared" si="2"/>
        <v>591.28494545454544</v>
      </c>
      <c r="AL171" s="96"/>
      <c r="AM171" s="68">
        <v>1800000000</v>
      </c>
      <c r="AN171" s="68" t="s">
        <v>20</v>
      </c>
      <c r="AO171" s="96"/>
      <c r="AP171" s="115">
        <f>AM171*AJ171/SUM(AJ169:AJ171)/(AJ171*10^3*10^3)</f>
        <v>0.59354226020892675</v>
      </c>
      <c r="AQ171" s="114">
        <f>AN171*AK171/SUM(AK169:AK171)/(AK171*10^3*10^3)</f>
        <v>0</v>
      </c>
      <c r="AR171" s="69"/>
      <c r="AS171" s="2"/>
      <c r="AT171" s="21"/>
      <c r="AU171" s="2"/>
      <c r="AV171" s="2"/>
      <c r="AW171" s="2"/>
      <c r="AX171" s="2"/>
      <c r="AY171" s="2"/>
      <c r="BT171" s="22"/>
      <c r="BU171" s="22"/>
      <c r="BV171" s="22"/>
      <c r="BW171" s="22"/>
      <c r="BX171" s="22"/>
      <c r="BY171" s="22"/>
      <c r="BZ171" s="22"/>
      <c r="CA171" s="22"/>
      <c r="CB171" s="22"/>
      <c r="CC171" s="22"/>
      <c r="CD171" s="22"/>
      <c r="CE171" s="22"/>
      <c r="CF171" s="22"/>
      <c r="CG171" s="22"/>
      <c r="CH171" s="22"/>
      <c r="CI171" s="22"/>
      <c r="CJ171" s="22"/>
      <c r="DI171" s="22"/>
      <c r="DJ171" s="22"/>
      <c r="DK171" s="22"/>
      <c r="DL171" s="22"/>
      <c r="DM171" s="22"/>
      <c r="DN171" s="22"/>
      <c r="DO171" s="22"/>
      <c r="DP171" s="22"/>
      <c r="DQ171" s="22"/>
      <c r="DR171" s="22"/>
      <c r="DS171" s="22"/>
      <c r="DT171" s="22"/>
      <c r="DU171" s="22"/>
      <c r="DV171" s="22"/>
      <c r="DW171" s="22"/>
      <c r="DX171" s="22"/>
      <c r="DZ171" s="3"/>
      <c r="EA171" s="3"/>
      <c r="EB171" s="3"/>
      <c r="EC171" s="3"/>
    </row>
    <row r="172" spans="3:133" ht="10.5" customHeight="1" x14ac:dyDescent="0.15">
      <c r="C172" s="203" t="s">
        <v>108</v>
      </c>
      <c r="D172" s="185" t="s">
        <v>88</v>
      </c>
      <c r="E172" s="146"/>
      <c r="F172" s="146"/>
      <c r="G172" s="147" t="s">
        <v>88</v>
      </c>
      <c r="H172" s="69">
        <f t="shared" si="5"/>
        <v>1406000000000000</v>
      </c>
      <c r="I172" s="185" t="s">
        <v>88</v>
      </c>
      <c r="J172" s="146"/>
      <c r="K172" s="146"/>
      <c r="L172" s="147" t="s">
        <v>88</v>
      </c>
      <c r="M172" s="206">
        <f>8.5*10^10</f>
        <v>85000000000</v>
      </c>
      <c r="N172" s="190" t="s">
        <v>88</v>
      </c>
      <c r="O172" s="148"/>
      <c r="P172" s="148"/>
      <c r="Q172" s="149" t="s">
        <v>88</v>
      </c>
      <c r="R172" s="206">
        <f t="shared" si="7"/>
        <v>3700000000.0000005</v>
      </c>
      <c r="S172" s="194">
        <f>5.8*10^10</f>
        <v>58000000000</v>
      </c>
      <c r="T172" s="151"/>
      <c r="U172" s="151"/>
      <c r="V172" s="152">
        <f t="shared" si="4"/>
        <v>58000000000</v>
      </c>
      <c r="W172" s="128">
        <f t="shared" si="8"/>
        <v>3700000000000</v>
      </c>
      <c r="X172" s="199">
        <v>1951</v>
      </c>
      <c r="Y172" s="154">
        <v>-1495</v>
      </c>
      <c r="Z172" s="154"/>
      <c r="AA172" s="155">
        <f t="shared" si="9"/>
        <v>-1495</v>
      </c>
      <c r="AB172" s="158">
        <v>7708</v>
      </c>
      <c r="AC172" s="175">
        <v>15000</v>
      </c>
      <c r="AE172" s="14"/>
      <c r="AF172" s="104">
        <v>34790</v>
      </c>
      <c r="AG172" s="89">
        <v>377.28</v>
      </c>
      <c r="AH172" s="89">
        <v>442.34699999999998</v>
      </c>
      <c r="AI172" s="96"/>
      <c r="AJ172" s="112">
        <f t="shared" si="3"/>
        <v>1010.88</v>
      </c>
      <c r="AK172" s="112">
        <f t="shared" si="2"/>
        <v>1158.1448727272727</v>
      </c>
      <c r="AL172" s="96"/>
      <c r="AM172" s="68"/>
      <c r="AN172" s="68"/>
      <c r="AO172" s="96"/>
      <c r="AP172" s="114">
        <f>AM174*AJ172/SUM(AJ172:AJ174)/(AJ172*10^3*10^3)</f>
        <v>1.050248816396266</v>
      </c>
      <c r="AQ172" s="115">
        <f>AN174*AK172/SUM(AK172:AK174)/(AK172*10^3*10^3)</f>
        <v>7.3702435128456645E-2</v>
      </c>
      <c r="AR172" s="69"/>
      <c r="AS172" s="2"/>
      <c r="AT172" s="21"/>
      <c r="AU172" s="2"/>
      <c r="AV172" s="2"/>
      <c r="AW172" s="2"/>
      <c r="AX172" s="2"/>
      <c r="AY172" s="2"/>
      <c r="BT172" s="22"/>
      <c r="BU172" s="22"/>
      <c r="BV172" s="22"/>
      <c r="BW172" s="22"/>
      <c r="BX172" s="22"/>
      <c r="BY172" s="22"/>
      <c r="BZ172" s="22"/>
      <c r="CA172" s="22"/>
      <c r="CB172" s="22"/>
      <c r="CC172" s="22"/>
      <c r="CD172" s="22"/>
      <c r="CE172" s="22"/>
      <c r="CF172" s="22"/>
      <c r="CG172" s="22"/>
      <c r="CH172" s="22"/>
      <c r="CI172" s="22"/>
      <c r="CJ172" s="22"/>
      <c r="DI172" s="22"/>
      <c r="DJ172" s="22"/>
      <c r="DK172" s="22"/>
      <c r="DL172" s="22"/>
      <c r="DM172" s="22"/>
      <c r="DN172" s="22"/>
      <c r="DO172" s="22"/>
      <c r="DP172" s="22"/>
      <c r="DQ172" s="22"/>
      <c r="DR172" s="22"/>
      <c r="DS172" s="22"/>
      <c r="DT172" s="22"/>
      <c r="DU172" s="22"/>
      <c r="DV172" s="22"/>
      <c r="DW172" s="22"/>
      <c r="DX172" s="22"/>
      <c r="DZ172" s="3"/>
      <c r="EA172" s="3"/>
      <c r="EB172" s="3"/>
      <c r="EC172" s="3"/>
    </row>
    <row r="173" spans="3:133" ht="10.5" customHeight="1" x14ac:dyDescent="0.15">
      <c r="C173" s="203" t="s">
        <v>109</v>
      </c>
      <c r="D173" s="185" t="s">
        <v>88</v>
      </c>
      <c r="E173" s="146"/>
      <c r="F173" s="146"/>
      <c r="G173" s="147" t="s">
        <v>88</v>
      </c>
      <c r="H173" s="69">
        <f t="shared" si="5"/>
        <v>1406000000000000</v>
      </c>
      <c r="I173" s="185" t="s">
        <v>88</v>
      </c>
      <c r="J173" s="146"/>
      <c r="K173" s="146"/>
      <c r="L173" s="147" t="s">
        <v>88</v>
      </c>
      <c r="M173" s="206">
        <f>8.5*10^10</f>
        <v>85000000000</v>
      </c>
      <c r="N173" s="190" t="s">
        <v>88</v>
      </c>
      <c r="O173" s="148"/>
      <c r="P173" s="148"/>
      <c r="Q173" s="149" t="s">
        <v>88</v>
      </c>
      <c r="R173" s="206">
        <f t="shared" si="7"/>
        <v>3700000000.0000005</v>
      </c>
      <c r="S173" s="194">
        <f>3.8*10^10</f>
        <v>38000000000</v>
      </c>
      <c r="T173" s="151"/>
      <c r="U173" s="151"/>
      <c r="V173" s="152">
        <f t="shared" si="4"/>
        <v>38000000000</v>
      </c>
      <c r="W173" s="128">
        <f t="shared" si="8"/>
        <v>3700000000000</v>
      </c>
      <c r="X173" s="199">
        <v>2052</v>
      </c>
      <c r="Y173" s="154">
        <v>-1260</v>
      </c>
      <c r="Z173" s="154"/>
      <c r="AA173" s="155">
        <f t="shared" si="9"/>
        <v>-1260</v>
      </c>
      <c r="AB173" s="158">
        <v>8500</v>
      </c>
      <c r="AC173" s="175">
        <v>15000</v>
      </c>
      <c r="AE173" s="2"/>
      <c r="AF173" s="104">
        <v>34820</v>
      </c>
      <c r="AG173" s="89">
        <v>386.82</v>
      </c>
      <c r="AH173" s="89">
        <v>70.885999999999996</v>
      </c>
      <c r="AI173" s="96"/>
      <c r="AJ173" s="112">
        <f t="shared" si="3"/>
        <v>1036.4413740458017</v>
      </c>
      <c r="AK173" s="112">
        <f t="shared" si="2"/>
        <v>185.59243636363635</v>
      </c>
      <c r="AL173" s="96"/>
      <c r="AM173" s="68"/>
      <c r="AN173" s="68"/>
      <c r="AO173" s="96"/>
      <c r="AP173" s="114">
        <f>AM174*AJ173/SUM(AJ172:AJ174)/(AJ173*10^3*10^3)</f>
        <v>1.0502488163962662</v>
      </c>
      <c r="AQ173" s="115">
        <f>AN174*AK173/SUM(AK172:AK174)/(AK173*10^3*10^3)</f>
        <v>7.3702435128456645E-2</v>
      </c>
      <c r="AR173" s="69"/>
      <c r="AS173" s="2"/>
      <c r="AT173" s="21"/>
      <c r="AU173" s="2"/>
      <c r="AV173" s="2"/>
      <c r="AW173" s="2"/>
      <c r="AX173" s="2"/>
      <c r="AY173" s="2"/>
      <c r="BT173" s="22"/>
      <c r="BU173" s="22"/>
      <c r="BV173" s="22"/>
      <c r="BW173" s="22"/>
      <c r="BX173" s="22"/>
      <c r="BY173" s="22"/>
      <c r="BZ173" s="22"/>
      <c r="CA173" s="22"/>
      <c r="CB173" s="22"/>
      <c r="CC173" s="22"/>
      <c r="CD173" s="22"/>
      <c r="CE173" s="22"/>
      <c r="CF173" s="22"/>
      <c r="CG173" s="22"/>
      <c r="CH173" s="22"/>
      <c r="CI173" s="22"/>
      <c r="CJ173" s="22"/>
      <c r="DI173" s="22"/>
      <c r="DJ173" s="22"/>
      <c r="DK173" s="22"/>
      <c r="DL173" s="22"/>
      <c r="DM173" s="22"/>
      <c r="DN173" s="22"/>
      <c r="DO173" s="22"/>
      <c r="DP173" s="22"/>
      <c r="DQ173" s="22"/>
      <c r="DR173" s="22"/>
      <c r="DS173" s="22"/>
      <c r="DT173" s="22"/>
      <c r="DU173" s="22"/>
      <c r="DV173" s="22"/>
      <c r="DW173" s="22"/>
      <c r="DX173" s="22"/>
      <c r="DZ173" s="3"/>
      <c r="EA173" s="3"/>
      <c r="EB173" s="3"/>
      <c r="EC173" s="3"/>
    </row>
    <row r="174" spans="3:133" ht="10.5" customHeight="1" x14ac:dyDescent="0.15">
      <c r="C174" s="203" t="s">
        <v>110</v>
      </c>
      <c r="D174" s="185" t="s">
        <v>88</v>
      </c>
      <c r="E174" s="146"/>
      <c r="F174" s="146"/>
      <c r="G174" s="147" t="s">
        <v>88</v>
      </c>
      <c r="H174" s="69">
        <f t="shared" si="5"/>
        <v>1406000000000000</v>
      </c>
      <c r="I174" s="185" t="s">
        <v>88</v>
      </c>
      <c r="J174" s="146"/>
      <c r="K174" s="146"/>
      <c r="L174" s="147" t="s">
        <v>88</v>
      </c>
      <c r="M174" s="206">
        <f>8.5*10^10</f>
        <v>85000000000</v>
      </c>
      <c r="N174" s="190" t="s">
        <v>88</v>
      </c>
      <c r="O174" s="148"/>
      <c r="P174" s="148"/>
      <c r="Q174" s="149" t="s">
        <v>88</v>
      </c>
      <c r="R174" s="206">
        <f t="shared" si="7"/>
        <v>3700000000.0000005</v>
      </c>
      <c r="S174" s="194">
        <f>9*10^10</f>
        <v>90000000000</v>
      </c>
      <c r="T174" s="151"/>
      <c r="U174" s="151"/>
      <c r="V174" s="152">
        <f t="shared" si="4"/>
        <v>90000000000</v>
      </c>
      <c r="W174" s="128">
        <f t="shared" si="8"/>
        <v>3700000000000</v>
      </c>
      <c r="X174" s="199">
        <v>2048</v>
      </c>
      <c r="Y174" s="154">
        <v>-760</v>
      </c>
      <c r="Z174" s="154"/>
      <c r="AA174" s="155">
        <f t="shared" si="9"/>
        <v>-760</v>
      </c>
      <c r="AB174" s="158">
        <v>9788</v>
      </c>
      <c r="AC174" s="175">
        <v>15000</v>
      </c>
      <c r="AE174" s="14"/>
      <c r="AF174" s="104">
        <v>34851</v>
      </c>
      <c r="AG174" s="89">
        <v>373.06099999999998</v>
      </c>
      <c r="AH174" s="89">
        <v>315.92700000000002</v>
      </c>
      <c r="AI174" s="96"/>
      <c r="AJ174" s="112">
        <f t="shared" si="3"/>
        <v>999.57565648854961</v>
      </c>
      <c r="AK174" s="112">
        <f t="shared" si="2"/>
        <v>827.1543272727273</v>
      </c>
      <c r="AL174" s="96"/>
      <c r="AM174" s="68">
        <v>3200000000</v>
      </c>
      <c r="AN174" s="68">
        <v>160000000</v>
      </c>
      <c r="AO174" s="96"/>
      <c r="AP174" s="114">
        <f>AM174*AJ174/SUM(AJ172:AJ174)/(AJ174*10^3*10^3)</f>
        <v>1.0502488163962658</v>
      </c>
      <c r="AQ174" s="115">
        <f>AN174*AK174/SUM(AK172:AK174)/(AK174*10^3*10^3)</f>
        <v>7.3702435128456645E-2</v>
      </c>
      <c r="AR174" s="69"/>
      <c r="AS174" s="2"/>
      <c r="AT174" s="21"/>
      <c r="AU174" s="2"/>
      <c r="AV174" s="2"/>
      <c r="AW174" s="2"/>
      <c r="AX174" s="2"/>
      <c r="AY174" s="2"/>
      <c r="BT174" s="22"/>
      <c r="BU174" s="22"/>
      <c r="BV174" s="22"/>
      <c r="BW174" s="22"/>
      <c r="BX174" s="22"/>
      <c r="BY174" s="22"/>
      <c r="BZ174" s="22"/>
      <c r="CA174" s="22"/>
      <c r="CB174" s="22"/>
      <c r="CC174" s="22"/>
      <c r="CD174" s="22"/>
      <c r="CE174" s="22"/>
      <c r="CF174" s="22"/>
      <c r="CG174" s="22"/>
      <c r="CH174" s="22"/>
      <c r="CI174" s="22"/>
      <c r="CJ174" s="22"/>
      <c r="DI174" s="22"/>
      <c r="DJ174" s="22"/>
      <c r="DK174" s="22"/>
      <c r="DL174" s="22"/>
      <c r="DM174" s="22"/>
      <c r="DN174" s="22"/>
      <c r="DO174" s="22"/>
      <c r="DP174" s="22"/>
      <c r="DQ174" s="22"/>
      <c r="DR174" s="22"/>
      <c r="DS174" s="22"/>
      <c r="DT174" s="22"/>
      <c r="DU174" s="22"/>
      <c r="DV174" s="22"/>
      <c r="DW174" s="22"/>
      <c r="DX174" s="22"/>
      <c r="DZ174" s="3"/>
      <c r="EA174" s="3"/>
      <c r="EB174" s="3"/>
      <c r="EC174" s="3"/>
    </row>
    <row r="175" spans="3:133" ht="10.5" customHeight="1" x14ac:dyDescent="0.15">
      <c r="C175" s="203" t="s">
        <v>111</v>
      </c>
      <c r="D175" s="185" t="s">
        <v>88</v>
      </c>
      <c r="E175" s="146" t="s">
        <v>88</v>
      </c>
      <c r="F175" s="146"/>
      <c r="G175" s="147" t="s">
        <v>88</v>
      </c>
      <c r="H175" s="69">
        <f>2.6*10^15</f>
        <v>2600000000000000</v>
      </c>
      <c r="I175" s="185" t="s">
        <v>88</v>
      </c>
      <c r="J175" s="146" t="s">
        <v>88</v>
      </c>
      <c r="K175" s="146"/>
      <c r="L175" s="147" t="s">
        <v>88</v>
      </c>
      <c r="M175" s="128">
        <f>1.1*10^11</f>
        <v>110000000000.00002</v>
      </c>
      <c r="N175" s="190" t="s">
        <v>88</v>
      </c>
      <c r="O175" s="148" t="s">
        <v>88</v>
      </c>
      <c r="P175" s="148"/>
      <c r="Q175" s="149" t="s">
        <v>88</v>
      </c>
      <c r="R175" s="206">
        <f t="shared" ref="R175:R181" si="10">7.4*10^9</f>
        <v>7400000000</v>
      </c>
      <c r="S175" s="194">
        <f>1.5*10^10</f>
        <v>15000000000</v>
      </c>
      <c r="T175" s="151" t="s">
        <v>88</v>
      </c>
      <c r="U175" s="151"/>
      <c r="V175" s="152">
        <f t="shared" si="4"/>
        <v>15000000000</v>
      </c>
      <c r="W175" s="128">
        <f>7.4*10^12</f>
        <v>7400000000000</v>
      </c>
      <c r="X175" s="199">
        <v>2184</v>
      </c>
      <c r="Y175" s="154">
        <v>-980</v>
      </c>
      <c r="Z175" s="154">
        <v>-960</v>
      </c>
      <c r="AA175" s="155">
        <f t="shared" si="9"/>
        <v>-1940</v>
      </c>
      <c r="AB175" s="158">
        <v>10032</v>
      </c>
      <c r="AC175" s="175">
        <v>20000</v>
      </c>
      <c r="AE175" s="14"/>
      <c r="AF175" s="104">
        <v>34881</v>
      </c>
      <c r="AG175" s="89">
        <v>385.61099999999999</v>
      </c>
      <c r="AH175" s="89">
        <v>514.44500000000005</v>
      </c>
      <c r="AI175" s="96"/>
      <c r="AJ175" s="112">
        <f t="shared" si="3"/>
        <v>1033.2019923664122</v>
      </c>
      <c r="AK175" s="112">
        <f t="shared" si="2"/>
        <v>1346.9105454545456</v>
      </c>
      <c r="AL175" s="96"/>
      <c r="AM175" s="68"/>
      <c r="AN175" s="68"/>
      <c r="AO175" s="96"/>
      <c r="AP175" s="114">
        <f>AM177*AJ175/SUM(AJ175:AJ177)/(AJ175*10^3*10^3)</f>
        <v>0.86285414234537727</v>
      </c>
      <c r="AQ175" s="115">
        <f>AN177*AK175/SUM(AK175:AK177)/(AK175*10^3*10^3)</f>
        <v>0</v>
      </c>
      <c r="AR175" s="69"/>
      <c r="AS175" s="2"/>
      <c r="AT175" s="21"/>
      <c r="AU175" s="2"/>
      <c r="AV175" s="2"/>
      <c r="AW175" s="2"/>
      <c r="AX175" s="2"/>
      <c r="AY175" s="2"/>
      <c r="BT175" s="22"/>
      <c r="BU175" s="22"/>
      <c r="BV175" s="22"/>
      <c r="BW175" s="22"/>
      <c r="BX175" s="22"/>
      <c r="BY175" s="22"/>
      <c r="BZ175" s="22"/>
      <c r="CA175" s="22"/>
      <c r="CB175" s="22"/>
      <c r="CC175" s="22"/>
      <c r="CD175" s="22"/>
      <c r="CE175" s="22"/>
      <c r="CF175" s="22"/>
      <c r="CG175" s="22"/>
      <c r="CH175" s="22"/>
      <c r="CI175" s="22"/>
      <c r="CJ175" s="22"/>
      <c r="DI175" s="22"/>
      <c r="DJ175" s="22"/>
      <c r="DK175" s="22"/>
      <c r="DL175" s="22"/>
      <c r="DM175" s="22"/>
      <c r="DN175" s="22"/>
      <c r="DO175" s="22"/>
      <c r="DP175" s="22"/>
      <c r="DQ175" s="22"/>
      <c r="DR175" s="22"/>
      <c r="DS175" s="22"/>
      <c r="DT175" s="22"/>
      <c r="DU175" s="22"/>
      <c r="DV175" s="22"/>
      <c r="DW175" s="22"/>
      <c r="DX175" s="22"/>
      <c r="DZ175" s="3"/>
      <c r="EA175" s="3"/>
      <c r="EB175" s="3"/>
      <c r="EC175" s="3"/>
    </row>
    <row r="176" spans="3:133" ht="10.5" customHeight="1" x14ac:dyDescent="0.15">
      <c r="C176" s="203" t="s">
        <v>112</v>
      </c>
      <c r="D176" s="185" t="s">
        <v>88</v>
      </c>
      <c r="E176" s="146" t="s">
        <v>88</v>
      </c>
      <c r="F176" s="136"/>
      <c r="G176" s="147" t="s">
        <v>88</v>
      </c>
      <c r="H176" s="69">
        <f t="shared" ref="H176:H181" si="11">2.6*10^15</f>
        <v>2600000000000000</v>
      </c>
      <c r="I176" s="185" t="s">
        <v>88</v>
      </c>
      <c r="J176" s="146" t="s">
        <v>88</v>
      </c>
      <c r="K176" s="136"/>
      <c r="L176" s="147" t="s">
        <v>88</v>
      </c>
      <c r="M176" s="128">
        <f t="shared" ref="M176:M181" si="12">1.1*10^11</f>
        <v>110000000000.00002</v>
      </c>
      <c r="N176" s="190" t="s">
        <v>88</v>
      </c>
      <c r="O176" s="148" t="s">
        <v>88</v>
      </c>
      <c r="P176" s="159"/>
      <c r="Q176" s="149" t="s">
        <v>88</v>
      </c>
      <c r="R176" s="206">
        <f t="shared" si="10"/>
        <v>7400000000</v>
      </c>
      <c r="S176" s="194">
        <f>7.8*10^9</f>
        <v>7800000000</v>
      </c>
      <c r="T176" s="150">
        <f>7.8*10^8</f>
        <v>780000000</v>
      </c>
      <c r="U176" s="160"/>
      <c r="V176" s="152">
        <f t="shared" si="4"/>
        <v>8580000000</v>
      </c>
      <c r="W176" s="128">
        <f t="shared" ref="W176:W181" si="13">7.4*10^12</f>
        <v>7400000000000</v>
      </c>
      <c r="X176" s="199">
        <v>2976</v>
      </c>
      <c r="Y176" s="154">
        <v>-808</v>
      </c>
      <c r="Z176" s="154">
        <v>-960</v>
      </c>
      <c r="AA176" s="155">
        <f t="shared" si="9"/>
        <v>-1768</v>
      </c>
      <c r="AB176" s="158">
        <v>11240</v>
      </c>
      <c r="AC176" s="175">
        <v>20000</v>
      </c>
      <c r="AE176" s="2"/>
      <c r="AF176" s="104">
        <v>34912</v>
      </c>
      <c r="AG176" s="89">
        <v>378.54300000000001</v>
      </c>
      <c r="AH176" s="89">
        <v>613.79899999999998</v>
      </c>
      <c r="AI176" s="96"/>
      <c r="AJ176" s="112">
        <f t="shared" si="3"/>
        <v>1014.2640687022902</v>
      </c>
      <c r="AK176" s="112">
        <f t="shared" si="2"/>
        <v>1607.0373818181818</v>
      </c>
      <c r="AL176" s="96"/>
      <c r="AM176" s="68"/>
      <c r="AN176" s="68"/>
      <c r="AO176" s="96"/>
      <c r="AP176" s="114">
        <f>AM177*AJ176/SUM(AJ175:AJ177)/(AJ176*10^3*10^3)</f>
        <v>0.86285414234537716</v>
      </c>
      <c r="AQ176" s="115">
        <f>AN177*AK176/SUM(AK175:AK177)/(AK176*10^3*10^3)</f>
        <v>0</v>
      </c>
      <c r="AR176" s="69"/>
      <c r="AS176" s="2"/>
      <c r="AT176" s="20"/>
      <c r="AU176" s="2"/>
      <c r="AV176" s="2"/>
      <c r="AW176" s="2"/>
      <c r="AX176" s="2"/>
      <c r="AY176" s="2"/>
      <c r="DU176" s="5"/>
      <c r="DV176" s="5"/>
      <c r="DW176" s="5"/>
      <c r="DX176" s="5"/>
      <c r="DZ176" s="3"/>
      <c r="EA176" s="3"/>
      <c r="EB176" s="3"/>
      <c r="EC176" s="3"/>
    </row>
    <row r="177" spans="3:133" ht="10.5" customHeight="1" x14ac:dyDescent="0.15">
      <c r="C177" s="203" t="s">
        <v>113</v>
      </c>
      <c r="D177" s="185" t="s">
        <v>88</v>
      </c>
      <c r="E177" s="146" t="s">
        <v>88</v>
      </c>
      <c r="F177" s="136"/>
      <c r="G177" s="147" t="s">
        <v>88</v>
      </c>
      <c r="H177" s="69">
        <f t="shared" si="11"/>
        <v>2600000000000000</v>
      </c>
      <c r="I177" s="185" t="s">
        <v>88</v>
      </c>
      <c r="J177" s="146" t="s">
        <v>88</v>
      </c>
      <c r="K177" s="136"/>
      <c r="L177" s="147" t="s">
        <v>88</v>
      </c>
      <c r="M177" s="128">
        <f t="shared" si="12"/>
        <v>110000000000.00002</v>
      </c>
      <c r="N177" s="190" t="s">
        <v>88</v>
      </c>
      <c r="O177" s="161" t="s">
        <v>56</v>
      </c>
      <c r="P177" s="159"/>
      <c r="Q177" s="149" t="s">
        <v>88</v>
      </c>
      <c r="R177" s="206">
        <f t="shared" si="10"/>
        <v>7400000000</v>
      </c>
      <c r="S177" s="194">
        <f>2.1*10^10</f>
        <v>21000000000</v>
      </c>
      <c r="T177" s="162" t="s">
        <v>56</v>
      </c>
      <c r="U177" s="160"/>
      <c r="V177" s="152">
        <f t="shared" si="4"/>
        <v>21000000000</v>
      </c>
      <c r="W177" s="128">
        <f t="shared" si="13"/>
        <v>7400000000000</v>
      </c>
      <c r="X177" s="199">
        <v>1368</v>
      </c>
      <c r="Y177" s="154">
        <v>-1484</v>
      </c>
      <c r="Z177" s="154">
        <v>-960</v>
      </c>
      <c r="AA177" s="155">
        <f t="shared" si="9"/>
        <v>-2444</v>
      </c>
      <c r="AB177" s="158">
        <v>10164</v>
      </c>
      <c r="AC177" s="175">
        <v>20000</v>
      </c>
      <c r="AE177" s="2"/>
      <c r="AF177" s="104">
        <v>34943</v>
      </c>
      <c r="AG177" s="89">
        <v>79.3</v>
      </c>
      <c r="AH177" s="89">
        <v>594</v>
      </c>
      <c r="AI177" s="96"/>
      <c r="AJ177" s="112">
        <f t="shared" si="3"/>
        <v>212.47557251908398</v>
      </c>
      <c r="AK177" s="112">
        <f t="shared" si="2"/>
        <v>1555.2</v>
      </c>
      <c r="AL177" s="96"/>
      <c r="AM177" s="68">
        <v>1950000000</v>
      </c>
      <c r="AN177" s="68" t="s">
        <v>20</v>
      </c>
      <c r="AO177" s="96"/>
      <c r="AP177" s="114">
        <f>AM177*AJ177/SUM(AJ175:AJ177)/(AJ177*10^3*10^3)</f>
        <v>0.86285414234537716</v>
      </c>
      <c r="AQ177" s="115">
        <f>AN177*AK177/SUM(AK175:AK177)/(AK177*10^3*10^3)</f>
        <v>0</v>
      </c>
      <c r="AR177" s="69"/>
      <c r="AS177" s="2"/>
      <c r="AT177" s="20"/>
      <c r="AU177" s="2"/>
      <c r="AV177" s="2"/>
      <c r="AW177" s="2"/>
      <c r="AX177" s="2"/>
      <c r="AY177" s="2"/>
      <c r="DU177" s="5"/>
      <c r="DV177" s="5"/>
      <c r="DW177" s="5"/>
      <c r="DX177" s="5"/>
      <c r="DZ177" s="3"/>
      <c r="EA177" s="3"/>
      <c r="EB177" s="3"/>
      <c r="EC177" s="3"/>
    </row>
    <row r="178" spans="3:133" ht="10.5" customHeight="1" x14ac:dyDescent="0.15">
      <c r="C178" s="203" t="s">
        <v>114</v>
      </c>
      <c r="D178" s="185" t="s">
        <v>88</v>
      </c>
      <c r="E178" s="146" t="s">
        <v>88</v>
      </c>
      <c r="F178" s="136"/>
      <c r="G178" s="147" t="s">
        <v>88</v>
      </c>
      <c r="H178" s="69">
        <f t="shared" si="11"/>
        <v>2600000000000000</v>
      </c>
      <c r="I178" s="185" t="s">
        <v>88</v>
      </c>
      <c r="J178" s="146" t="s">
        <v>88</v>
      </c>
      <c r="K178" s="136"/>
      <c r="L178" s="147" t="s">
        <v>88</v>
      </c>
      <c r="M178" s="128">
        <f t="shared" si="12"/>
        <v>110000000000.00002</v>
      </c>
      <c r="N178" s="190" t="s">
        <v>88</v>
      </c>
      <c r="O178" s="148" t="s">
        <v>88</v>
      </c>
      <c r="P178" s="159"/>
      <c r="Q178" s="149" t="s">
        <v>88</v>
      </c>
      <c r="R178" s="206">
        <f t="shared" si="10"/>
        <v>7400000000</v>
      </c>
      <c r="S178" s="194">
        <f>4*10^10</f>
        <v>40000000000</v>
      </c>
      <c r="T178" s="150">
        <f>4.3*10^9</f>
        <v>4300000000</v>
      </c>
      <c r="U178" s="160"/>
      <c r="V178" s="152">
        <f t="shared" si="4"/>
        <v>44300000000</v>
      </c>
      <c r="W178" s="128">
        <f t="shared" si="13"/>
        <v>7400000000000</v>
      </c>
      <c r="X178" s="199">
        <v>3368</v>
      </c>
      <c r="Y178" s="154">
        <v>-1264</v>
      </c>
      <c r="Z178" s="154">
        <v>-456</v>
      </c>
      <c r="AA178" s="155">
        <f t="shared" si="9"/>
        <v>-1720</v>
      </c>
      <c r="AB178" s="154">
        <v>11812</v>
      </c>
      <c r="AC178" s="175">
        <v>20000</v>
      </c>
      <c r="AE178" s="2"/>
      <c r="AF178" s="104">
        <v>34973</v>
      </c>
      <c r="AG178" s="89">
        <v>0</v>
      </c>
      <c r="AH178" s="89">
        <v>613.79899999999998</v>
      </c>
      <c r="AI178" s="96"/>
      <c r="AJ178" s="112">
        <f t="shared" si="3"/>
        <v>0</v>
      </c>
      <c r="AK178" s="112">
        <f t="shared" si="2"/>
        <v>1607.0373818181818</v>
      </c>
      <c r="AL178" s="96"/>
      <c r="AM178" s="68"/>
      <c r="AN178" s="68"/>
      <c r="AO178" s="96"/>
      <c r="AP178" s="114" t="e">
        <f>AM180*AJ178/SUM(AJ178:AJ180)/(AJ178*10^3*10^3)</f>
        <v>#DIV/0!</v>
      </c>
      <c r="AQ178" s="115">
        <f>AN180*AK178/SUM(AK178:AK180)/(AK178*10^3*10^3)</f>
        <v>0.14086772934968317</v>
      </c>
      <c r="AR178" s="69"/>
      <c r="AS178" s="2"/>
      <c r="AT178" s="20"/>
      <c r="AU178" s="2"/>
      <c r="AV178" s="2"/>
      <c r="AW178" s="2"/>
      <c r="AX178" s="2"/>
      <c r="AY178" s="2"/>
      <c r="DU178" s="5"/>
      <c r="DV178" s="5"/>
      <c r="DW178" s="5"/>
      <c r="DX178" s="5"/>
      <c r="DZ178" s="3"/>
      <c r="EA178" s="3"/>
      <c r="EB178" s="3"/>
      <c r="EC178" s="3"/>
    </row>
    <row r="179" spans="3:133" ht="10.5" customHeight="1" x14ac:dyDescent="0.15">
      <c r="C179" s="203" t="s">
        <v>19</v>
      </c>
      <c r="D179" s="185" t="s">
        <v>88</v>
      </c>
      <c r="E179" s="146" t="s">
        <v>88</v>
      </c>
      <c r="F179" s="136"/>
      <c r="G179" s="147" t="s">
        <v>88</v>
      </c>
      <c r="H179" s="69">
        <f t="shared" si="11"/>
        <v>2600000000000000</v>
      </c>
      <c r="I179" s="185" t="s">
        <v>88</v>
      </c>
      <c r="J179" s="146" t="s">
        <v>88</v>
      </c>
      <c r="K179" s="136"/>
      <c r="L179" s="147" t="s">
        <v>88</v>
      </c>
      <c r="M179" s="128">
        <f t="shared" si="12"/>
        <v>110000000000.00002</v>
      </c>
      <c r="N179" s="190" t="s">
        <v>88</v>
      </c>
      <c r="O179" s="148" t="s">
        <v>88</v>
      </c>
      <c r="P179" s="159"/>
      <c r="Q179" s="149" t="s">
        <v>88</v>
      </c>
      <c r="R179" s="206">
        <f t="shared" si="10"/>
        <v>7400000000</v>
      </c>
      <c r="S179" s="194">
        <v>22000000000</v>
      </c>
      <c r="T179" s="163">
        <v>2500000000</v>
      </c>
      <c r="U179" s="160"/>
      <c r="V179" s="152">
        <f t="shared" si="4"/>
        <v>24500000000</v>
      </c>
      <c r="W179" s="128">
        <f t="shared" si="13"/>
        <v>7400000000000</v>
      </c>
      <c r="X179" s="199">
        <v>2336</v>
      </c>
      <c r="Y179" s="154">
        <v>-696</v>
      </c>
      <c r="Z179" s="154">
        <v>-912</v>
      </c>
      <c r="AA179" s="155">
        <f t="shared" si="9"/>
        <v>-1608</v>
      </c>
      <c r="AB179" s="154">
        <v>12540</v>
      </c>
      <c r="AC179" s="175">
        <v>20000</v>
      </c>
      <c r="AE179" s="2"/>
      <c r="AF179" s="104">
        <v>35004</v>
      </c>
      <c r="AG179" s="89">
        <v>0</v>
      </c>
      <c r="AH179" s="89">
        <v>593.99900000000002</v>
      </c>
      <c r="AI179" s="96"/>
      <c r="AJ179" s="112">
        <f t="shared" si="3"/>
        <v>0</v>
      </c>
      <c r="AK179" s="112">
        <f t="shared" si="2"/>
        <v>1555.1973818181818</v>
      </c>
      <c r="AL179" s="96"/>
      <c r="AM179" s="68"/>
      <c r="AN179" s="68"/>
      <c r="AO179" s="96"/>
      <c r="AP179" s="114" t="e">
        <f>AM180*AJ179/SUM(AJ178:AJ180)/(AJ179*10^3*10^3)</f>
        <v>#DIV/0!</v>
      </c>
      <c r="AQ179" s="115">
        <f>AN180*AK179/SUM(AK178:AK180)/(AK179*10^3*10^3)</f>
        <v>0.14086772934968317</v>
      </c>
      <c r="AR179" s="69"/>
      <c r="AS179" s="2"/>
      <c r="AT179" s="20"/>
      <c r="AU179" s="2"/>
      <c r="AV179" s="2"/>
      <c r="AW179" s="2"/>
      <c r="AX179" s="2"/>
      <c r="AY179" s="2"/>
      <c r="DU179" s="5"/>
      <c r="DV179" s="5"/>
      <c r="DW179" s="5"/>
      <c r="DX179" s="5"/>
      <c r="DZ179" s="3"/>
      <c r="EA179" s="3"/>
      <c r="EB179" s="3"/>
      <c r="EC179" s="3"/>
    </row>
    <row r="180" spans="3:133" ht="10.5" customHeight="1" x14ac:dyDescent="0.15">
      <c r="C180" s="203" t="s">
        <v>21</v>
      </c>
      <c r="D180" s="185" t="s">
        <v>88</v>
      </c>
      <c r="E180" s="146" t="s">
        <v>88</v>
      </c>
      <c r="F180" s="136"/>
      <c r="G180" s="147" t="s">
        <v>88</v>
      </c>
      <c r="H180" s="69">
        <f t="shared" si="11"/>
        <v>2600000000000000</v>
      </c>
      <c r="I180" s="185" t="s">
        <v>88</v>
      </c>
      <c r="J180" s="146" t="s">
        <v>88</v>
      </c>
      <c r="K180" s="136"/>
      <c r="L180" s="147" t="s">
        <v>88</v>
      </c>
      <c r="M180" s="128">
        <f t="shared" si="12"/>
        <v>110000000000.00002</v>
      </c>
      <c r="N180" s="190" t="s">
        <v>88</v>
      </c>
      <c r="O180" s="148" t="s">
        <v>88</v>
      </c>
      <c r="P180" s="159"/>
      <c r="Q180" s="149" t="s">
        <v>88</v>
      </c>
      <c r="R180" s="206">
        <f t="shared" si="10"/>
        <v>7400000000</v>
      </c>
      <c r="S180" s="195">
        <v>58000000000</v>
      </c>
      <c r="T180" s="163">
        <v>3500000000</v>
      </c>
      <c r="U180" s="160"/>
      <c r="V180" s="152">
        <f t="shared" si="4"/>
        <v>61500000000</v>
      </c>
      <c r="W180" s="128">
        <f t="shared" si="13"/>
        <v>7400000000000</v>
      </c>
      <c r="X180" s="199">
        <v>2424</v>
      </c>
      <c r="Y180" s="154">
        <v>-800</v>
      </c>
      <c r="Z180" s="154">
        <v>0</v>
      </c>
      <c r="AA180" s="155">
        <f t="shared" si="9"/>
        <v>-800</v>
      </c>
      <c r="AB180" s="154">
        <v>14164</v>
      </c>
      <c r="AC180" s="175">
        <v>30000</v>
      </c>
      <c r="AE180" s="2"/>
      <c r="AF180" s="104">
        <v>35034</v>
      </c>
      <c r="AG180" s="89">
        <v>0</v>
      </c>
      <c r="AH180" s="89">
        <v>473.25099999999998</v>
      </c>
      <c r="AI180" s="96"/>
      <c r="AJ180" s="112">
        <f t="shared" si="3"/>
        <v>0</v>
      </c>
      <c r="AK180" s="112">
        <f t="shared" si="2"/>
        <v>1239.0571636363636</v>
      </c>
      <c r="AL180" s="96"/>
      <c r="AM180" s="68">
        <v>1600000000</v>
      </c>
      <c r="AN180" s="68">
        <v>620000000</v>
      </c>
      <c r="AO180" s="96"/>
      <c r="AP180" s="114" t="e">
        <f>AM180*AJ180/SUM(AJ178:AJ180)/(AJ180*10^3*10^3)</f>
        <v>#DIV/0!</v>
      </c>
      <c r="AQ180" s="115">
        <f>AN180*AK180/SUM(AK178:AK180)/(AK180*10^3*10^3)</f>
        <v>0.14086772934968317</v>
      </c>
      <c r="AR180" s="69"/>
      <c r="AS180" s="2"/>
      <c r="AT180" s="20"/>
      <c r="AU180" s="2"/>
      <c r="AV180" s="2"/>
      <c r="AW180" s="2"/>
      <c r="AX180" s="2"/>
      <c r="AY180" s="2"/>
      <c r="DU180" s="5"/>
      <c r="DV180" s="5"/>
      <c r="DW180" s="5"/>
      <c r="DX180" s="5"/>
      <c r="DZ180" s="3"/>
      <c r="EA180" s="3"/>
      <c r="EB180" s="3"/>
      <c r="EC180" s="3"/>
    </row>
    <row r="181" spans="3:133" ht="10.5" customHeight="1" x14ac:dyDescent="0.15">
      <c r="C181" s="203" t="s">
        <v>22</v>
      </c>
      <c r="D181" s="185" t="s">
        <v>88</v>
      </c>
      <c r="E181" s="146" t="s">
        <v>88</v>
      </c>
      <c r="F181" s="136"/>
      <c r="G181" s="147" t="s">
        <v>88</v>
      </c>
      <c r="H181" s="69">
        <f t="shared" si="11"/>
        <v>2600000000000000</v>
      </c>
      <c r="I181" s="185" t="s">
        <v>88</v>
      </c>
      <c r="J181" s="146" t="s">
        <v>88</v>
      </c>
      <c r="K181" s="136"/>
      <c r="L181" s="147" t="s">
        <v>88</v>
      </c>
      <c r="M181" s="128">
        <f t="shared" si="12"/>
        <v>110000000000.00002</v>
      </c>
      <c r="N181" s="190" t="s">
        <v>88</v>
      </c>
      <c r="O181" s="161" t="s">
        <v>56</v>
      </c>
      <c r="P181" s="159"/>
      <c r="Q181" s="149" t="s">
        <v>88</v>
      </c>
      <c r="R181" s="206">
        <f t="shared" si="10"/>
        <v>7400000000</v>
      </c>
      <c r="S181" s="196">
        <v>90000000000</v>
      </c>
      <c r="T181" s="161" t="s">
        <v>56</v>
      </c>
      <c r="U181" s="159"/>
      <c r="V181" s="152">
        <f t="shared" si="4"/>
        <v>90000000000</v>
      </c>
      <c r="W181" s="128">
        <f t="shared" si="13"/>
        <v>7400000000000</v>
      </c>
      <c r="X181" s="199">
        <v>2124</v>
      </c>
      <c r="Y181" s="154">
        <v>-904</v>
      </c>
      <c r="Z181" s="154">
        <v>0</v>
      </c>
      <c r="AA181" s="155">
        <f t="shared" si="9"/>
        <v>-904</v>
      </c>
      <c r="AB181" s="154">
        <v>15384</v>
      </c>
      <c r="AC181" s="175">
        <v>30000</v>
      </c>
      <c r="AE181" s="2"/>
      <c r="AF181" s="104">
        <v>35065</v>
      </c>
      <c r="AG181" s="89">
        <v>0</v>
      </c>
      <c r="AH181" s="89">
        <v>464.98500000000001</v>
      </c>
      <c r="AI181" s="96"/>
      <c r="AJ181" s="112">
        <f t="shared" si="3"/>
        <v>0</v>
      </c>
      <c r="AK181" s="112">
        <f t="shared" si="2"/>
        <v>1217.4152727272726</v>
      </c>
      <c r="AL181" s="96"/>
      <c r="AM181" s="68"/>
      <c r="AN181" s="68"/>
      <c r="AO181" s="96"/>
      <c r="AP181" s="114" t="e">
        <f>AM183*AJ181/SUM(AJ181:AJ183)/(AJ181*10^3*10^3)</f>
        <v>#DIV/0!</v>
      </c>
      <c r="AQ181" s="115">
        <f>AN183*AK181/SUM(AK181:AK183)/(AK181*10^3*10^3)</f>
        <v>0</v>
      </c>
      <c r="AR181" s="69"/>
      <c r="AS181" s="2"/>
      <c r="AT181" s="20"/>
      <c r="AU181" s="2"/>
      <c r="AV181" s="2"/>
      <c r="AW181" s="2"/>
      <c r="AX181" s="2"/>
      <c r="AY181" s="2"/>
      <c r="DU181" s="5"/>
      <c r="DV181" s="5"/>
      <c r="DW181" s="5"/>
      <c r="DX181" s="5"/>
      <c r="DZ181" s="3"/>
      <c r="EA181" s="3"/>
      <c r="EB181" s="3"/>
      <c r="EC181" s="3"/>
    </row>
    <row r="182" spans="3:133" ht="10.5" customHeight="1" x14ac:dyDescent="0.15">
      <c r="C182" s="203" t="s">
        <v>23</v>
      </c>
      <c r="D182" s="185" t="s">
        <v>88</v>
      </c>
      <c r="E182" s="146" t="s">
        <v>88</v>
      </c>
      <c r="F182" s="146" t="s">
        <v>88</v>
      </c>
      <c r="G182" s="147" t="s">
        <v>88</v>
      </c>
      <c r="H182" s="69">
        <f>3.8*10^15</f>
        <v>3800000000000000</v>
      </c>
      <c r="I182" s="185" t="s">
        <v>88</v>
      </c>
      <c r="J182" s="146" t="s">
        <v>88</v>
      </c>
      <c r="K182" s="146" t="s">
        <v>88</v>
      </c>
      <c r="L182" s="147" t="s">
        <v>88</v>
      </c>
      <c r="M182" s="128">
        <f>1.3*10^11</f>
        <v>130000000000</v>
      </c>
      <c r="N182" s="190" t="s">
        <v>88</v>
      </c>
      <c r="O182" s="161" t="s">
        <v>56</v>
      </c>
      <c r="P182" s="148" t="s">
        <v>88</v>
      </c>
      <c r="Q182" s="149" t="s">
        <v>88</v>
      </c>
      <c r="R182" s="206">
        <f>1.1*10^10</f>
        <v>11000000000</v>
      </c>
      <c r="S182" s="196">
        <v>49000000000</v>
      </c>
      <c r="T182" s="161" t="s">
        <v>56</v>
      </c>
      <c r="U182" s="148" t="s">
        <v>88</v>
      </c>
      <c r="V182" s="152">
        <f t="shared" si="4"/>
        <v>49000000000</v>
      </c>
      <c r="W182" s="128">
        <f>1.1*10^13</f>
        <v>11000000000000</v>
      </c>
      <c r="X182" s="199">
        <v>3720</v>
      </c>
      <c r="Y182" s="154">
        <v>-1108</v>
      </c>
      <c r="Z182" s="154">
        <v>0</v>
      </c>
      <c r="AA182" s="155">
        <f t="shared" si="9"/>
        <v>-1108</v>
      </c>
      <c r="AB182" s="154">
        <v>17996</v>
      </c>
      <c r="AC182" s="175">
        <v>30000</v>
      </c>
      <c r="AE182" s="2"/>
      <c r="AF182" s="104">
        <v>35096</v>
      </c>
      <c r="AG182" s="89">
        <v>202.98</v>
      </c>
      <c r="AH182" s="89">
        <v>574.19899999999996</v>
      </c>
      <c r="AI182" s="96"/>
      <c r="AJ182" s="112">
        <f t="shared" si="3"/>
        <v>543.86244274809155</v>
      </c>
      <c r="AK182" s="112">
        <f t="shared" si="2"/>
        <v>1503.3573818181817</v>
      </c>
      <c r="AL182" s="96"/>
      <c r="AM182" s="68"/>
      <c r="AN182" s="68"/>
      <c r="AO182" s="96"/>
      <c r="AP182" s="114">
        <f>AM183*AJ182/SUM(AJ181:AJ183)/(AJ182*10^3*10^3)</f>
        <v>0.61695812291255214</v>
      </c>
      <c r="AQ182" s="115">
        <f>AN183*AK182/SUM(AK181:AK183)/(AK182*10^3*10^3)</f>
        <v>0</v>
      </c>
      <c r="AR182" s="69"/>
      <c r="AS182" s="2"/>
      <c r="AT182" s="20"/>
      <c r="AU182" s="2"/>
      <c r="AV182" s="2"/>
      <c r="AW182" s="2"/>
      <c r="AX182" s="2"/>
      <c r="AY182" s="2"/>
      <c r="DU182" s="5"/>
      <c r="DV182" s="5"/>
      <c r="DW182" s="5"/>
      <c r="DX182" s="5"/>
      <c r="DZ182" s="3"/>
      <c r="EA182" s="3"/>
      <c r="EB182" s="3"/>
      <c r="EC182" s="3"/>
    </row>
    <row r="183" spans="3:133" ht="10.5" customHeight="1" x14ac:dyDescent="0.15">
      <c r="C183" s="203" t="s">
        <v>24</v>
      </c>
      <c r="D183" s="185" t="s">
        <v>88</v>
      </c>
      <c r="E183" s="146" t="s">
        <v>88</v>
      </c>
      <c r="F183" s="146" t="s">
        <v>88</v>
      </c>
      <c r="G183" s="147" t="s">
        <v>88</v>
      </c>
      <c r="H183" s="69">
        <f t="shared" ref="H183:H194" si="14">3.8*10^15</f>
        <v>3800000000000000</v>
      </c>
      <c r="I183" s="185" t="s">
        <v>88</v>
      </c>
      <c r="J183" s="146" t="s">
        <v>88</v>
      </c>
      <c r="K183" s="146" t="s">
        <v>88</v>
      </c>
      <c r="L183" s="147" t="s">
        <v>88</v>
      </c>
      <c r="M183" s="128">
        <f t="shared" ref="M183:M199" si="15">1.3*10^11</f>
        <v>130000000000</v>
      </c>
      <c r="N183" s="190" t="s">
        <v>88</v>
      </c>
      <c r="O183" s="148" t="s">
        <v>88</v>
      </c>
      <c r="P183" s="148" t="s">
        <v>88</v>
      </c>
      <c r="Q183" s="149" t="s">
        <v>88</v>
      </c>
      <c r="R183" s="206">
        <f t="shared" ref="R183:R199" si="16">1.1*10^10</f>
        <v>11000000000</v>
      </c>
      <c r="S183" s="196">
        <v>64000000000</v>
      </c>
      <c r="T183" s="153">
        <v>16000000000</v>
      </c>
      <c r="U183" s="153">
        <v>24000000</v>
      </c>
      <c r="V183" s="152">
        <f t="shared" si="4"/>
        <v>80024000000</v>
      </c>
      <c r="W183" s="128">
        <f t="shared" ref="W183:W192" si="17">1.1*10^13</f>
        <v>11000000000000</v>
      </c>
      <c r="X183" s="199">
        <v>2912</v>
      </c>
      <c r="Y183" s="154">
        <v>-1500</v>
      </c>
      <c r="Z183" s="154">
        <v>0</v>
      </c>
      <c r="AA183" s="155">
        <f t="shared" si="9"/>
        <v>-1500</v>
      </c>
      <c r="AB183" s="154">
        <v>19408</v>
      </c>
      <c r="AC183" s="175">
        <v>30000</v>
      </c>
      <c r="AE183" s="2"/>
      <c r="AF183" s="104">
        <v>35125</v>
      </c>
      <c r="AG183" s="89">
        <v>389.85599999999999</v>
      </c>
      <c r="AH183" s="89">
        <v>613.79999999999995</v>
      </c>
      <c r="AI183" s="96"/>
      <c r="AJ183" s="112">
        <f t="shared" si="3"/>
        <v>1044.576</v>
      </c>
      <c r="AK183" s="112">
        <f t="shared" si="2"/>
        <v>1607.0399999999997</v>
      </c>
      <c r="AL183" s="96"/>
      <c r="AM183" s="68">
        <v>980000000.00000012</v>
      </c>
      <c r="AN183" s="68" t="s">
        <v>20</v>
      </c>
      <c r="AO183" s="96"/>
      <c r="AP183" s="114">
        <f>AM183*AJ183/SUM(AJ181:AJ183)/(AJ183*10^3*10^3)</f>
        <v>0.61695812291255214</v>
      </c>
      <c r="AQ183" s="115">
        <f>AN183*AK183/SUM(AK181:AK183)/(AK183*10^3*10^3)</f>
        <v>0</v>
      </c>
      <c r="AR183" s="69"/>
      <c r="AS183" s="2"/>
      <c r="AT183" s="20"/>
      <c r="AU183" s="2"/>
      <c r="AV183" s="2"/>
      <c r="AW183" s="2"/>
      <c r="AX183" s="2"/>
      <c r="AY183" s="2"/>
      <c r="DU183" s="5"/>
      <c r="DV183" s="5"/>
      <c r="DW183" s="5"/>
      <c r="DX183" s="5"/>
      <c r="DZ183" s="3"/>
      <c r="EA183" s="3"/>
      <c r="EB183" s="3"/>
      <c r="EC183" s="3"/>
    </row>
    <row r="184" spans="3:133" ht="10.5" customHeight="1" x14ac:dyDescent="0.15">
      <c r="C184" s="203" t="s">
        <v>25</v>
      </c>
      <c r="D184" s="185" t="s">
        <v>88</v>
      </c>
      <c r="E184" s="146" t="s">
        <v>88</v>
      </c>
      <c r="F184" s="146" t="s">
        <v>88</v>
      </c>
      <c r="G184" s="147" t="s">
        <v>88</v>
      </c>
      <c r="H184" s="69">
        <f t="shared" si="14"/>
        <v>3800000000000000</v>
      </c>
      <c r="I184" s="185" t="s">
        <v>88</v>
      </c>
      <c r="J184" s="146" t="s">
        <v>88</v>
      </c>
      <c r="K184" s="146" t="s">
        <v>88</v>
      </c>
      <c r="L184" s="147" t="s">
        <v>88</v>
      </c>
      <c r="M184" s="128">
        <f t="shared" si="15"/>
        <v>130000000000</v>
      </c>
      <c r="N184" s="190" t="s">
        <v>88</v>
      </c>
      <c r="O184" s="161" t="s">
        <v>56</v>
      </c>
      <c r="P184" s="148" t="s">
        <v>88</v>
      </c>
      <c r="Q184" s="149" t="s">
        <v>88</v>
      </c>
      <c r="R184" s="206">
        <f t="shared" si="16"/>
        <v>11000000000</v>
      </c>
      <c r="S184" s="196">
        <v>5600000000</v>
      </c>
      <c r="T184" s="161" t="s">
        <v>56</v>
      </c>
      <c r="U184" s="148" t="s">
        <v>88</v>
      </c>
      <c r="V184" s="152">
        <f t="shared" si="4"/>
        <v>5600000000</v>
      </c>
      <c r="W184" s="128">
        <f t="shared" si="17"/>
        <v>11000000000000</v>
      </c>
      <c r="X184" s="199">
        <v>2692</v>
      </c>
      <c r="Y184" s="154">
        <v>-1664</v>
      </c>
      <c r="Z184" s="154">
        <v>0</v>
      </c>
      <c r="AA184" s="155">
        <f t="shared" si="9"/>
        <v>-1664</v>
      </c>
      <c r="AB184" s="154">
        <v>20436</v>
      </c>
      <c r="AC184" s="175">
        <v>30000</v>
      </c>
      <c r="AE184" s="2"/>
      <c r="AF184" s="105">
        <v>35156</v>
      </c>
      <c r="AG184" s="89">
        <v>293.96199999999999</v>
      </c>
      <c r="AH184" s="89">
        <v>594</v>
      </c>
      <c r="AI184" s="96"/>
      <c r="AJ184" s="112">
        <f t="shared" si="3"/>
        <v>787.63864122137409</v>
      </c>
      <c r="AK184" s="112">
        <f t="shared" si="2"/>
        <v>1555.2</v>
      </c>
      <c r="AL184" s="96"/>
      <c r="AM184" s="68"/>
      <c r="AN184" s="68"/>
      <c r="AO184" s="96"/>
      <c r="AP184" s="115">
        <f>AM186*AJ184/SUM(AJ184:AJ186)/(AJ184*10^3*10^3)</f>
        <v>4.3243275004344746</v>
      </c>
      <c r="AQ184" s="114">
        <f>AN186*AK184/SUM(AK184:AK186)/(AK184*10^3*10^3)</f>
        <v>0</v>
      </c>
      <c r="AR184" s="69"/>
      <c r="AS184" s="2"/>
      <c r="AT184" s="20"/>
      <c r="AU184" s="2"/>
      <c r="AV184" s="2"/>
      <c r="AW184" s="2"/>
      <c r="AX184" s="2"/>
      <c r="AY184" s="2"/>
      <c r="DU184" s="5"/>
      <c r="DV184" s="5"/>
      <c r="DW184" s="5"/>
      <c r="DX184" s="5"/>
      <c r="DZ184" s="3"/>
      <c r="EA184" s="3"/>
      <c r="EB184" s="3"/>
      <c r="EC184" s="3"/>
    </row>
    <row r="185" spans="3:133" ht="10.5" customHeight="1" x14ac:dyDescent="0.15">
      <c r="C185" s="203" t="s">
        <v>26</v>
      </c>
      <c r="D185" s="185" t="s">
        <v>88</v>
      </c>
      <c r="E185" s="146" t="s">
        <v>88</v>
      </c>
      <c r="F185" s="146" t="s">
        <v>88</v>
      </c>
      <c r="G185" s="147" t="s">
        <v>88</v>
      </c>
      <c r="H185" s="69">
        <f t="shared" si="14"/>
        <v>3800000000000000</v>
      </c>
      <c r="I185" s="185" t="s">
        <v>88</v>
      </c>
      <c r="J185" s="146" t="s">
        <v>88</v>
      </c>
      <c r="K185" s="146" t="s">
        <v>88</v>
      </c>
      <c r="L185" s="147" t="s">
        <v>88</v>
      </c>
      <c r="M185" s="128">
        <f t="shared" si="15"/>
        <v>130000000000</v>
      </c>
      <c r="N185" s="190" t="s">
        <v>88</v>
      </c>
      <c r="O185" s="161" t="s">
        <v>56</v>
      </c>
      <c r="P185" s="148" t="s">
        <v>88</v>
      </c>
      <c r="Q185" s="149" t="s">
        <v>88</v>
      </c>
      <c r="R185" s="206">
        <f t="shared" si="16"/>
        <v>11000000000</v>
      </c>
      <c r="S185" s="196">
        <v>780000000</v>
      </c>
      <c r="T185" s="161" t="s">
        <v>56</v>
      </c>
      <c r="U185" s="153">
        <v>25000000</v>
      </c>
      <c r="V185" s="152">
        <f t="shared" si="4"/>
        <v>805000000</v>
      </c>
      <c r="W185" s="128">
        <f t="shared" si="17"/>
        <v>11000000000000</v>
      </c>
      <c r="X185" s="199">
        <v>3876</v>
      </c>
      <c r="Y185" s="154">
        <v>-532</v>
      </c>
      <c r="Z185" s="154">
        <v>0</v>
      </c>
      <c r="AA185" s="155">
        <f t="shared" si="9"/>
        <v>-532</v>
      </c>
      <c r="AB185" s="154">
        <v>23780</v>
      </c>
      <c r="AC185" s="175">
        <v>30000</v>
      </c>
      <c r="AE185" s="2"/>
      <c r="AF185" s="105">
        <v>35186</v>
      </c>
      <c r="AG185" s="89">
        <v>364.44200000000001</v>
      </c>
      <c r="AH185" s="89">
        <v>322.471</v>
      </c>
      <c r="AI185" s="96"/>
      <c r="AJ185" s="112">
        <f t="shared" si="3"/>
        <v>976.48200000000008</v>
      </c>
      <c r="AK185" s="112">
        <f t="shared" si="2"/>
        <v>844.28770909090906</v>
      </c>
      <c r="AL185" s="96"/>
      <c r="AM185" s="68"/>
      <c r="AN185" s="68"/>
      <c r="AO185" s="96"/>
      <c r="AP185" s="115">
        <f>AM186*AJ185/SUM(AJ184:AJ186)/(AJ185*10^3*10^3)</f>
        <v>4.3243275004344754</v>
      </c>
      <c r="AQ185" s="114">
        <f>AN186*AK185/SUM(AK184:AK186)/(AK185*10^3*10^3)</f>
        <v>0</v>
      </c>
      <c r="AR185" s="69"/>
      <c r="AS185" s="2"/>
      <c r="AT185" s="20"/>
      <c r="AU185" s="2"/>
      <c r="AV185" s="2"/>
      <c r="AW185" s="2"/>
      <c r="AX185" s="2"/>
      <c r="AY185" s="2"/>
      <c r="DU185" s="5"/>
      <c r="DV185" s="5"/>
      <c r="DW185" s="5"/>
      <c r="DX185" s="5"/>
      <c r="DZ185" s="3"/>
      <c r="EA185" s="3"/>
      <c r="EB185" s="3"/>
      <c r="EC185" s="3"/>
    </row>
    <row r="186" spans="3:133" ht="10.5" customHeight="1" x14ac:dyDescent="0.15">
      <c r="C186" s="203" t="s">
        <v>27</v>
      </c>
      <c r="D186" s="185" t="s">
        <v>88</v>
      </c>
      <c r="E186" s="146" t="s">
        <v>88</v>
      </c>
      <c r="F186" s="146" t="s">
        <v>88</v>
      </c>
      <c r="G186" s="147" t="s">
        <v>88</v>
      </c>
      <c r="H186" s="69">
        <f t="shared" si="14"/>
        <v>3800000000000000</v>
      </c>
      <c r="I186" s="185" t="s">
        <v>88</v>
      </c>
      <c r="J186" s="146" t="s">
        <v>88</v>
      </c>
      <c r="K186" s="146" t="s">
        <v>88</v>
      </c>
      <c r="L186" s="147" t="s">
        <v>88</v>
      </c>
      <c r="M186" s="128">
        <f t="shared" si="15"/>
        <v>130000000000</v>
      </c>
      <c r="N186" s="190" t="s">
        <v>88</v>
      </c>
      <c r="O186" s="148" t="s">
        <v>88</v>
      </c>
      <c r="P186" s="148" t="s">
        <v>88</v>
      </c>
      <c r="Q186" s="149" t="s">
        <v>88</v>
      </c>
      <c r="R186" s="206">
        <f t="shared" si="16"/>
        <v>11000000000</v>
      </c>
      <c r="S186" s="196">
        <v>1200000000</v>
      </c>
      <c r="T186" s="153">
        <v>800000000</v>
      </c>
      <c r="U186" s="153">
        <v>68000000</v>
      </c>
      <c r="V186" s="152">
        <f t="shared" si="4"/>
        <v>2068000000</v>
      </c>
      <c r="W186" s="128">
        <f t="shared" si="17"/>
        <v>11000000000000</v>
      </c>
      <c r="X186" s="199">
        <v>3116</v>
      </c>
      <c r="Y186" s="154">
        <v>-1520</v>
      </c>
      <c r="Z186" s="154">
        <v>0</v>
      </c>
      <c r="AA186" s="155">
        <f t="shared" si="9"/>
        <v>-1520</v>
      </c>
      <c r="AB186" s="154">
        <v>25376</v>
      </c>
      <c r="AC186" s="175">
        <v>30000</v>
      </c>
      <c r="AE186" s="2"/>
      <c r="AF186" s="105">
        <v>35217</v>
      </c>
      <c r="AG186" s="89">
        <v>377.279</v>
      </c>
      <c r="AH186" s="89">
        <v>591.13699999999994</v>
      </c>
      <c r="AI186" s="96"/>
      <c r="AJ186" s="112">
        <f t="shared" si="3"/>
        <v>1010.8773206106871</v>
      </c>
      <c r="AK186" s="112">
        <f t="shared" si="2"/>
        <v>1547.7041454545454</v>
      </c>
      <c r="AL186" s="96"/>
      <c r="AM186" s="68">
        <v>12000000000</v>
      </c>
      <c r="AN186" s="68" t="s">
        <v>20</v>
      </c>
      <c r="AO186" s="96"/>
      <c r="AP186" s="115">
        <f>AM186*AJ186/SUM(AJ184:AJ186)/(AJ186*10^3*10^3)</f>
        <v>4.3243275004344746</v>
      </c>
      <c r="AQ186" s="114">
        <f>AN186*AK186/SUM(AK184:AK186)/(AK186*10^3*10^3)</f>
        <v>0</v>
      </c>
      <c r="AR186" s="69"/>
      <c r="AS186" s="2"/>
      <c r="AT186" s="20"/>
      <c r="AU186" s="2"/>
      <c r="AV186" s="2"/>
      <c r="AW186" s="2"/>
      <c r="AX186" s="2"/>
      <c r="AY186" s="2"/>
      <c r="DU186" s="5"/>
      <c r="DV186" s="5"/>
      <c r="DW186" s="5"/>
      <c r="DX186" s="5"/>
      <c r="DZ186" s="3"/>
      <c r="EA186" s="3"/>
      <c r="EB186" s="3"/>
      <c r="EC186" s="3"/>
    </row>
    <row r="187" spans="3:133" ht="10.5" customHeight="1" x14ac:dyDescent="0.15">
      <c r="C187" s="203" t="s">
        <v>28</v>
      </c>
      <c r="D187" s="185" t="s">
        <v>88</v>
      </c>
      <c r="E187" s="146" t="s">
        <v>88</v>
      </c>
      <c r="F187" s="146" t="s">
        <v>88</v>
      </c>
      <c r="G187" s="147" t="s">
        <v>88</v>
      </c>
      <c r="H187" s="69">
        <f t="shared" si="14"/>
        <v>3800000000000000</v>
      </c>
      <c r="I187" s="185" t="s">
        <v>88</v>
      </c>
      <c r="J187" s="146" t="s">
        <v>88</v>
      </c>
      <c r="K187" s="146" t="s">
        <v>88</v>
      </c>
      <c r="L187" s="147" t="s">
        <v>88</v>
      </c>
      <c r="M187" s="128">
        <f t="shared" si="15"/>
        <v>130000000000</v>
      </c>
      <c r="N187" s="190" t="s">
        <v>88</v>
      </c>
      <c r="O187" s="148" t="s">
        <v>88</v>
      </c>
      <c r="P187" s="148" t="s">
        <v>88</v>
      </c>
      <c r="Q187" s="149" t="s">
        <v>88</v>
      </c>
      <c r="R187" s="206">
        <f t="shared" si="16"/>
        <v>11000000000</v>
      </c>
      <c r="S187" s="196">
        <v>1300000000</v>
      </c>
      <c r="T187" s="153">
        <v>4000000000</v>
      </c>
      <c r="U187" s="153">
        <v>60000000</v>
      </c>
      <c r="V187" s="152">
        <f t="shared" si="4"/>
        <v>5360000000</v>
      </c>
      <c r="W187" s="128">
        <f t="shared" si="17"/>
        <v>11000000000000</v>
      </c>
      <c r="X187" s="199">
        <v>2704</v>
      </c>
      <c r="Y187" s="154">
        <v>-3648</v>
      </c>
      <c r="Z187" s="154">
        <v>0</v>
      </c>
      <c r="AA187" s="155">
        <f t="shared" si="9"/>
        <v>-3648</v>
      </c>
      <c r="AB187" s="154">
        <v>24432</v>
      </c>
      <c r="AC187" s="175">
        <v>30000</v>
      </c>
      <c r="AE187" s="2"/>
      <c r="AF187" s="105">
        <v>35247</v>
      </c>
      <c r="AG187" s="89">
        <v>389.85599999999999</v>
      </c>
      <c r="AH187" s="89">
        <v>613.51499999999999</v>
      </c>
      <c r="AI187" s="96"/>
      <c r="AJ187" s="112">
        <f t="shared" si="3"/>
        <v>1044.576</v>
      </c>
      <c r="AK187" s="112">
        <f t="shared" si="2"/>
        <v>1606.2938181818181</v>
      </c>
      <c r="AL187" s="96"/>
      <c r="AM187" s="68"/>
      <c r="AN187" s="68"/>
      <c r="AO187" s="96"/>
      <c r="AP187" s="115">
        <f>AM189*AJ187/SUM(AJ187:AJ189)/(AJ187*10^3*10^3)</f>
        <v>1.5508951895041863</v>
      </c>
      <c r="AQ187" s="114">
        <f>AN189*AK187/SUM(AK187:AK189)/(AK187*10^3*10^3)</f>
        <v>0</v>
      </c>
      <c r="AR187" s="69"/>
      <c r="AS187" s="2"/>
      <c r="AT187" s="20"/>
      <c r="AU187" s="2"/>
      <c r="AV187" s="2"/>
      <c r="AW187" s="2"/>
      <c r="AX187" s="2"/>
      <c r="AY187" s="2"/>
      <c r="DU187" s="5"/>
      <c r="DV187" s="5"/>
      <c r="DW187" s="5"/>
      <c r="DX187" s="5"/>
      <c r="DZ187" s="3"/>
      <c r="EA187" s="3"/>
      <c r="EB187" s="3"/>
      <c r="EC187" s="3"/>
    </row>
    <row r="188" spans="3:133" ht="10.5" customHeight="1" x14ac:dyDescent="0.15">
      <c r="C188" s="203" t="s">
        <v>29</v>
      </c>
      <c r="D188" s="185" t="s">
        <v>88</v>
      </c>
      <c r="E188" s="146" t="s">
        <v>88</v>
      </c>
      <c r="F188" s="146" t="s">
        <v>88</v>
      </c>
      <c r="G188" s="147" t="s">
        <v>88</v>
      </c>
      <c r="H188" s="69">
        <f t="shared" si="14"/>
        <v>3800000000000000</v>
      </c>
      <c r="I188" s="185" t="s">
        <v>88</v>
      </c>
      <c r="J188" s="146" t="s">
        <v>88</v>
      </c>
      <c r="K188" s="146" t="s">
        <v>88</v>
      </c>
      <c r="L188" s="147" t="s">
        <v>88</v>
      </c>
      <c r="M188" s="128">
        <f t="shared" si="15"/>
        <v>130000000000</v>
      </c>
      <c r="N188" s="190" t="s">
        <v>88</v>
      </c>
      <c r="O188" s="148" t="s">
        <v>88</v>
      </c>
      <c r="P188" s="148" t="s">
        <v>88</v>
      </c>
      <c r="Q188" s="149" t="s">
        <v>88</v>
      </c>
      <c r="R188" s="206">
        <f t="shared" si="16"/>
        <v>11000000000</v>
      </c>
      <c r="S188" s="196">
        <v>4700000000</v>
      </c>
      <c r="T188" s="153">
        <v>360000000</v>
      </c>
      <c r="U188" s="153">
        <v>30000000</v>
      </c>
      <c r="V188" s="152">
        <f t="shared" si="4"/>
        <v>5090000000</v>
      </c>
      <c r="W188" s="128">
        <f t="shared" si="17"/>
        <v>11000000000000</v>
      </c>
      <c r="X188" s="199">
        <v>3720</v>
      </c>
      <c r="Y188" s="154">
        <v>-1852</v>
      </c>
      <c r="Z188" s="154">
        <v>-992</v>
      </c>
      <c r="AA188" s="155">
        <f t="shared" si="9"/>
        <v>-2844</v>
      </c>
      <c r="AB188" s="154">
        <v>25308</v>
      </c>
      <c r="AC188" s="175">
        <v>30000</v>
      </c>
      <c r="AE188" s="2"/>
      <c r="AF188" s="105">
        <v>35278</v>
      </c>
      <c r="AG188" s="89">
        <v>387.97300000000001</v>
      </c>
      <c r="AH188" s="89">
        <v>527.88800000000003</v>
      </c>
      <c r="AI188" s="96"/>
      <c r="AJ188" s="112">
        <f t="shared" si="3"/>
        <v>1039.5307099236641</v>
      </c>
      <c r="AK188" s="112">
        <f t="shared" si="2"/>
        <v>1382.1067636363637</v>
      </c>
      <c r="AL188" s="96"/>
      <c r="AM188" s="68"/>
      <c r="AN188" s="68"/>
      <c r="AO188" s="96"/>
      <c r="AP188" s="115">
        <f>AM189*AJ188/SUM(AJ187:AJ189)/(AJ188*10^3*10^3)</f>
        <v>1.5508951895041865</v>
      </c>
      <c r="AQ188" s="114">
        <f>AN189*AK188/SUM(AK187:AK189)/(AK188*10^3*10^3)</f>
        <v>0</v>
      </c>
      <c r="AR188" s="69"/>
      <c r="AS188" s="2"/>
      <c r="AT188" s="20"/>
      <c r="AU188" s="2"/>
      <c r="AV188" s="2"/>
      <c r="AW188" s="2"/>
      <c r="AX188" s="2"/>
      <c r="AY188" s="2"/>
      <c r="DU188" s="5"/>
      <c r="DV188" s="5"/>
      <c r="DW188" s="5"/>
      <c r="DX188" s="5"/>
      <c r="DZ188" s="3"/>
      <c r="EA188" s="3"/>
      <c r="EB188" s="3"/>
      <c r="EC188" s="3"/>
    </row>
    <row r="189" spans="3:133" ht="10.5" customHeight="1" x14ac:dyDescent="0.15">
      <c r="C189" s="203" t="s">
        <v>30</v>
      </c>
      <c r="D189" s="185" t="s">
        <v>88</v>
      </c>
      <c r="E189" s="146" t="s">
        <v>88</v>
      </c>
      <c r="F189" s="146" t="s">
        <v>88</v>
      </c>
      <c r="G189" s="147" t="s">
        <v>88</v>
      </c>
      <c r="H189" s="69">
        <f t="shared" si="14"/>
        <v>3800000000000000</v>
      </c>
      <c r="I189" s="185" t="s">
        <v>88</v>
      </c>
      <c r="J189" s="146" t="s">
        <v>88</v>
      </c>
      <c r="K189" s="146" t="s">
        <v>88</v>
      </c>
      <c r="L189" s="147" t="s">
        <v>88</v>
      </c>
      <c r="M189" s="128">
        <f t="shared" si="15"/>
        <v>130000000000</v>
      </c>
      <c r="N189" s="190" t="s">
        <v>88</v>
      </c>
      <c r="O189" s="148" t="s">
        <v>88</v>
      </c>
      <c r="P189" s="148" t="s">
        <v>88</v>
      </c>
      <c r="Q189" s="149" t="s">
        <v>88</v>
      </c>
      <c r="R189" s="206">
        <f t="shared" si="16"/>
        <v>11000000000</v>
      </c>
      <c r="S189" s="196">
        <v>2700000000</v>
      </c>
      <c r="T189" s="153">
        <v>4000000000</v>
      </c>
      <c r="U189" s="153">
        <v>47000000</v>
      </c>
      <c r="V189" s="152">
        <f t="shared" si="4"/>
        <v>6747000000</v>
      </c>
      <c r="W189" s="128">
        <f t="shared" si="17"/>
        <v>11000000000000</v>
      </c>
      <c r="X189" s="199">
        <v>5320</v>
      </c>
      <c r="Y189" s="154">
        <v>-2052</v>
      </c>
      <c r="Z189" s="154">
        <v>-960</v>
      </c>
      <c r="AA189" s="155">
        <f t="shared" si="9"/>
        <v>-3012</v>
      </c>
      <c r="AB189" s="154">
        <v>27616</v>
      </c>
      <c r="AC189" s="175">
        <v>30000</v>
      </c>
      <c r="AE189" s="2"/>
      <c r="AF189" s="105">
        <v>35309</v>
      </c>
      <c r="AG189" s="89">
        <v>377.28</v>
      </c>
      <c r="AH189" s="89">
        <v>0</v>
      </c>
      <c r="AI189" s="96"/>
      <c r="AJ189" s="112">
        <f t="shared" si="3"/>
        <v>1010.88</v>
      </c>
      <c r="AK189" s="112">
        <f t="shared" si="2"/>
        <v>0</v>
      </c>
      <c r="AL189" s="96"/>
      <c r="AM189" s="68">
        <v>4800000000</v>
      </c>
      <c r="AN189" s="68" t="s">
        <v>20</v>
      </c>
      <c r="AO189" s="96"/>
      <c r="AP189" s="115">
        <f>AM189*AJ189/SUM(AJ187:AJ189)/(AJ189*10^3*10^3)</f>
        <v>1.5508951895041865</v>
      </c>
      <c r="AQ189" s="114" t="e">
        <f>AN189*AK189/SUM(AK187:AK189)/(AK189*10^3*10^3)</f>
        <v>#DIV/0!</v>
      </c>
      <c r="AR189" s="69"/>
      <c r="AS189" s="2"/>
      <c r="AT189" s="20"/>
      <c r="AU189" s="2"/>
      <c r="AV189" s="2"/>
      <c r="AW189" s="2"/>
      <c r="AX189" s="2"/>
      <c r="AY189" s="2"/>
      <c r="DU189" s="5"/>
      <c r="DV189" s="5"/>
      <c r="DW189" s="5"/>
      <c r="DX189" s="5"/>
      <c r="DZ189" s="3"/>
      <c r="EA189" s="3"/>
      <c r="EB189" s="3"/>
      <c r="EC189" s="3"/>
    </row>
    <row r="190" spans="3:133" ht="10.5" customHeight="1" x14ac:dyDescent="0.15">
      <c r="C190" s="203" t="s">
        <v>31</v>
      </c>
      <c r="D190" s="185" t="s">
        <v>88</v>
      </c>
      <c r="E190" s="146" t="s">
        <v>88</v>
      </c>
      <c r="F190" s="146" t="s">
        <v>88</v>
      </c>
      <c r="G190" s="147" t="s">
        <v>88</v>
      </c>
      <c r="H190" s="69">
        <f t="shared" si="14"/>
        <v>3800000000000000</v>
      </c>
      <c r="I190" s="185" t="s">
        <v>88</v>
      </c>
      <c r="J190" s="146" t="s">
        <v>88</v>
      </c>
      <c r="K190" s="146" t="s">
        <v>88</v>
      </c>
      <c r="L190" s="147" t="s">
        <v>88</v>
      </c>
      <c r="M190" s="128">
        <f t="shared" si="15"/>
        <v>130000000000</v>
      </c>
      <c r="N190" s="190" t="s">
        <v>88</v>
      </c>
      <c r="O190" s="148" t="s">
        <v>88</v>
      </c>
      <c r="P190" s="148" t="s">
        <v>88</v>
      </c>
      <c r="Q190" s="149" t="s">
        <v>88</v>
      </c>
      <c r="R190" s="206">
        <f t="shared" si="16"/>
        <v>11000000000</v>
      </c>
      <c r="S190" s="196">
        <v>63000000000</v>
      </c>
      <c r="T190" s="153">
        <v>2800000000</v>
      </c>
      <c r="U190" s="153">
        <v>60000000</v>
      </c>
      <c r="V190" s="152">
        <f>SUM(S190:U190)</f>
        <v>65860000000</v>
      </c>
      <c r="W190" s="128">
        <f t="shared" si="17"/>
        <v>11000000000000</v>
      </c>
      <c r="X190" s="199">
        <v>4532</v>
      </c>
      <c r="Y190" s="154">
        <v>-4900</v>
      </c>
      <c r="Z190" s="154">
        <v>-640</v>
      </c>
      <c r="AA190" s="155">
        <f t="shared" si="9"/>
        <v>-5540</v>
      </c>
      <c r="AB190" s="154">
        <v>26608</v>
      </c>
      <c r="AC190" s="175">
        <v>30000</v>
      </c>
      <c r="AE190" s="2"/>
      <c r="AF190" s="105">
        <v>35339</v>
      </c>
      <c r="AG190" s="89">
        <v>389.85599999999999</v>
      </c>
      <c r="AH190" s="89">
        <v>0</v>
      </c>
      <c r="AI190" s="96"/>
      <c r="AJ190" s="112">
        <f t="shared" si="3"/>
        <v>1044.576</v>
      </c>
      <c r="AK190" s="112">
        <f t="shared" si="2"/>
        <v>0</v>
      </c>
      <c r="AL190" s="96"/>
      <c r="AM190" s="68"/>
      <c r="AN190" s="68"/>
      <c r="AO190" s="96"/>
      <c r="AP190" s="115">
        <f>AM195*AJ190/SUM(AJ190:AJ195)/(AJ190*10^3*10^3)</f>
        <v>0</v>
      </c>
      <c r="AQ190" s="114" t="e">
        <f>AN195*AK190/SUM(AK190:AK195)/(AK190*10^3*10^3)</f>
        <v>#DIV/0!</v>
      </c>
      <c r="AR190" s="69"/>
      <c r="AS190" s="2"/>
      <c r="AT190" s="20"/>
      <c r="AU190" s="2"/>
      <c r="AV190" s="2"/>
      <c r="AW190" s="2"/>
      <c r="AX190" s="2"/>
      <c r="AY190" s="2"/>
      <c r="DU190" s="5"/>
      <c r="DV190" s="5"/>
      <c r="DW190" s="5"/>
      <c r="DX190" s="5"/>
      <c r="DZ190" s="3"/>
      <c r="EA190" s="3"/>
      <c r="EB190" s="3"/>
      <c r="EC190" s="3"/>
    </row>
    <row r="191" spans="3:133" ht="10.5" customHeight="1" x14ac:dyDescent="0.15">
      <c r="C191" s="203" t="s">
        <v>32</v>
      </c>
      <c r="D191" s="186">
        <v>710000000000</v>
      </c>
      <c r="E191" s="136">
        <v>2100000000000</v>
      </c>
      <c r="F191" s="136">
        <v>2500000000000</v>
      </c>
      <c r="G191" s="152">
        <f>SUM(D191:F191)</f>
        <v>5310000000000</v>
      </c>
      <c r="H191" s="69">
        <f t="shared" si="14"/>
        <v>3800000000000000</v>
      </c>
      <c r="I191" s="188">
        <f>6.3*10^9</f>
        <v>6300000000</v>
      </c>
      <c r="J191" s="164">
        <f>1.1*10^10</f>
        <v>11000000000</v>
      </c>
      <c r="K191" s="164">
        <f>9.4*10^9</f>
        <v>9400000000</v>
      </c>
      <c r="L191" s="152">
        <f>SUM(I191:K191)</f>
        <v>26700000000</v>
      </c>
      <c r="M191" s="128">
        <f t="shared" si="15"/>
        <v>130000000000</v>
      </c>
      <c r="N191" s="190" t="s">
        <v>88</v>
      </c>
      <c r="O191" s="148" t="s">
        <v>88</v>
      </c>
      <c r="P191" s="148" t="s">
        <v>88</v>
      </c>
      <c r="Q191" s="149" t="s">
        <v>88</v>
      </c>
      <c r="R191" s="206">
        <f t="shared" si="16"/>
        <v>11000000000</v>
      </c>
      <c r="S191" s="196">
        <v>20000000000</v>
      </c>
      <c r="T191" s="153">
        <v>1300000000</v>
      </c>
      <c r="U191" s="153">
        <v>650000000</v>
      </c>
      <c r="V191" s="152">
        <f>SUM(S191:U191)</f>
        <v>21950000000</v>
      </c>
      <c r="W191" s="128">
        <f t="shared" si="17"/>
        <v>11000000000000</v>
      </c>
      <c r="X191" s="199">
        <v>7097</v>
      </c>
      <c r="Y191" s="154">
        <v>-6317</v>
      </c>
      <c r="Z191" s="154">
        <v>-320</v>
      </c>
      <c r="AA191" s="155">
        <f t="shared" si="9"/>
        <v>-6637</v>
      </c>
      <c r="AB191" s="154">
        <v>27068</v>
      </c>
      <c r="AC191" s="175">
        <v>30000</v>
      </c>
      <c r="AE191" s="2"/>
      <c r="AF191" s="105">
        <v>35370</v>
      </c>
      <c r="AG191" s="89">
        <v>377.28</v>
      </c>
      <c r="AH191" s="89">
        <v>480.52600000000001</v>
      </c>
      <c r="AI191" s="96"/>
      <c r="AJ191" s="112">
        <f t="shared" si="3"/>
        <v>1010.88</v>
      </c>
      <c r="AK191" s="112">
        <f t="shared" si="2"/>
        <v>1258.1044363636365</v>
      </c>
      <c r="AL191" s="96"/>
      <c r="AM191" s="68"/>
      <c r="AN191" s="68"/>
      <c r="AO191" s="96"/>
      <c r="AP191" s="115">
        <f>AM195*AJ191/SUM(AJ190:AJ195)/(AJ191*10^3*10^3)</f>
        <v>0</v>
      </c>
      <c r="AQ191" s="114">
        <f>AN195*AK191/SUM(AK190:AK195)/(AK191*10^3*10^3)</f>
        <v>0</v>
      </c>
      <c r="AR191" s="69"/>
      <c r="AS191" s="2"/>
      <c r="AT191" s="20"/>
      <c r="AU191" s="2"/>
      <c r="AV191" s="2"/>
      <c r="AW191" s="2"/>
      <c r="AX191" s="2"/>
      <c r="AY191" s="2"/>
      <c r="DU191" s="5"/>
      <c r="DV191" s="5"/>
      <c r="DW191" s="5"/>
      <c r="DX191" s="5"/>
      <c r="DZ191" s="3"/>
      <c r="EA191" s="3"/>
      <c r="EB191" s="3"/>
      <c r="EC191" s="3"/>
    </row>
    <row r="192" spans="3:133" ht="10.5" customHeight="1" x14ac:dyDescent="0.15">
      <c r="C192" s="203" t="s">
        <v>33</v>
      </c>
      <c r="D192" s="185" t="s">
        <v>88</v>
      </c>
      <c r="E192" s="136">
        <f>4.2*10^11</f>
        <v>420000000000</v>
      </c>
      <c r="F192" s="146" t="s">
        <v>88</v>
      </c>
      <c r="G192" s="152">
        <f>SUM(D192:F192)</f>
        <v>420000000000</v>
      </c>
      <c r="H192" s="69">
        <f t="shared" si="14"/>
        <v>3800000000000000</v>
      </c>
      <c r="I192" s="188">
        <f>2*10^8</f>
        <v>200000000</v>
      </c>
      <c r="J192" s="164">
        <f>4.5*10^8</f>
        <v>450000000</v>
      </c>
      <c r="K192" s="164">
        <f>3.8*10^8</f>
        <v>380000000</v>
      </c>
      <c r="L192" s="152">
        <f>SUM(I192:K192)</f>
        <v>1030000000</v>
      </c>
      <c r="M192" s="128">
        <f t="shared" si="15"/>
        <v>130000000000</v>
      </c>
      <c r="N192" s="191" t="s">
        <v>48</v>
      </c>
      <c r="O192" s="148" t="s">
        <v>88</v>
      </c>
      <c r="P192" s="148" t="s">
        <v>88</v>
      </c>
      <c r="Q192" s="149" t="s">
        <v>88</v>
      </c>
      <c r="R192" s="206">
        <f t="shared" si="16"/>
        <v>11000000000</v>
      </c>
      <c r="S192" s="191" t="s">
        <v>48</v>
      </c>
      <c r="T192" s="153">
        <f>8.3*10^9</f>
        <v>8300000000.000001</v>
      </c>
      <c r="U192" s="153">
        <f>1*10^8</f>
        <v>100000000</v>
      </c>
      <c r="V192" s="152">
        <f>SUM(S192:U192)</f>
        <v>8400000000.000001</v>
      </c>
      <c r="W192" s="128">
        <f t="shared" si="17"/>
        <v>11000000000000</v>
      </c>
      <c r="X192" s="199">
        <v>3128</v>
      </c>
      <c r="Y192" s="228"/>
      <c r="Z192" s="228"/>
      <c r="AA192" s="155">
        <v>-3604</v>
      </c>
      <c r="AB192" s="154">
        <v>26592</v>
      </c>
      <c r="AC192" s="175">
        <v>30000</v>
      </c>
      <c r="AE192" s="2"/>
      <c r="AF192" s="105">
        <v>35400</v>
      </c>
      <c r="AG192" s="89">
        <v>389.85599999999999</v>
      </c>
      <c r="AH192" s="89">
        <v>613.79899999999998</v>
      </c>
      <c r="AI192" s="96"/>
      <c r="AJ192" s="112">
        <f t="shared" si="3"/>
        <v>1044.576</v>
      </c>
      <c r="AK192" s="112">
        <f t="shared" si="2"/>
        <v>1607.0373818181818</v>
      </c>
      <c r="AL192" s="96"/>
      <c r="AM192" s="68">
        <v>4500000000</v>
      </c>
      <c r="AN192" s="68" t="s">
        <v>20</v>
      </c>
      <c r="AO192" s="96"/>
      <c r="AP192" s="115">
        <f>AM192*AJ192/SUM(AJ187:AJ192)/(AJ192*10^3*10^3)</f>
        <v>0.72639005799797651</v>
      </c>
      <c r="AQ192" s="114">
        <f>AN192*AK192/SUM(AK187:AK192)/(AK192*10^3*10^3)</f>
        <v>0</v>
      </c>
      <c r="AR192" s="69"/>
      <c r="AS192" s="2"/>
      <c r="AT192" s="20"/>
      <c r="AU192" s="2"/>
      <c r="AV192" s="2"/>
      <c r="AW192" s="2"/>
      <c r="AX192" s="2"/>
      <c r="AY192" s="2"/>
      <c r="DU192" s="5"/>
      <c r="DV192" s="5"/>
      <c r="DW192" s="5"/>
      <c r="DX192" s="5"/>
      <c r="DZ192" s="3"/>
      <c r="EA192" s="3"/>
      <c r="EB192" s="3"/>
      <c r="EC192" s="3"/>
    </row>
    <row r="193" spans="3:133" ht="10.5" customHeight="1" x14ac:dyDescent="0.15">
      <c r="C193" s="203" t="s">
        <v>94</v>
      </c>
      <c r="D193" s="185" t="s">
        <v>88</v>
      </c>
      <c r="E193" s="146" t="s">
        <v>88</v>
      </c>
      <c r="F193" s="146" t="s">
        <v>88</v>
      </c>
      <c r="G193" s="147" t="s">
        <v>88</v>
      </c>
      <c r="H193" s="69">
        <f t="shared" si="14"/>
        <v>3800000000000000</v>
      </c>
      <c r="I193" s="185" t="s">
        <v>88</v>
      </c>
      <c r="J193" s="146" t="s">
        <v>88</v>
      </c>
      <c r="K193" s="146" t="s">
        <v>88</v>
      </c>
      <c r="L193" s="147" t="s">
        <v>88</v>
      </c>
      <c r="M193" s="128">
        <f t="shared" si="15"/>
        <v>130000000000</v>
      </c>
      <c r="N193" s="191" t="s">
        <v>48</v>
      </c>
      <c r="O193" s="148" t="s">
        <v>88</v>
      </c>
      <c r="P193" s="148" t="s">
        <v>88</v>
      </c>
      <c r="Q193" s="149" t="s">
        <v>88</v>
      </c>
      <c r="R193" s="206">
        <f t="shared" si="16"/>
        <v>11000000000</v>
      </c>
      <c r="S193" s="191" t="s">
        <v>48</v>
      </c>
      <c r="T193" s="153">
        <f>1.7*10^10</f>
        <v>17000000000</v>
      </c>
      <c r="U193" s="153">
        <f>9.3*10^7</f>
        <v>93000000</v>
      </c>
      <c r="V193" s="152">
        <f>SUM(S193:U193)</f>
        <v>17093000000</v>
      </c>
      <c r="W193" s="128">
        <f>1.11*10^13</f>
        <v>11100000000000</v>
      </c>
      <c r="X193" s="199">
        <v>6296</v>
      </c>
      <c r="Y193" s="228"/>
      <c r="Z193" s="228"/>
      <c r="AA193" s="155">
        <f>-(AB192+X193-AB193)</f>
        <v>-6044</v>
      </c>
      <c r="AB193" s="154">
        <v>26844</v>
      </c>
      <c r="AC193" s="175">
        <v>30132</v>
      </c>
      <c r="AE193" s="2"/>
      <c r="AF193" s="105">
        <v>35431</v>
      </c>
      <c r="AG193" s="89">
        <v>388.84399999999999</v>
      </c>
      <c r="AH193" s="89">
        <v>613.79899999999998</v>
      </c>
      <c r="AI193" s="96"/>
      <c r="AJ193" s="112">
        <f t="shared" si="3"/>
        <v>1041.8644580152672</v>
      </c>
      <c r="AK193" s="112">
        <f t="shared" si="2"/>
        <v>1607.0373818181818</v>
      </c>
      <c r="AL193" s="96"/>
      <c r="AM193" s="68"/>
      <c r="AN193" s="68"/>
      <c r="AO193" s="96"/>
      <c r="AP193" s="115">
        <f>AM195*AJ193/SUM(AJ193:AJ195)/(AJ193*10^3*10^3)</f>
        <v>0</v>
      </c>
      <c r="AQ193" s="114">
        <f>AN195*AK193/SUM(AK193:AK195)/(AK193*10^3*10^3)</f>
        <v>0</v>
      </c>
      <c r="AR193" s="69"/>
      <c r="AS193" s="2"/>
      <c r="AT193" s="20"/>
      <c r="AU193" s="2"/>
      <c r="AV193" s="2"/>
      <c r="AW193" s="2"/>
      <c r="AX193" s="2"/>
      <c r="AY193" s="2"/>
      <c r="DU193" s="5"/>
      <c r="DV193" s="5"/>
      <c r="DW193" s="5"/>
      <c r="DX193" s="5"/>
      <c r="DZ193" s="3"/>
      <c r="EA193" s="3"/>
      <c r="EB193" s="3"/>
      <c r="EC193" s="3"/>
    </row>
    <row r="194" spans="3:133" ht="10.5" customHeight="1" x14ac:dyDescent="0.15">
      <c r="C194" s="203" t="s">
        <v>92</v>
      </c>
      <c r="D194" s="185" t="s">
        <v>88</v>
      </c>
      <c r="E194" s="146" t="s">
        <v>88</v>
      </c>
      <c r="F194" s="146" t="s">
        <v>88</v>
      </c>
      <c r="G194" s="147" t="s">
        <v>88</v>
      </c>
      <c r="H194" s="69">
        <f t="shared" si="14"/>
        <v>3800000000000000</v>
      </c>
      <c r="I194" s="185" t="s">
        <v>88</v>
      </c>
      <c r="J194" s="146" t="s">
        <v>88</v>
      </c>
      <c r="K194" s="146" t="s">
        <v>88</v>
      </c>
      <c r="L194" s="147" t="s">
        <v>88</v>
      </c>
      <c r="M194" s="128">
        <f t="shared" si="15"/>
        <v>130000000000</v>
      </c>
      <c r="N194" s="191" t="s">
        <v>48</v>
      </c>
      <c r="O194" s="148" t="s">
        <v>88</v>
      </c>
      <c r="P194" s="161" t="s">
        <v>48</v>
      </c>
      <c r="Q194" s="149" t="s">
        <v>88</v>
      </c>
      <c r="R194" s="206">
        <f t="shared" si="16"/>
        <v>11000000000</v>
      </c>
      <c r="S194" s="191" t="s">
        <v>48</v>
      </c>
      <c r="T194" s="153">
        <f>1.3*10^10</f>
        <v>13000000000</v>
      </c>
      <c r="U194" s="161" t="s">
        <v>48</v>
      </c>
      <c r="V194" s="152">
        <f>SUM(S194:U194)</f>
        <v>13000000000</v>
      </c>
      <c r="W194" s="128">
        <f>1.11*10^13</f>
        <v>11100000000000</v>
      </c>
      <c r="X194" s="199">
        <v>3100</v>
      </c>
      <c r="Y194" s="228"/>
      <c r="Z194" s="228"/>
      <c r="AA194" s="155">
        <f t="shared" ref="AA194:AA198" si="18">-(AB193+X194-AB194)</f>
        <v>-2412</v>
      </c>
      <c r="AB194" s="154">
        <v>27532</v>
      </c>
      <c r="AC194" s="175">
        <v>30132</v>
      </c>
      <c r="AE194" s="2"/>
      <c r="AF194" s="105">
        <v>35462</v>
      </c>
      <c r="AG194" s="89">
        <v>350.78899999999999</v>
      </c>
      <c r="AH194" s="89">
        <v>554.4</v>
      </c>
      <c r="AI194" s="96"/>
      <c r="AJ194" s="112">
        <f t="shared" si="3"/>
        <v>939.90029770992373</v>
      </c>
      <c r="AK194" s="112">
        <f t="shared" si="2"/>
        <v>1451.52</v>
      </c>
      <c r="AL194" s="96"/>
      <c r="AM194" s="68"/>
      <c r="AN194" s="68"/>
      <c r="AO194" s="96"/>
      <c r="AP194" s="115">
        <f>AM195*AJ194/SUM(AJ193:AJ195)/(AJ194*10^3*10^3)</f>
        <v>0</v>
      </c>
      <c r="AQ194" s="114">
        <f>AN195*AK194/SUM(AK193:AK195)/(AK194*10^3*10^3)</f>
        <v>0</v>
      </c>
      <c r="AR194" s="69"/>
      <c r="AS194" s="2"/>
      <c r="AT194" s="20"/>
      <c r="AU194" s="2"/>
      <c r="AV194" s="2"/>
      <c r="AW194" s="2"/>
      <c r="AX194" s="2"/>
      <c r="AY194" s="2"/>
      <c r="DU194" s="5"/>
      <c r="DV194" s="5"/>
      <c r="DW194" s="5"/>
      <c r="DX194" s="5"/>
      <c r="DZ194" s="3"/>
      <c r="EA194" s="3"/>
      <c r="EB194" s="3"/>
      <c r="EC194" s="3"/>
    </row>
    <row r="195" spans="3:133" ht="10.5" customHeight="1" x14ac:dyDescent="0.15">
      <c r="C195" s="203" t="s">
        <v>95</v>
      </c>
      <c r="D195" s="185" t="s">
        <v>88</v>
      </c>
      <c r="E195" s="146" t="s">
        <v>88</v>
      </c>
      <c r="F195" s="146" t="s">
        <v>88</v>
      </c>
      <c r="G195" s="114" t="s">
        <v>88</v>
      </c>
      <c r="H195" s="69">
        <v>3800000000000000</v>
      </c>
      <c r="I195" s="213" t="s">
        <v>88</v>
      </c>
      <c r="J195" s="214" t="s">
        <v>88</v>
      </c>
      <c r="K195" s="214" t="s">
        <v>88</v>
      </c>
      <c r="L195" s="114" t="s">
        <v>88</v>
      </c>
      <c r="M195" s="128">
        <f t="shared" si="15"/>
        <v>130000000000</v>
      </c>
      <c r="N195" s="191" t="s">
        <v>20</v>
      </c>
      <c r="O195" s="148" t="s">
        <v>88</v>
      </c>
      <c r="P195" s="148" t="s">
        <v>88</v>
      </c>
      <c r="Q195" s="149" t="s">
        <v>88</v>
      </c>
      <c r="R195" s="206">
        <f t="shared" si="16"/>
        <v>11000000000</v>
      </c>
      <c r="S195" s="191" t="s">
        <v>48</v>
      </c>
      <c r="T195" s="153">
        <f>1.4*10^10</f>
        <v>14000000000</v>
      </c>
      <c r="U195" s="153">
        <f>1.6*10^8</f>
        <v>160000000</v>
      </c>
      <c r="V195" s="152">
        <f>1.4*10^10</f>
        <v>14000000000</v>
      </c>
      <c r="W195" s="128">
        <f t="shared" ref="W195:W199" si="19">1.11*10^13</f>
        <v>11100000000000</v>
      </c>
      <c r="X195" s="199">
        <v>2232</v>
      </c>
      <c r="Y195" s="228"/>
      <c r="Z195" s="228"/>
      <c r="AA195" s="155">
        <f t="shared" si="18"/>
        <v>-1106</v>
      </c>
      <c r="AB195" s="154">
        <v>28658</v>
      </c>
      <c r="AC195" s="175">
        <v>55488</v>
      </c>
      <c r="AE195" s="2"/>
      <c r="AF195" s="105">
        <v>35490</v>
      </c>
      <c r="AG195" s="89">
        <v>389.85300000000001</v>
      </c>
      <c r="AH195" s="89">
        <v>613.79999999999995</v>
      </c>
      <c r="AI195" s="96"/>
      <c r="AJ195" s="112">
        <f t="shared" si="3"/>
        <v>1044.5679618320612</v>
      </c>
      <c r="AK195" s="112">
        <f t="shared" si="2"/>
        <v>1607.0399999999997</v>
      </c>
      <c r="AL195" s="96"/>
      <c r="AM195" s="68" t="s">
        <v>20</v>
      </c>
      <c r="AN195" s="68" t="s">
        <v>48</v>
      </c>
      <c r="AO195" s="96"/>
      <c r="AP195" s="115">
        <f>AM195*AJ195/SUM(AJ193:AJ195)/(AJ195*10^3*10^3)</f>
        <v>0</v>
      </c>
      <c r="AQ195" s="114">
        <f>AN195*AK195/SUM(AK193:AK195)/(AK195*10^3*10^3)</f>
        <v>0</v>
      </c>
      <c r="AR195" s="69"/>
      <c r="AS195" s="2"/>
      <c r="AT195" s="20"/>
      <c r="AU195" s="2"/>
      <c r="AV195" s="2"/>
      <c r="AW195" s="2"/>
      <c r="AX195" s="2"/>
      <c r="AY195" s="2"/>
      <c r="DU195" s="5"/>
      <c r="DV195" s="5"/>
      <c r="DW195" s="5"/>
      <c r="DX195" s="5"/>
      <c r="DZ195" s="3"/>
      <c r="EA195" s="3"/>
      <c r="EB195" s="3"/>
      <c r="EC195" s="3"/>
    </row>
    <row r="196" spans="3:133" ht="10.5" customHeight="1" x14ac:dyDescent="0.15">
      <c r="C196" s="203" t="s">
        <v>102</v>
      </c>
      <c r="D196" s="211" t="s">
        <v>88</v>
      </c>
      <c r="E196" s="165" t="s">
        <v>88</v>
      </c>
      <c r="F196" s="165" t="s">
        <v>88</v>
      </c>
      <c r="G196" s="165" t="s">
        <v>88</v>
      </c>
      <c r="H196" s="69">
        <v>3800000000000000</v>
      </c>
      <c r="I196" s="197" t="s">
        <v>88</v>
      </c>
      <c r="J196" s="165" t="s">
        <v>88</v>
      </c>
      <c r="K196" s="165" t="s">
        <v>88</v>
      </c>
      <c r="L196" s="165" t="s">
        <v>88</v>
      </c>
      <c r="M196" s="128">
        <f t="shared" si="15"/>
        <v>130000000000</v>
      </c>
      <c r="N196" s="191" t="s">
        <v>48</v>
      </c>
      <c r="O196" s="165" t="s">
        <v>88</v>
      </c>
      <c r="P196" s="165" t="s">
        <v>88</v>
      </c>
      <c r="Q196" s="91" t="s">
        <v>88</v>
      </c>
      <c r="R196" s="206">
        <f t="shared" si="16"/>
        <v>11000000000</v>
      </c>
      <c r="S196" s="197" t="s">
        <v>20</v>
      </c>
      <c r="T196" s="153">
        <f>2.9*10^9</f>
        <v>2900000000</v>
      </c>
      <c r="U196" s="153">
        <f>1.2*10^7</f>
        <v>12000000</v>
      </c>
      <c r="V196" s="153">
        <f>2.9*10^9</f>
        <v>2900000000</v>
      </c>
      <c r="W196" s="128">
        <f t="shared" si="19"/>
        <v>11100000000000</v>
      </c>
      <c r="X196" s="94">
        <v>2268</v>
      </c>
      <c r="Y196" s="229"/>
      <c r="Z196" s="228"/>
      <c r="AA196" s="155">
        <f t="shared" si="18"/>
        <v>-650</v>
      </c>
      <c r="AB196" s="154">
        <v>30276</v>
      </c>
      <c r="AC196" s="175">
        <v>55488</v>
      </c>
      <c r="AE196" s="2"/>
      <c r="AF196" s="104">
        <v>35521</v>
      </c>
      <c r="AG196" s="89">
        <v>61.731999999999999</v>
      </c>
      <c r="AH196" s="89">
        <v>594</v>
      </c>
      <c r="AI196" s="96"/>
      <c r="AJ196" s="112">
        <f t="shared" si="3"/>
        <v>165.4040610687023</v>
      </c>
      <c r="AK196" s="112">
        <f t="shared" si="2"/>
        <v>1555.2</v>
      </c>
      <c r="AL196" s="96"/>
      <c r="AM196" s="68"/>
      <c r="AN196" s="68"/>
      <c r="AO196" s="96"/>
      <c r="AP196" s="114">
        <f>AM198*AJ196/SUM(AJ196:AJ198)/(AJ196*10^3*10^3)</f>
        <v>43.621053192396012</v>
      </c>
      <c r="AQ196" s="115">
        <f>AN198*AK196/SUM(AK196:AK198)/(AK196*10^3*10^3)</f>
        <v>0.74192864880278231</v>
      </c>
      <c r="AR196" s="69"/>
      <c r="AS196" s="2"/>
      <c r="AT196" s="20"/>
      <c r="AU196" s="2"/>
      <c r="AV196" s="2"/>
      <c r="AW196" s="2"/>
      <c r="AX196" s="2"/>
      <c r="AY196" s="2"/>
      <c r="DU196" s="5"/>
      <c r="DV196" s="5"/>
      <c r="DW196" s="5"/>
      <c r="DX196" s="5"/>
      <c r="DZ196" s="3"/>
      <c r="EA196" s="3"/>
      <c r="EB196" s="3"/>
      <c r="EC196" s="3"/>
    </row>
    <row r="197" spans="3:133" ht="10.5" customHeight="1" x14ac:dyDescent="0.15">
      <c r="C197" s="203" t="s">
        <v>103</v>
      </c>
      <c r="D197" s="211" t="s">
        <v>88</v>
      </c>
      <c r="E197" s="165" t="s">
        <v>88</v>
      </c>
      <c r="F197" s="165" t="s">
        <v>88</v>
      </c>
      <c r="G197" s="165" t="s">
        <v>88</v>
      </c>
      <c r="H197" s="69">
        <v>3800000000000000</v>
      </c>
      <c r="I197" s="197" t="s">
        <v>88</v>
      </c>
      <c r="J197" s="165" t="s">
        <v>88</v>
      </c>
      <c r="K197" s="165" t="s">
        <v>88</v>
      </c>
      <c r="L197" s="165" t="s">
        <v>88</v>
      </c>
      <c r="M197" s="128">
        <f t="shared" si="15"/>
        <v>130000000000</v>
      </c>
      <c r="N197" s="191" t="s">
        <v>129</v>
      </c>
      <c r="O197" s="165" t="s">
        <v>88</v>
      </c>
      <c r="P197" s="165" t="s">
        <v>88</v>
      </c>
      <c r="Q197" s="91" t="s">
        <v>88</v>
      </c>
      <c r="R197" s="206">
        <f t="shared" si="16"/>
        <v>11000000000</v>
      </c>
      <c r="S197" s="197" t="s">
        <v>20</v>
      </c>
      <c r="T197" s="153">
        <f>3*10^9</f>
        <v>3000000000</v>
      </c>
      <c r="U197" s="153">
        <f>7.4*10^5</f>
        <v>740000</v>
      </c>
      <c r="V197" s="153">
        <f>3*10^9</f>
        <v>3000000000</v>
      </c>
      <c r="W197" s="128">
        <f t="shared" si="19"/>
        <v>11100000000000</v>
      </c>
      <c r="X197" s="94">
        <v>2244</v>
      </c>
      <c r="Y197" s="229"/>
      <c r="Z197" s="228"/>
      <c r="AA197" s="155">
        <f t="shared" si="18"/>
        <v>-756</v>
      </c>
      <c r="AB197" s="154">
        <v>31764</v>
      </c>
      <c r="AC197" s="175">
        <v>55488</v>
      </c>
      <c r="AE197" s="2"/>
      <c r="AF197" s="104">
        <v>35551</v>
      </c>
      <c r="AG197" s="89">
        <v>0</v>
      </c>
      <c r="AH197" s="89">
        <v>613.79899999999998</v>
      </c>
      <c r="AI197" s="96"/>
      <c r="AJ197" s="112">
        <f t="shared" si="3"/>
        <v>0</v>
      </c>
      <c r="AK197" s="112">
        <f t="shared" si="2"/>
        <v>1607.0373818181818</v>
      </c>
      <c r="AL197" s="96"/>
      <c r="AM197" s="68"/>
      <c r="AN197" s="68"/>
      <c r="AO197" s="96"/>
      <c r="AP197" s="114" t="e">
        <f>AM198*AJ197/SUM(AJ196:AJ198)/(AJ197*10^3*10^3)</f>
        <v>#DIV/0!</v>
      </c>
      <c r="AQ197" s="115">
        <f>AN198*AK197/SUM(AK196:AK198)/(AK197*10^3*10^3)</f>
        <v>0.74192864880278231</v>
      </c>
      <c r="AR197" s="69"/>
      <c r="AS197" s="2"/>
      <c r="AT197" s="20"/>
      <c r="AU197" s="2"/>
      <c r="AV197" s="2"/>
      <c r="AW197" s="2"/>
      <c r="AX197" s="2"/>
      <c r="AY197" s="2"/>
      <c r="DU197" s="5"/>
      <c r="DV197" s="5"/>
      <c r="DW197" s="5"/>
      <c r="DX197" s="5"/>
      <c r="DZ197" s="3"/>
      <c r="EA197" s="3"/>
      <c r="EB197" s="3"/>
      <c r="EC197" s="3"/>
    </row>
    <row r="198" spans="3:133" ht="10.5" customHeight="1" x14ac:dyDescent="0.15">
      <c r="C198" s="203" t="s">
        <v>104</v>
      </c>
      <c r="D198" s="211" t="s">
        <v>88</v>
      </c>
      <c r="E198" s="165" t="s">
        <v>88</v>
      </c>
      <c r="F198" s="165" t="s">
        <v>88</v>
      </c>
      <c r="G198" s="165" t="s">
        <v>88</v>
      </c>
      <c r="H198" s="69">
        <v>3800000000000000</v>
      </c>
      <c r="I198" s="197" t="s">
        <v>88</v>
      </c>
      <c r="J198" s="165" t="s">
        <v>88</v>
      </c>
      <c r="K198" s="165" t="s">
        <v>88</v>
      </c>
      <c r="L198" s="165" t="s">
        <v>88</v>
      </c>
      <c r="M198" s="128">
        <f t="shared" si="15"/>
        <v>130000000000</v>
      </c>
      <c r="N198" s="191" t="s">
        <v>48</v>
      </c>
      <c r="O198" s="148" t="s">
        <v>88</v>
      </c>
      <c r="P198" s="148" t="s">
        <v>88</v>
      </c>
      <c r="Q198" s="91" t="s">
        <v>88</v>
      </c>
      <c r="R198" s="206">
        <f t="shared" si="16"/>
        <v>11000000000</v>
      </c>
      <c r="S198" s="191" t="s">
        <v>48</v>
      </c>
      <c r="T198" s="153">
        <f>3.7*10^8</f>
        <v>370000000</v>
      </c>
      <c r="U198" s="153">
        <f>3.4*10^7</f>
        <v>34000000</v>
      </c>
      <c r="V198" s="153">
        <f>4*10^8</f>
        <v>400000000</v>
      </c>
      <c r="W198" s="128">
        <f t="shared" si="19"/>
        <v>11100000000000</v>
      </c>
      <c r="X198" s="94">
        <v>3140</v>
      </c>
      <c r="Y198" s="229"/>
      <c r="Z198" s="228"/>
      <c r="AA198" s="155">
        <f t="shared" si="18"/>
        <v>-2272</v>
      </c>
      <c r="AB198" s="154">
        <v>32632</v>
      </c>
      <c r="AC198" s="175">
        <v>55488</v>
      </c>
      <c r="AE198" s="2"/>
      <c r="AF198" s="104">
        <v>35582</v>
      </c>
      <c r="AG198" s="89">
        <v>1.5820000000000001</v>
      </c>
      <c r="AH198" s="89">
        <v>593.99900000000002</v>
      </c>
      <c r="AI198" s="96"/>
      <c r="AJ198" s="112">
        <f t="shared" si="3"/>
        <v>4.2387938931297722</v>
      </c>
      <c r="AK198" s="112">
        <f t="shared" si="2"/>
        <v>1555.1973818181818</v>
      </c>
      <c r="AL198" s="96"/>
      <c r="AM198" s="68">
        <v>7400000000</v>
      </c>
      <c r="AN198" s="68">
        <v>3500000000</v>
      </c>
      <c r="AO198" s="96"/>
      <c r="AP198" s="114">
        <f>AM198*AJ198/SUM(AJ196:AJ198)/(AJ198*10^3*10^3)</f>
        <v>43.621053192396012</v>
      </c>
      <c r="AQ198" s="115">
        <f>AN198*AK198/SUM(AK196:AK198)/(AK198*10^3*10^3)</f>
        <v>0.74192864880278231</v>
      </c>
      <c r="AR198" s="69"/>
      <c r="AS198" s="2"/>
      <c r="AT198" s="20"/>
      <c r="AU198" s="2"/>
      <c r="AV198" s="2"/>
      <c r="AW198" s="2"/>
      <c r="AX198" s="2"/>
      <c r="AY198" s="2"/>
      <c r="DU198" s="5"/>
      <c r="DV198" s="5"/>
      <c r="DW198" s="5"/>
      <c r="DX198" s="5"/>
      <c r="DZ198" s="3"/>
      <c r="EA198" s="3"/>
      <c r="EB198" s="3"/>
      <c r="EC198" s="3"/>
    </row>
    <row r="199" spans="3:133" ht="10.5" customHeight="1" x14ac:dyDescent="0.15">
      <c r="C199" s="203" t="s">
        <v>105</v>
      </c>
      <c r="D199" s="211" t="s">
        <v>88</v>
      </c>
      <c r="E199" s="165" t="s">
        <v>88</v>
      </c>
      <c r="F199" s="165" t="s">
        <v>88</v>
      </c>
      <c r="G199" s="165" t="s">
        <v>88</v>
      </c>
      <c r="H199" s="69">
        <v>3800000000000000</v>
      </c>
      <c r="I199" s="197" t="s">
        <v>88</v>
      </c>
      <c r="J199" s="165" t="s">
        <v>88</v>
      </c>
      <c r="K199" s="165" t="s">
        <v>88</v>
      </c>
      <c r="L199" s="165" t="s">
        <v>88</v>
      </c>
      <c r="M199" s="128">
        <f t="shared" si="15"/>
        <v>130000000000</v>
      </c>
      <c r="N199" s="191" t="s">
        <v>48</v>
      </c>
      <c r="O199" s="148" t="s">
        <v>88</v>
      </c>
      <c r="P199" s="148" t="s">
        <v>88</v>
      </c>
      <c r="Q199" s="91" t="s">
        <v>88</v>
      </c>
      <c r="R199" s="206">
        <f t="shared" si="16"/>
        <v>11000000000</v>
      </c>
      <c r="S199" s="191" t="s">
        <v>48</v>
      </c>
      <c r="T199" s="153">
        <f>1.3*10^9</f>
        <v>1300000000</v>
      </c>
      <c r="U199" s="153">
        <f>2.3*10^7</f>
        <v>23000000</v>
      </c>
      <c r="V199" s="153">
        <f>T199+U199</f>
        <v>1323000000</v>
      </c>
      <c r="W199" s="128">
        <f t="shared" si="19"/>
        <v>11100000000000</v>
      </c>
      <c r="X199" s="94"/>
      <c r="Y199" s="91"/>
      <c r="Z199" s="91"/>
      <c r="AA199" s="91"/>
      <c r="AB199" s="154"/>
      <c r="AC199" s="175">
        <v>55488</v>
      </c>
      <c r="AE199" s="2"/>
      <c r="AF199" s="104">
        <v>35612</v>
      </c>
      <c r="AG199" s="89">
        <v>381.63799999999998</v>
      </c>
      <c r="AH199" s="89">
        <v>613.79899999999998</v>
      </c>
      <c r="AI199" s="96"/>
      <c r="AJ199" s="112">
        <f t="shared" si="3"/>
        <v>1022.5567786259542</v>
      </c>
      <c r="AK199" s="112">
        <f t="shared" si="2"/>
        <v>1607.0373818181818</v>
      </c>
      <c r="AL199" s="96"/>
      <c r="AM199" s="68"/>
      <c r="AN199" s="68"/>
      <c r="AO199" s="96"/>
      <c r="AP199" s="114">
        <f>AM201*AJ199/SUM(AJ199:AJ201)/(AJ199*10^3*10^3)</f>
        <v>0.7147468702134806</v>
      </c>
      <c r="AQ199" s="115">
        <f>AN201*AK199/SUM(AK199:AK201)/(AK199*10^3*10^3)</f>
        <v>0.16371854222628646</v>
      </c>
      <c r="AR199" s="69"/>
      <c r="AS199" s="2"/>
      <c r="AT199" s="20"/>
      <c r="AU199" s="2"/>
      <c r="AV199" s="2"/>
      <c r="AW199" s="2"/>
      <c r="AX199" s="2"/>
      <c r="AY199" s="2"/>
      <c r="DU199" s="5"/>
      <c r="DV199" s="5"/>
      <c r="DW199" s="5"/>
      <c r="DX199" s="5"/>
      <c r="DZ199" s="3"/>
      <c r="EA199" s="3"/>
      <c r="EB199" s="3"/>
      <c r="EC199" s="3"/>
    </row>
    <row r="200" spans="3:133" ht="10.5" customHeight="1" x14ac:dyDescent="0.15">
      <c r="C200" s="203" t="s">
        <v>115</v>
      </c>
      <c r="D200" s="211"/>
      <c r="E200" s="165"/>
      <c r="F200" s="165"/>
      <c r="G200" s="165"/>
      <c r="H200" s="69"/>
      <c r="I200" s="197"/>
      <c r="J200" s="165"/>
      <c r="K200" s="165"/>
      <c r="L200" s="165"/>
      <c r="M200" s="98"/>
      <c r="N200" s="94"/>
      <c r="O200" s="165"/>
      <c r="P200" s="165"/>
      <c r="Q200" s="91"/>
      <c r="R200" s="98"/>
      <c r="S200" s="94"/>
      <c r="T200" s="91"/>
      <c r="U200" s="91"/>
      <c r="V200" s="91"/>
      <c r="W200" s="98"/>
      <c r="X200" s="94"/>
      <c r="Y200" s="91"/>
      <c r="Z200" s="91"/>
      <c r="AA200" s="91"/>
      <c r="AB200" s="154"/>
      <c r="AC200" s="175"/>
      <c r="AE200" s="2"/>
      <c r="AF200" s="104">
        <v>35643</v>
      </c>
      <c r="AG200" s="89">
        <v>389.85599999999999</v>
      </c>
      <c r="AH200" s="89">
        <v>613.79999999999995</v>
      </c>
      <c r="AI200" s="96"/>
      <c r="AJ200" s="112">
        <f t="shared" si="3"/>
        <v>1044.576</v>
      </c>
      <c r="AK200" s="112">
        <f t="shared" si="2"/>
        <v>1607.0399999999997</v>
      </c>
      <c r="AL200" s="96"/>
      <c r="AM200" s="68"/>
      <c r="AN200" s="68"/>
      <c r="AO200" s="96"/>
      <c r="AP200" s="114">
        <f>AM201*AJ200/SUM(AJ199:AJ201)/(AJ200*10^3*10^3)</f>
        <v>0.7147468702134806</v>
      </c>
      <c r="AQ200" s="115">
        <f>AN201*AK200/SUM(AK199:AK201)/(AK200*10^3*10^3)</f>
        <v>0.16371854222628643</v>
      </c>
      <c r="AR200" s="69"/>
      <c r="AS200" s="2"/>
      <c r="AT200" s="20"/>
      <c r="AU200" s="2"/>
      <c r="AV200" s="2"/>
      <c r="AW200" s="2"/>
      <c r="AX200" s="2"/>
      <c r="AY200" s="2"/>
      <c r="DU200" s="5"/>
      <c r="DV200" s="5"/>
      <c r="DW200" s="5"/>
      <c r="DX200" s="5"/>
      <c r="DZ200" s="3"/>
      <c r="EA200" s="3"/>
      <c r="EB200" s="3"/>
      <c r="EC200" s="3"/>
    </row>
    <row r="201" spans="3:133" ht="10.5" customHeight="1" x14ac:dyDescent="0.15">
      <c r="C201" s="203" t="s">
        <v>116</v>
      </c>
      <c r="D201" s="211"/>
      <c r="E201" s="165"/>
      <c r="F201" s="165"/>
      <c r="G201" s="165"/>
      <c r="H201" s="69"/>
      <c r="I201" s="197"/>
      <c r="J201" s="165"/>
      <c r="K201" s="165"/>
      <c r="L201" s="165"/>
      <c r="M201" s="98"/>
      <c r="N201" s="94"/>
      <c r="O201" s="165"/>
      <c r="P201" s="165"/>
      <c r="Q201" s="91"/>
      <c r="R201" s="98"/>
      <c r="S201" s="94"/>
      <c r="T201" s="91"/>
      <c r="U201" s="91"/>
      <c r="V201" s="91"/>
      <c r="W201" s="98"/>
      <c r="X201" s="94"/>
      <c r="Y201" s="91"/>
      <c r="Z201" s="91"/>
      <c r="AA201" s="91"/>
      <c r="AB201" s="154"/>
      <c r="AC201" s="175"/>
      <c r="AE201" s="2"/>
      <c r="AF201" s="104">
        <v>35674</v>
      </c>
      <c r="AG201" s="89">
        <v>377.28</v>
      </c>
      <c r="AH201" s="89">
        <v>592.08900000000006</v>
      </c>
      <c r="AI201" s="96"/>
      <c r="AJ201" s="112">
        <f t="shared" si="3"/>
        <v>1010.88</v>
      </c>
      <c r="AK201" s="112">
        <f t="shared" si="2"/>
        <v>1550.1966545454545</v>
      </c>
      <c r="AL201" s="96"/>
      <c r="AM201" s="68">
        <v>2200000000</v>
      </c>
      <c r="AN201" s="68">
        <v>780000000</v>
      </c>
      <c r="AO201" s="96"/>
      <c r="AP201" s="114">
        <f>AM201*AJ201/SUM(AJ199:AJ201)/(AJ201*10^3*10^3)</f>
        <v>0.7147468702134806</v>
      </c>
      <c r="AQ201" s="115">
        <f>AN201*AK201/SUM(AK199:AK201)/(AK201*10^3*10^3)</f>
        <v>0.16371854222628643</v>
      </c>
      <c r="AR201" s="69"/>
      <c r="AS201" s="2"/>
      <c r="AT201" s="20"/>
      <c r="AU201" s="2"/>
      <c r="AV201" s="2"/>
      <c r="AW201" s="2"/>
      <c r="AX201" s="2"/>
      <c r="AY201" s="2"/>
      <c r="DU201" s="5"/>
      <c r="DV201" s="5"/>
      <c r="DW201" s="5"/>
      <c r="DX201" s="5"/>
      <c r="DZ201" s="3"/>
      <c r="EA201" s="3"/>
      <c r="EB201" s="3"/>
      <c r="EC201" s="3"/>
    </row>
    <row r="202" spans="3:133" ht="10.5" customHeight="1" x14ac:dyDescent="0.15">
      <c r="C202" s="204" t="s">
        <v>117</v>
      </c>
      <c r="D202" s="187"/>
      <c r="E202" s="176"/>
      <c r="F202" s="176"/>
      <c r="G202" s="212"/>
      <c r="H202" s="141"/>
      <c r="I202" s="215"/>
      <c r="J202" s="216"/>
      <c r="K202" s="216"/>
      <c r="L202" s="212"/>
      <c r="M202" s="207"/>
      <c r="N202" s="192"/>
      <c r="O202" s="179"/>
      <c r="P202" s="179"/>
      <c r="Q202" s="180"/>
      <c r="R202" s="208"/>
      <c r="S202" s="192"/>
      <c r="T202" s="178"/>
      <c r="U202" s="178"/>
      <c r="V202" s="177"/>
      <c r="W202" s="207"/>
      <c r="X202" s="200"/>
      <c r="Y202" s="181"/>
      <c r="Z202" s="181"/>
      <c r="AA202" s="182"/>
      <c r="AB202" s="181"/>
      <c r="AC202" s="183"/>
      <c r="AE202" s="2"/>
      <c r="AF202" s="104">
        <v>35704</v>
      </c>
      <c r="AG202" s="89">
        <v>389.572</v>
      </c>
      <c r="AH202" s="89">
        <v>612.49</v>
      </c>
      <c r="AI202" s="96"/>
      <c r="AJ202" s="112">
        <f t="shared" si="3"/>
        <v>1043.8150534351144</v>
      </c>
      <c r="AK202" s="112">
        <f t="shared" si="2"/>
        <v>1603.6101818181819</v>
      </c>
      <c r="AL202" s="96"/>
      <c r="AM202" s="68"/>
      <c r="AN202" s="68"/>
      <c r="AO202" s="96"/>
      <c r="AP202" s="114">
        <f>AM204*AJ202/SUM(AJ202:AJ204)/(AJ202*10^3*10^3)</f>
        <v>7.4229223745318187</v>
      </c>
      <c r="AQ202" s="115">
        <f>AN204*AK202/SUM(AK202:AK204)/(AK202*10^3*10^3)</f>
        <v>0</v>
      </c>
      <c r="AR202" s="69"/>
      <c r="AS202" s="2"/>
      <c r="AT202" s="20"/>
      <c r="AU202" s="2"/>
      <c r="AV202" s="2"/>
      <c r="AW202" s="2"/>
      <c r="AX202" s="2"/>
      <c r="AY202" s="2"/>
      <c r="DU202" s="5"/>
      <c r="DV202" s="5"/>
      <c r="DW202" s="5"/>
      <c r="DX202" s="5"/>
      <c r="DZ202" s="3"/>
      <c r="EA202" s="3"/>
      <c r="EB202" s="3"/>
      <c r="EC202" s="3"/>
    </row>
    <row r="203" spans="3:133" ht="10.5" customHeight="1" x14ac:dyDescent="0.15">
      <c r="C203" s="80" t="s">
        <v>68</v>
      </c>
      <c r="D203" s="3" t="s">
        <v>65</v>
      </c>
      <c r="E203" s="20"/>
      <c r="F203" s="20"/>
      <c r="M203" s="80" t="s">
        <v>72</v>
      </c>
      <c r="N203" s="3" t="s">
        <v>76</v>
      </c>
      <c r="AE203" s="2"/>
      <c r="AF203" s="104">
        <v>35735</v>
      </c>
      <c r="AG203" s="89">
        <v>377.28</v>
      </c>
      <c r="AH203" s="89">
        <v>591.84699999999998</v>
      </c>
      <c r="AI203" s="96"/>
      <c r="AJ203" s="112">
        <f t="shared" si="3"/>
        <v>1010.88</v>
      </c>
      <c r="AK203" s="112">
        <f t="shared" si="2"/>
        <v>1549.5630545454544</v>
      </c>
      <c r="AL203" s="96"/>
      <c r="AM203" s="68"/>
      <c r="AN203" s="68"/>
      <c r="AO203" s="96"/>
      <c r="AP203" s="114">
        <f>AM204*AJ203/SUM(AJ202:AJ204)/(AJ203*10^3*10^3)</f>
        <v>7.4229223745318196</v>
      </c>
      <c r="AQ203" s="115">
        <f>AN204*AK203/SUM(AK202:AK204)/(AK203*10^3*10^3)</f>
        <v>0</v>
      </c>
      <c r="AR203" s="69"/>
      <c r="AS203" s="2"/>
      <c r="AT203" s="20"/>
      <c r="AU203" s="2"/>
      <c r="AV203" s="2"/>
      <c r="AW203" s="2"/>
      <c r="AX203" s="2"/>
      <c r="AY203" s="2"/>
      <c r="DU203" s="5"/>
      <c r="DV203" s="5"/>
      <c r="DW203" s="5"/>
      <c r="DX203" s="5"/>
      <c r="DZ203" s="3"/>
      <c r="EA203" s="3"/>
      <c r="EB203" s="3"/>
      <c r="EC203" s="3"/>
    </row>
    <row r="204" spans="3:133" ht="10.5" customHeight="1" x14ac:dyDescent="0.15">
      <c r="C204" s="80" t="s">
        <v>69</v>
      </c>
      <c r="D204" s="3" t="s">
        <v>66</v>
      </c>
      <c r="J204" s="2"/>
      <c r="M204" s="80" t="s">
        <v>73</v>
      </c>
      <c r="N204" s="34" t="s">
        <v>55</v>
      </c>
      <c r="AE204" s="2"/>
      <c r="AF204" s="104">
        <v>35765</v>
      </c>
      <c r="AG204" s="89">
        <v>389.572</v>
      </c>
      <c r="AH204" s="89">
        <v>612.673</v>
      </c>
      <c r="AI204" s="96"/>
      <c r="AJ204" s="112">
        <f t="shared" si="3"/>
        <v>1043.8150534351144</v>
      </c>
      <c r="AK204" s="112">
        <f t="shared" si="2"/>
        <v>1604.089309090909</v>
      </c>
      <c r="AL204" s="96"/>
      <c r="AM204" s="68">
        <v>23000000000</v>
      </c>
      <c r="AN204" s="68" t="s">
        <v>20</v>
      </c>
      <c r="AO204" s="96"/>
      <c r="AP204" s="114">
        <f>AM204*AJ204/SUM(AJ202:AJ204)/(AJ204*10^3*10^3)</f>
        <v>7.4229223745318187</v>
      </c>
      <c r="AQ204" s="115">
        <f>AN204*AK204/SUM(AK202:AK204)/(AK204*10^3*10^3)</f>
        <v>0</v>
      </c>
      <c r="AR204" s="69"/>
      <c r="AS204" s="2"/>
      <c r="AT204" s="20"/>
      <c r="AU204" s="2"/>
      <c r="AV204" s="2"/>
      <c r="AW204" s="2"/>
      <c r="AX204" s="2"/>
      <c r="AY204" s="2"/>
      <c r="DU204" s="5"/>
      <c r="DV204" s="5"/>
      <c r="DW204" s="5"/>
      <c r="DX204" s="5"/>
      <c r="DZ204" s="3"/>
      <c r="EA204" s="3"/>
      <c r="EB204" s="3"/>
      <c r="EC204" s="3"/>
    </row>
    <row r="205" spans="3:133" ht="10.5" customHeight="1" x14ac:dyDescent="0.15">
      <c r="C205" s="80" t="s">
        <v>70</v>
      </c>
      <c r="D205" s="3" t="s">
        <v>78</v>
      </c>
      <c r="J205" s="2"/>
      <c r="M205" s="80" t="s">
        <v>74</v>
      </c>
      <c r="N205" s="3" t="s">
        <v>77</v>
      </c>
      <c r="AE205" s="2"/>
      <c r="AF205" s="104">
        <v>35796</v>
      </c>
      <c r="AG205" s="89">
        <v>389.85599999999999</v>
      </c>
      <c r="AH205" s="89">
        <v>194.27500000000001</v>
      </c>
      <c r="AI205" s="96"/>
      <c r="AJ205" s="112">
        <f t="shared" si="3"/>
        <v>1044.576</v>
      </c>
      <c r="AK205" s="112">
        <f t="shared" si="2"/>
        <v>508.64727272727271</v>
      </c>
      <c r="AL205" s="96"/>
      <c r="AM205" s="68"/>
      <c r="AN205" s="68"/>
      <c r="AO205" s="96"/>
      <c r="AP205" s="114">
        <f>AM207*AJ205/SUM(AJ205:AJ207)/(AJ205*10^3*10^3)</f>
        <v>2.3411944708241004</v>
      </c>
      <c r="AQ205" s="115">
        <f>AN207*AK205/SUM(AK205:AK207)/(AK205*10^3*10^3)</f>
        <v>0</v>
      </c>
      <c r="AR205" s="69"/>
      <c r="AS205" s="2"/>
      <c r="AT205" s="20"/>
      <c r="AU205" s="2"/>
      <c r="AV205" s="2"/>
      <c r="AW205" s="2"/>
      <c r="AX205" s="2"/>
      <c r="AY205" s="2"/>
      <c r="DU205" s="5"/>
      <c r="DV205" s="5"/>
      <c r="DW205" s="5"/>
      <c r="DX205" s="5"/>
      <c r="DZ205" s="3"/>
      <c r="EA205" s="3"/>
      <c r="EB205" s="3"/>
      <c r="EC205" s="3"/>
    </row>
    <row r="206" spans="3:133" ht="10.5" customHeight="1" x14ac:dyDescent="0.15">
      <c r="C206" s="80" t="s">
        <v>71</v>
      </c>
      <c r="D206" s="3" t="s">
        <v>75</v>
      </c>
      <c r="J206" s="2"/>
      <c r="M206" s="80" t="s">
        <v>90</v>
      </c>
      <c r="N206" s="4" t="s">
        <v>91</v>
      </c>
      <c r="AE206" s="2"/>
      <c r="AF206" s="104">
        <v>35827</v>
      </c>
      <c r="AG206" s="89">
        <v>352.12799999999999</v>
      </c>
      <c r="AH206" s="89">
        <v>0</v>
      </c>
      <c r="AI206" s="96"/>
      <c r="AJ206" s="112">
        <f t="shared" si="3"/>
        <v>943.48800000000006</v>
      </c>
      <c r="AK206" s="112">
        <f t="shared" si="2"/>
        <v>0</v>
      </c>
      <c r="AL206" s="96"/>
      <c r="AM206" s="68"/>
      <c r="AN206" s="68"/>
      <c r="AO206" s="96"/>
      <c r="AP206" s="114">
        <f>AM207*AJ206/SUM(AJ205:AJ207)/(AJ206*10^3*10^3)</f>
        <v>2.3411944708241004</v>
      </c>
      <c r="AQ206" s="115" t="e">
        <f>AN207*AK206/SUM(AK205:AK207)/(AK206*10^3*10^3)</f>
        <v>#DIV/0!</v>
      </c>
      <c r="AR206" s="69"/>
      <c r="AS206" s="2"/>
      <c r="AT206" s="20"/>
      <c r="AU206" s="2"/>
      <c r="AV206" s="2"/>
      <c r="AW206" s="2"/>
      <c r="AX206" s="2"/>
      <c r="AY206" s="2"/>
      <c r="DU206" s="5"/>
      <c r="DV206" s="5"/>
      <c r="DW206" s="5"/>
      <c r="DX206" s="5"/>
      <c r="DZ206" s="3"/>
      <c r="EA206" s="3"/>
      <c r="EB206" s="3"/>
      <c r="EC206" s="3"/>
    </row>
    <row r="207" spans="3:133" ht="10.5" customHeight="1" x14ac:dyDescent="0.15">
      <c r="J207" s="2"/>
      <c r="AE207" s="2"/>
      <c r="AF207" s="104">
        <v>35855</v>
      </c>
      <c r="AG207" s="89">
        <v>389.85599999999999</v>
      </c>
      <c r="AH207" s="89">
        <v>335.61099999999999</v>
      </c>
      <c r="AI207" s="96"/>
      <c r="AJ207" s="112">
        <f t="shared" si="3"/>
        <v>1044.576</v>
      </c>
      <c r="AK207" s="112">
        <f t="shared" si="2"/>
        <v>878.69061818181819</v>
      </c>
      <c r="AL207" s="96"/>
      <c r="AM207" s="68">
        <v>7100000000</v>
      </c>
      <c r="AN207" s="68" t="s">
        <v>20</v>
      </c>
      <c r="AO207" s="96"/>
      <c r="AP207" s="114">
        <f>AM207*AJ207/SUM(AJ205:AJ207)/(AJ207*10^3*10^3)</f>
        <v>2.3411944708241004</v>
      </c>
      <c r="AQ207" s="115">
        <f>AN207*AK207/SUM(AK205:AK207)/(AK207*10^3*10^3)</f>
        <v>0</v>
      </c>
      <c r="AR207" s="69"/>
      <c r="AS207" s="2"/>
      <c r="AT207" s="20"/>
      <c r="AU207" s="2"/>
      <c r="AV207" s="2"/>
      <c r="AW207" s="2"/>
      <c r="AX207" s="2"/>
      <c r="AY207" s="2"/>
      <c r="DU207" s="5"/>
      <c r="DV207" s="5"/>
      <c r="DW207" s="5"/>
      <c r="DX207" s="5"/>
      <c r="DZ207" s="3"/>
      <c r="EA207" s="3"/>
      <c r="EB207" s="3"/>
      <c r="EC207" s="3"/>
    </row>
    <row r="208" spans="3:133" ht="10.5" customHeight="1" x14ac:dyDescent="0.15">
      <c r="J208" s="2"/>
      <c r="AE208" s="2"/>
      <c r="AF208" s="105">
        <v>35886</v>
      </c>
      <c r="AG208" s="89">
        <v>377.28</v>
      </c>
      <c r="AH208" s="89">
        <v>594</v>
      </c>
      <c r="AI208" s="96"/>
      <c r="AJ208" s="112">
        <f t="shared" si="3"/>
        <v>1010.88</v>
      </c>
      <c r="AK208" s="112">
        <f t="shared" si="2"/>
        <v>1555.2</v>
      </c>
      <c r="AL208" s="96"/>
      <c r="AM208" s="68"/>
      <c r="AN208" s="68"/>
      <c r="AO208" s="96"/>
      <c r="AP208" s="115">
        <f>AM210*AJ208/SUM(AJ208:AJ210)/(AJ208*10^3*10^3)</f>
        <v>1.1011149880607927</v>
      </c>
      <c r="AQ208" s="114">
        <f>AN210*AK208/SUM(AK208:AK210)/(AK208*10^3*10^3)</f>
        <v>0</v>
      </c>
      <c r="AR208" s="69"/>
      <c r="AS208" s="2"/>
      <c r="AT208" s="20"/>
      <c r="AU208" s="2"/>
      <c r="AV208" s="2"/>
      <c r="AW208" s="2"/>
      <c r="AX208" s="2"/>
      <c r="AY208" s="2"/>
      <c r="DU208" s="5"/>
      <c r="DV208" s="5"/>
      <c r="DW208" s="5"/>
      <c r="DX208" s="5"/>
      <c r="DZ208" s="3"/>
      <c r="EA208" s="3"/>
      <c r="EB208" s="3"/>
      <c r="EC208" s="3"/>
    </row>
    <row r="209" spans="1:133" ht="10.5" customHeight="1" x14ac:dyDescent="0.15">
      <c r="J209" s="2"/>
      <c r="AE209" s="2"/>
      <c r="AF209" s="105">
        <v>35916</v>
      </c>
      <c r="AG209" s="89">
        <v>389.12900000000002</v>
      </c>
      <c r="AH209" s="89">
        <v>531.91600000000005</v>
      </c>
      <c r="AI209" s="96"/>
      <c r="AJ209" s="112">
        <f t="shared" si="3"/>
        <v>1042.6280839694657</v>
      </c>
      <c r="AK209" s="112">
        <f t="shared" si="2"/>
        <v>1392.6528000000001</v>
      </c>
      <c r="AL209" s="96"/>
      <c r="AM209" s="68"/>
      <c r="AN209" s="68"/>
      <c r="AO209" s="96"/>
      <c r="AP209" s="115">
        <f>AM210*AJ209/SUM(AJ208:AJ210)/(AJ209*10^3*10^3)</f>
        <v>1.1011149880607927</v>
      </c>
      <c r="AQ209" s="114">
        <f>AN210*AK209/SUM(AK208:AK210)/(AK209*10^3*10^3)</f>
        <v>0</v>
      </c>
      <c r="AR209" s="69"/>
      <c r="AS209" s="2"/>
      <c r="AT209" s="20"/>
      <c r="AU209" s="2"/>
      <c r="AV209" s="2"/>
      <c r="AW209" s="2"/>
      <c r="AX209" s="2"/>
      <c r="AY209" s="2"/>
      <c r="DU209" s="5"/>
      <c r="DV209" s="5"/>
      <c r="DW209" s="5"/>
      <c r="DX209" s="5"/>
      <c r="DZ209" s="3"/>
      <c r="EA209" s="3"/>
      <c r="EB209" s="3"/>
      <c r="EC209" s="3"/>
    </row>
    <row r="210" spans="1:133" ht="10.5" customHeight="1" x14ac:dyDescent="0.15">
      <c r="J210" s="2"/>
      <c r="AE210" s="2"/>
      <c r="AF210" s="105">
        <v>35947</v>
      </c>
      <c r="AG210" s="89">
        <v>284.32600000000002</v>
      </c>
      <c r="AH210" s="92">
        <v>594</v>
      </c>
      <c r="AI210" s="97"/>
      <c r="AJ210" s="112">
        <f t="shared" si="3"/>
        <v>761.82004580152682</v>
      </c>
      <c r="AK210" s="112">
        <f t="shared" si="2"/>
        <v>1555.2</v>
      </c>
      <c r="AL210" s="97"/>
      <c r="AM210" s="68">
        <v>3100000000</v>
      </c>
      <c r="AN210" s="68" t="s">
        <v>20</v>
      </c>
      <c r="AO210" s="97"/>
      <c r="AP210" s="115">
        <f>AM210*AJ210/SUM(AJ208:AJ210)/(AJ210*10^3*10^3)</f>
        <v>1.1011149880607924</v>
      </c>
      <c r="AQ210" s="114">
        <f>AN210*AK210/SUM(AK208:AK210)/(AK210*10^3*10^3)</f>
        <v>0</v>
      </c>
      <c r="AR210" s="69"/>
      <c r="AS210" s="2"/>
      <c r="AT210" s="20"/>
      <c r="AU210" s="2"/>
      <c r="AV210" s="2"/>
      <c r="AW210" s="2"/>
      <c r="AX210" s="2"/>
      <c r="AY210" s="2"/>
      <c r="DU210" s="5"/>
      <c r="DV210" s="5"/>
      <c r="DW210" s="5"/>
      <c r="DX210" s="5"/>
      <c r="DZ210" s="3"/>
      <c r="EA210" s="3"/>
      <c r="EB210" s="3"/>
      <c r="EC210" s="3"/>
    </row>
    <row r="211" spans="1:133" ht="10.5" customHeight="1" x14ac:dyDescent="0.15">
      <c r="A211" s="7"/>
      <c r="B211" s="72"/>
      <c r="C211" s="38"/>
      <c r="D211" s="8" t="s">
        <v>49</v>
      </c>
      <c r="E211" s="8"/>
      <c r="F211" s="8"/>
      <c r="G211" s="9"/>
      <c r="H211" s="9"/>
      <c r="I211" s="10"/>
      <c r="J211" s="9" t="s">
        <v>67</v>
      </c>
      <c r="K211" s="9"/>
      <c r="L211" s="9"/>
      <c r="M211" s="9"/>
      <c r="N211" s="9"/>
      <c r="O211" s="10"/>
      <c r="Q211" s="2"/>
      <c r="R211" s="2"/>
      <c r="S211" s="2"/>
      <c r="T211" s="2"/>
      <c r="U211" s="2"/>
      <c r="V211" s="2"/>
      <c r="W211" s="2"/>
      <c r="X211" s="2"/>
      <c r="Y211" s="2"/>
      <c r="Z211" s="2"/>
      <c r="AA211" s="2"/>
      <c r="AB211" s="2"/>
      <c r="AC211" s="2"/>
      <c r="AD211" s="2"/>
      <c r="AE211" s="2"/>
      <c r="AF211" s="105">
        <v>35977</v>
      </c>
      <c r="AG211" s="89">
        <v>389.74400000000003</v>
      </c>
      <c r="AH211" s="89">
        <v>613.79899999999998</v>
      </c>
      <c r="AI211" s="96"/>
      <c r="AJ211" s="112">
        <f t="shared" si="3"/>
        <v>1044.2759083969465</v>
      </c>
      <c r="AK211" s="112">
        <f t="shared" si="2"/>
        <v>1607.0373818181818</v>
      </c>
      <c r="AL211" s="96"/>
      <c r="AM211" s="68"/>
      <c r="AN211" s="68"/>
      <c r="AO211" s="96"/>
      <c r="AP211" s="115">
        <f>AM213*AJ211/SUM(AJ211:AJ213)/(AJ211*10^3*10^3)</f>
        <v>2.110861618073343</v>
      </c>
      <c r="AQ211" s="114">
        <f>AN213*AK211/SUM(AK211:AK213)/(AK211*10^3*10^3)</f>
        <v>0</v>
      </c>
      <c r="AR211" s="69"/>
      <c r="AS211" s="2"/>
      <c r="AT211" s="20"/>
      <c r="AU211" s="2"/>
      <c r="AV211" s="2"/>
      <c r="AW211" s="2"/>
      <c r="AX211" s="2"/>
      <c r="AY211" s="2"/>
      <c r="DU211" s="5"/>
      <c r="DV211" s="5"/>
      <c r="DW211" s="5"/>
      <c r="DX211" s="5"/>
      <c r="DZ211" s="3"/>
      <c r="EA211" s="3"/>
      <c r="EB211" s="3"/>
      <c r="EC211" s="3"/>
    </row>
    <row r="212" spans="1:133" ht="10.5" customHeight="1" x14ac:dyDescent="0.15">
      <c r="A212" s="11"/>
      <c r="B212" s="14"/>
      <c r="C212" s="39"/>
      <c r="D212" s="37" t="s">
        <v>136</v>
      </c>
      <c r="E212" s="8"/>
      <c r="F212" s="12"/>
      <c r="G212" s="30" t="s">
        <v>135</v>
      </c>
      <c r="H212" s="9"/>
      <c r="I212" s="13"/>
      <c r="J212" s="240" t="s">
        <v>137</v>
      </c>
      <c r="K212" s="9"/>
      <c r="L212" s="13"/>
      <c r="M212" s="30" t="s">
        <v>138</v>
      </c>
      <c r="N212" s="9"/>
      <c r="O212" s="13"/>
      <c r="Q212" s="14"/>
      <c r="R212" s="14"/>
      <c r="S212" s="14"/>
      <c r="T212" s="14"/>
      <c r="U212" s="14"/>
      <c r="V212" s="14"/>
      <c r="W212" s="14"/>
      <c r="X212" s="14"/>
      <c r="Y212" s="14"/>
      <c r="Z212" s="14"/>
      <c r="AA212" s="14"/>
      <c r="AB212" s="14"/>
      <c r="AC212" s="14"/>
      <c r="AD212" s="14"/>
      <c r="AE212" s="2"/>
      <c r="AF212" s="105">
        <v>36008</v>
      </c>
      <c r="AG212" s="89">
        <v>389.03100000000001</v>
      </c>
      <c r="AH212" s="89">
        <v>613.79899999999998</v>
      </c>
      <c r="AI212" s="96"/>
      <c r="AJ212" s="112">
        <f t="shared" si="3"/>
        <v>1042.365503816794</v>
      </c>
      <c r="AK212" s="112">
        <f t="shared" si="2"/>
        <v>1607.0373818181818</v>
      </c>
      <c r="AL212" s="96"/>
      <c r="AM212" s="68"/>
      <c r="AN212" s="68"/>
      <c r="AO212" s="96"/>
      <c r="AP212" s="115">
        <f>AM213*AJ212/SUM(AJ211:AJ213)/(AJ212*10^3*10^3)</f>
        <v>2.110861618073343</v>
      </c>
      <c r="AQ212" s="114">
        <f>AN213*AK212/SUM(AK211:AK213)/(AK212*10^3*10^3)</f>
        <v>0</v>
      </c>
      <c r="AR212" s="69"/>
      <c r="AS212" s="2"/>
      <c r="AT212" s="20"/>
      <c r="AU212" s="2"/>
      <c r="AV212" s="2"/>
      <c r="AW212" s="2"/>
      <c r="AX212" s="2"/>
      <c r="AY212" s="2"/>
      <c r="DU212" s="5"/>
      <c r="DV212" s="5"/>
      <c r="DW212" s="5"/>
      <c r="DX212" s="5"/>
      <c r="DZ212" s="3"/>
      <c r="EA212" s="3"/>
      <c r="EB212" s="3"/>
      <c r="EC212" s="3"/>
    </row>
    <row r="213" spans="1:133" ht="10.5" customHeight="1" x14ac:dyDescent="0.15">
      <c r="A213" s="37"/>
      <c r="B213" s="72"/>
      <c r="C213" s="38"/>
      <c r="D213" s="76" t="s">
        <v>1</v>
      </c>
      <c r="E213" s="77" t="s">
        <v>2</v>
      </c>
      <c r="F213" s="78" t="s">
        <v>36</v>
      </c>
      <c r="G213" s="76" t="s">
        <v>1</v>
      </c>
      <c r="H213" s="77" t="s">
        <v>2</v>
      </c>
      <c r="I213" s="78" t="s">
        <v>36</v>
      </c>
      <c r="J213" s="76" t="s">
        <v>1</v>
      </c>
      <c r="K213" s="77" t="s">
        <v>2</v>
      </c>
      <c r="L213" s="78" t="s">
        <v>36</v>
      </c>
      <c r="M213" s="76" t="s">
        <v>1</v>
      </c>
      <c r="N213" s="77" t="s">
        <v>2</v>
      </c>
      <c r="O213" s="78" t="s">
        <v>36</v>
      </c>
      <c r="Q213" s="2"/>
      <c r="R213" s="2"/>
      <c r="S213" s="2"/>
      <c r="T213" s="2"/>
      <c r="U213" s="2"/>
      <c r="V213" s="2"/>
      <c r="W213" s="2"/>
      <c r="X213" s="2"/>
      <c r="Y213" s="2"/>
      <c r="Z213" s="2"/>
      <c r="AA213" s="2"/>
      <c r="AB213" s="2"/>
      <c r="AC213" s="2"/>
      <c r="AD213" s="2"/>
      <c r="AE213" s="2"/>
      <c r="AF213" s="105">
        <v>36039</v>
      </c>
      <c r="AG213" s="89">
        <v>122.95099999999999</v>
      </c>
      <c r="AH213" s="89">
        <v>594</v>
      </c>
      <c r="AI213" s="96"/>
      <c r="AJ213" s="112">
        <f t="shared" si="3"/>
        <v>329.43359541984734</v>
      </c>
      <c r="AK213" s="112">
        <f t="shared" si="2"/>
        <v>1555.2</v>
      </c>
      <c r="AL213" s="96"/>
      <c r="AM213" s="68">
        <v>5100000000</v>
      </c>
      <c r="AN213" s="68" t="s">
        <v>20</v>
      </c>
      <c r="AO213" s="96"/>
      <c r="AP213" s="115">
        <f>AM213*AJ213/SUM(AJ211:AJ213)/(AJ213*10^3*10^3)</f>
        <v>2.110861618073343</v>
      </c>
      <c r="AQ213" s="114">
        <f>AN213*AK213/SUM(AK211:AK213)/(AK213*10^3*10^3)</f>
        <v>0</v>
      </c>
      <c r="AR213" s="69"/>
      <c r="AS213" s="2"/>
      <c r="AT213" s="20"/>
      <c r="AU213" s="2"/>
      <c r="AV213" s="2"/>
      <c r="AW213" s="2"/>
      <c r="AX213" s="2"/>
      <c r="AY213" s="2"/>
      <c r="DU213" s="5"/>
      <c r="DV213" s="5"/>
      <c r="DW213" s="5"/>
      <c r="DX213" s="5"/>
      <c r="DZ213" s="3"/>
      <c r="EA213" s="3"/>
      <c r="EB213" s="3"/>
      <c r="EC213" s="3"/>
    </row>
    <row r="214" spans="1:133" ht="10.5" customHeight="1" x14ac:dyDescent="0.15">
      <c r="A214" s="18" t="s">
        <v>9</v>
      </c>
      <c r="B214" s="73">
        <v>1</v>
      </c>
      <c r="C214" s="70" t="s">
        <v>10</v>
      </c>
      <c r="D214" s="54" t="s">
        <v>41</v>
      </c>
      <c r="E214" s="55"/>
      <c r="F214" s="56"/>
      <c r="G214" s="54"/>
      <c r="H214" s="55"/>
      <c r="I214" s="56"/>
      <c r="J214" s="57"/>
      <c r="K214" s="58"/>
      <c r="L214" s="59"/>
      <c r="M214" s="60"/>
      <c r="N214" s="60"/>
      <c r="O214" s="61"/>
      <c r="Q214" s="14"/>
      <c r="R214" s="14"/>
      <c r="S214" s="14"/>
      <c r="T214" s="14"/>
      <c r="U214" s="14"/>
      <c r="V214" s="14"/>
      <c r="W214" s="14"/>
      <c r="X214" s="14"/>
      <c r="Y214" s="14"/>
      <c r="Z214" s="14"/>
      <c r="AA214" s="14"/>
      <c r="AB214" s="14"/>
      <c r="AC214" s="14"/>
      <c r="AD214" s="14"/>
      <c r="AE214" s="2"/>
      <c r="AF214" s="105">
        <v>36069</v>
      </c>
      <c r="AG214" s="89">
        <v>0</v>
      </c>
      <c r="AH214" s="89">
        <v>611.24300000000005</v>
      </c>
      <c r="AI214" s="96"/>
      <c r="AJ214" s="112">
        <f t="shared" si="3"/>
        <v>0</v>
      </c>
      <c r="AK214" s="112">
        <f t="shared" si="2"/>
        <v>1600.3453090909093</v>
      </c>
      <c r="AL214" s="96"/>
      <c r="AM214" s="68"/>
      <c r="AN214" s="68"/>
      <c r="AO214" s="96"/>
      <c r="AP214" s="115" t="e">
        <f>AM216*AJ214/SUM(AJ214:AJ216)/(AJ214*10^3*10^3)</f>
        <v>#DIV/0!</v>
      </c>
      <c r="AQ214" s="114">
        <f>AN216*AK214/SUM(AK214:AK216)/(AK214*10^3*10^3)</f>
        <v>0.52492498039414737</v>
      </c>
      <c r="AR214" s="69"/>
      <c r="AS214" s="2"/>
      <c r="AT214" s="20"/>
      <c r="AU214" s="2"/>
      <c r="AV214" s="2"/>
      <c r="AW214" s="2"/>
      <c r="AX214" s="2"/>
      <c r="AY214" s="2"/>
      <c r="DU214" s="5"/>
      <c r="DV214" s="5"/>
      <c r="DW214" s="5"/>
      <c r="DX214" s="5"/>
      <c r="DZ214" s="3"/>
      <c r="EA214" s="3"/>
      <c r="EB214" s="3"/>
      <c r="EC214" s="3"/>
    </row>
    <row r="215" spans="1:133" ht="10.5" customHeight="1" x14ac:dyDescent="0.15">
      <c r="A215" s="23"/>
      <c r="B215" s="74">
        <v>2</v>
      </c>
      <c r="C215" s="71" t="s">
        <v>11</v>
      </c>
      <c r="D215" s="62"/>
      <c r="E215" s="63"/>
      <c r="F215" s="64"/>
      <c r="G215" s="62"/>
      <c r="H215" s="63"/>
      <c r="I215" s="64"/>
      <c r="J215" s="65"/>
      <c r="K215" s="66"/>
      <c r="L215" s="67"/>
      <c r="M215" s="68"/>
      <c r="N215" s="68"/>
      <c r="O215" s="69"/>
      <c r="Q215" s="14"/>
      <c r="R215" s="14"/>
      <c r="S215" s="14"/>
      <c r="T215" s="14"/>
      <c r="U215" s="14"/>
      <c r="V215" s="14"/>
      <c r="W215" s="14"/>
      <c r="X215" s="14"/>
      <c r="Y215" s="14"/>
      <c r="Z215" s="14"/>
      <c r="AA215" s="14"/>
      <c r="AB215" s="14"/>
      <c r="AC215" s="14"/>
      <c r="AD215" s="14"/>
      <c r="AE215" s="2"/>
      <c r="AF215" s="105">
        <v>36100</v>
      </c>
      <c r="AG215" s="89">
        <v>87.085999999999999</v>
      </c>
      <c r="AH215" s="89">
        <v>594</v>
      </c>
      <c r="AI215" s="96"/>
      <c r="AJ215" s="112">
        <f t="shared" si="3"/>
        <v>233.33729770992366</v>
      </c>
      <c r="AK215" s="112">
        <f t="shared" si="2"/>
        <v>1555.2</v>
      </c>
      <c r="AL215" s="96"/>
      <c r="AM215" s="68"/>
      <c r="AN215" s="68"/>
      <c r="AO215" s="96"/>
      <c r="AP215" s="115">
        <f>AM216*AJ215/SUM(AJ214:AJ216)/(AJ215*10^3*10^3)</f>
        <v>1.799809113906006</v>
      </c>
      <c r="AQ215" s="114">
        <f>AN216*AK215/SUM(AK214:AK216)/(AK215*10^3*10^3)</f>
        <v>0.52492498039414737</v>
      </c>
      <c r="AR215" s="69"/>
      <c r="AS215" s="2"/>
      <c r="AT215" s="20"/>
      <c r="AU215" s="2"/>
      <c r="AV215" s="2"/>
      <c r="AW215" s="2"/>
      <c r="AX215" s="2"/>
      <c r="AY215" s="2"/>
      <c r="DU215" s="5"/>
      <c r="DV215" s="5"/>
      <c r="DW215" s="5"/>
      <c r="DX215" s="5"/>
      <c r="DZ215" s="3"/>
      <c r="EA215" s="3"/>
      <c r="EB215" s="3"/>
      <c r="EC215" s="3"/>
    </row>
    <row r="216" spans="1:133" ht="10.5" customHeight="1" x14ac:dyDescent="0.15">
      <c r="A216" s="23"/>
      <c r="B216" s="74">
        <v>3</v>
      </c>
      <c r="C216" s="71" t="s">
        <v>13</v>
      </c>
      <c r="D216" s="62"/>
      <c r="E216" s="63"/>
      <c r="F216" s="64"/>
      <c r="G216" s="62"/>
      <c r="H216" s="63"/>
      <c r="I216" s="64"/>
      <c r="J216" s="65"/>
      <c r="K216" s="68"/>
      <c r="L216" s="67"/>
      <c r="M216" s="68"/>
      <c r="N216" s="68"/>
      <c r="O216" s="69"/>
      <c r="Q216" s="2"/>
      <c r="R216" s="2"/>
      <c r="S216" s="2"/>
      <c r="T216" s="2"/>
      <c r="U216" s="2"/>
      <c r="V216" s="2"/>
      <c r="W216" s="2"/>
      <c r="X216" s="2"/>
      <c r="Y216" s="2"/>
      <c r="Z216" s="2"/>
      <c r="AA216" s="2"/>
      <c r="AB216" s="2"/>
      <c r="AC216" s="2"/>
      <c r="AD216" s="2"/>
      <c r="AE216" s="2"/>
      <c r="AF216" s="105">
        <v>36130</v>
      </c>
      <c r="AG216" s="89">
        <v>389.85599999999999</v>
      </c>
      <c r="AH216" s="89">
        <v>613.79999999999995</v>
      </c>
      <c r="AI216" s="96"/>
      <c r="AJ216" s="112">
        <f t="shared" si="3"/>
        <v>1044.576</v>
      </c>
      <c r="AK216" s="112">
        <f t="shared" si="2"/>
        <v>1607.0399999999997</v>
      </c>
      <c r="AL216" s="96"/>
      <c r="AM216" s="68">
        <v>2300000000</v>
      </c>
      <c r="AN216" s="68">
        <v>2500000000</v>
      </c>
      <c r="AO216" s="96"/>
      <c r="AP216" s="115">
        <f>AM216*AJ216/SUM(AJ214:AJ216)/(AJ216*10^3*10^3)</f>
        <v>1.7998091139060062</v>
      </c>
      <c r="AQ216" s="114">
        <f>AN216*AK216/SUM(AK214:AK216)/(AK216*10^3*10^3)</f>
        <v>0.52492498039414737</v>
      </c>
      <c r="AR216" s="69"/>
      <c r="AS216" s="2"/>
      <c r="AT216" s="20"/>
      <c r="AU216" s="2"/>
      <c r="AV216" s="2"/>
      <c r="AW216" s="2"/>
      <c r="AX216" s="2"/>
      <c r="AY216" s="2"/>
      <c r="DU216" s="5"/>
      <c r="DV216" s="5"/>
      <c r="DW216" s="5"/>
      <c r="DX216" s="5"/>
      <c r="DZ216" s="3"/>
      <c r="EA216" s="3"/>
      <c r="EB216" s="3"/>
      <c r="EC216" s="3"/>
    </row>
    <row r="217" spans="1:133" ht="10.5" customHeight="1" x14ac:dyDescent="0.15">
      <c r="A217" s="24"/>
      <c r="B217" s="75">
        <v>4</v>
      </c>
      <c r="C217" s="19" t="s">
        <v>15</v>
      </c>
      <c r="D217" s="48"/>
      <c r="E217" s="49"/>
      <c r="F217" s="42"/>
      <c r="G217" s="48"/>
      <c r="H217" s="49"/>
      <c r="I217" s="42"/>
      <c r="J217" s="51"/>
      <c r="K217" s="50"/>
      <c r="L217" s="43"/>
      <c r="M217" s="52"/>
      <c r="N217" s="52"/>
      <c r="O217" s="53"/>
      <c r="Q217" s="2"/>
      <c r="R217" s="2"/>
      <c r="S217" s="2"/>
      <c r="T217" s="2"/>
      <c r="U217" s="2"/>
      <c r="V217" s="2"/>
      <c r="W217" s="2"/>
      <c r="X217" s="2"/>
      <c r="Y217" s="2"/>
      <c r="Z217" s="2"/>
      <c r="AA217" s="2"/>
      <c r="AB217" s="2"/>
      <c r="AC217" s="2"/>
      <c r="AD217" s="2"/>
      <c r="AE217" s="2"/>
      <c r="AF217" s="105">
        <v>36161</v>
      </c>
      <c r="AG217" s="89">
        <v>389.85500000000002</v>
      </c>
      <c r="AH217" s="89">
        <v>613.79999999999995</v>
      </c>
      <c r="AI217" s="96"/>
      <c r="AJ217" s="112">
        <f t="shared" si="3"/>
        <v>1044.5733206106872</v>
      </c>
      <c r="AK217" s="112">
        <f t="shared" si="2"/>
        <v>1607.0399999999997</v>
      </c>
      <c r="AL217" s="96"/>
      <c r="AM217" s="68"/>
      <c r="AN217" s="68"/>
      <c r="AO217" s="96"/>
      <c r="AP217" s="115">
        <f>AM219*AJ217/SUM(AJ217:AJ219)/(AJ217*10^3*10^3)</f>
        <v>0.39570847513233143</v>
      </c>
      <c r="AQ217" s="114">
        <f>AN219*AK217/SUM(AK217:AK219)/(AK217*10^3*10^3)</f>
        <v>0</v>
      </c>
      <c r="AR217" s="69"/>
      <c r="AS217" s="2"/>
      <c r="AT217" s="20"/>
      <c r="AU217" s="2"/>
      <c r="AV217" s="2"/>
      <c r="AW217" s="2"/>
      <c r="AX217" s="2"/>
      <c r="AY217" s="2"/>
      <c r="DU217" s="5"/>
      <c r="DV217" s="5"/>
      <c r="DW217" s="5"/>
      <c r="DX217" s="5"/>
      <c r="DZ217" s="3"/>
      <c r="EA217" s="3"/>
      <c r="EB217" s="3"/>
      <c r="EC217" s="3"/>
    </row>
    <row r="218" spans="1:133" ht="10.5" customHeight="1" x14ac:dyDescent="0.15">
      <c r="A218" s="18" t="s">
        <v>12</v>
      </c>
      <c r="B218" s="73">
        <v>1</v>
      </c>
      <c r="C218" s="70" t="s">
        <v>10</v>
      </c>
      <c r="D218" s="54"/>
      <c r="E218" s="55"/>
      <c r="F218" s="56"/>
      <c r="G218" s="54"/>
      <c r="H218" s="55"/>
      <c r="I218" s="56"/>
      <c r="J218" s="57"/>
      <c r="K218" s="58"/>
      <c r="L218" s="59"/>
      <c r="M218" s="60"/>
      <c r="N218" s="60"/>
      <c r="O218" s="61"/>
      <c r="Q218" s="2"/>
      <c r="R218" s="2"/>
      <c r="S218" s="2"/>
      <c r="T218" s="2"/>
      <c r="U218" s="2"/>
      <c r="V218" s="2"/>
      <c r="W218" s="2"/>
      <c r="X218" s="2"/>
      <c r="Y218" s="2"/>
      <c r="Z218" s="2"/>
      <c r="AA218" s="2"/>
      <c r="AB218" s="2"/>
      <c r="AC218" s="2"/>
      <c r="AD218" s="2"/>
      <c r="AE218" s="2"/>
      <c r="AF218" s="105">
        <v>36192</v>
      </c>
      <c r="AG218" s="89">
        <v>352.09</v>
      </c>
      <c r="AH218" s="89">
        <v>554.39800000000002</v>
      </c>
      <c r="AI218" s="96"/>
      <c r="AJ218" s="112">
        <f t="shared" si="3"/>
        <v>943.38618320610692</v>
      </c>
      <c r="AK218" s="112">
        <f t="shared" si="2"/>
        <v>1451.5147636363636</v>
      </c>
      <c r="AL218" s="96"/>
      <c r="AM218" s="68"/>
      <c r="AN218" s="68"/>
      <c r="AO218" s="96"/>
      <c r="AP218" s="115">
        <f>AM219*AJ218/SUM(AJ217:AJ219)/(AJ218*10^3*10^3)</f>
        <v>0.39570847513233143</v>
      </c>
      <c r="AQ218" s="114">
        <f>AN219*AK218/SUM(AK217:AK219)/(AK218*10^3*10^3)</f>
        <v>0</v>
      </c>
      <c r="AR218" s="69"/>
      <c r="AS218" s="2"/>
      <c r="AT218" s="20"/>
      <c r="AU218" s="2"/>
      <c r="AV218" s="2"/>
      <c r="AW218" s="2"/>
      <c r="AX218" s="2"/>
      <c r="AY218" s="2"/>
      <c r="DU218" s="5"/>
      <c r="DV218" s="5"/>
      <c r="DW218" s="5"/>
      <c r="DX218" s="5"/>
      <c r="DZ218" s="3"/>
      <c r="EA218" s="3"/>
      <c r="EB218" s="3"/>
      <c r="EC218" s="3"/>
    </row>
    <row r="219" spans="1:133" ht="10.5" customHeight="1" x14ac:dyDescent="0.15">
      <c r="A219" s="23"/>
      <c r="B219" s="74">
        <v>2</v>
      </c>
      <c r="C219" s="71" t="s">
        <v>11</v>
      </c>
      <c r="D219" s="62"/>
      <c r="E219" s="63"/>
      <c r="F219" s="64"/>
      <c r="G219" s="62"/>
      <c r="H219" s="63"/>
      <c r="I219" s="64"/>
      <c r="J219" s="65"/>
      <c r="K219" s="66"/>
      <c r="L219" s="67"/>
      <c r="M219" s="68"/>
      <c r="N219" s="68"/>
      <c r="O219" s="69"/>
      <c r="Q219" s="2"/>
      <c r="R219" s="2"/>
      <c r="S219" s="2"/>
      <c r="T219" s="2"/>
      <c r="U219" s="2"/>
      <c r="V219" s="2"/>
      <c r="W219" s="2"/>
      <c r="X219" s="2"/>
      <c r="Y219" s="2"/>
      <c r="Z219" s="2"/>
      <c r="AA219" s="2"/>
      <c r="AB219" s="2"/>
      <c r="AC219" s="2"/>
      <c r="AD219" s="2"/>
      <c r="AE219" s="2"/>
      <c r="AF219" s="105">
        <v>36220</v>
      </c>
      <c r="AG219" s="89">
        <v>389.85599999999999</v>
      </c>
      <c r="AH219" s="89">
        <v>611.697</v>
      </c>
      <c r="AI219" s="96"/>
      <c r="AJ219" s="112">
        <f t="shared" si="3"/>
        <v>1044.576</v>
      </c>
      <c r="AK219" s="112">
        <f t="shared" si="2"/>
        <v>1601.5339636363635</v>
      </c>
      <c r="AL219" s="96"/>
      <c r="AM219" s="68">
        <v>1200000000</v>
      </c>
      <c r="AN219" s="68" t="s">
        <v>20</v>
      </c>
      <c r="AO219" s="96"/>
      <c r="AP219" s="115">
        <f>AM219*AJ219/SUM(AJ217:AJ219)/(AJ219*10^3*10^3)</f>
        <v>0.39570847513233143</v>
      </c>
      <c r="AQ219" s="114">
        <f>AN219*AK219/SUM(AK217:AK219)/(AK219*10^3*10^3)</f>
        <v>0</v>
      </c>
      <c r="AR219" s="69"/>
      <c r="AS219" s="2"/>
      <c r="AT219" s="20"/>
      <c r="AU219" s="2"/>
      <c r="AV219" s="2"/>
      <c r="AW219" s="2"/>
      <c r="AX219" s="2"/>
      <c r="AY219" s="2"/>
      <c r="DU219" s="5"/>
      <c r="DV219" s="5"/>
      <c r="DW219" s="5"/>
      <c r="DX219" s="5"/>
      <c r="DZ219" s="3"/>
      <c r="EA219" s="3"/>
      <c r="EB219" s="3"/>
      <c r="EC219" s="3"/>
    </row>
    <row r="220" spans="1:133" ht="10.5" customHeight="1" x14ac:dyDescent="0.15">
      <c r="A220" s="23"/>
      <c r="B220" s="74">
        <v>3</v>
      </c>
      <c r="C220" s="71" t="s">
        <v>13</v>
      </c>
      <c r="D220" s="62"/>
      <c r="E220" s="63"/>
      <c r="F220" s="64"/>
      <c r="G220" s="62"/>
      <c r="H220" s="63"/>
      <c r="I220" s="64"/>
      <c r="J220" s="65"/>
      <c r="K220" s="68"/>
      <c r="L220" s="67"/>
      <c r="M220" s="68"/>
      <c r="N220" s="68"/>
      <c r="O220" s="69"/>
      <c r="Q220" s="2"/>
      <c r="R220" s="2"/>
      <c r="S220" s="2"/>
      <c r="T220" s="2"/>
      <c r="U220" s="2"/>
      <c r="V220" s="2"/>
      <c r="W220" s="2"/>
      <c r="X220" s="2"/>
      <c r="Y220" s="2"/>
      <c r="Z220" s="2"/>
      <c r="AA220" s="2"/>
      <c r="AB220" s="2"/>
      <c r="AC220" s="2"/>
      <c r="AD220" s="2"/>
      <c r="AE220" s="2"/>
      <c r="AF220" s="104">
        <v>36251</v>
      </c>
      <c r="AG220" s="89">
        <v>377.28</v>
      </c>
      <c r="AH220" s="89">
        <v>592.95899999999995</v>
      </c>
      <c r="AI220" s="96"/>
      <c r="AJ220" s="112">
        <f t="shared" si="3"/>
        <v>1010.88</v>
      </c>
      <c r="AK220" s="112">
        <f t="shared" si="2"/>
        <v>1552.4744727272728</v>
      </c>
      <c r="AL220" s="96"/>
      <c r="AM220" s="68"/>
      <c r="AN220" s="68"/>
      <c r="AO220" s="96"/>
      <c r="AP220" s="114">
        <f>AM222*AJ220/SUM(AJ220:AJ222)/(AJ220*10^3*10^3)</f>
        <v>15.038608119391283</v>
      </c>
      <c r="AQ220" s="115">
        <f>AN222*AK220/SUM(AK220:AK222)/(AK220*10^3*10^3)</f>
        <v>0</v>
      </c>
      <c r="AR220" s="69"/>
      <c r="AS220" s="2"/>
      <c r="AT220" s="20"/>
      <c r="AU220" s="2"/>
      <c r="AV220" s="2"/>
      <c r="AW220" s="2"/>
      <c r="AX220" s="2"/>
      <c r="AY220" s="2"/>
      <c r="DU220" s="5"/>
      <c r="DV220" s="5"/>
      <c r="DW220" s="5"/>
      <c r="DX220" s="5"/>
      <c r="DZ220" s="3"/>
      <c r="EA220" s="3"/>
      <c r="EB220" s="3"/>
      <c r="EC220" s="3"/>
    </row>
    <row r="221" spans="1:133" ht="10.5" customHeight="1" x14ac:dyDescent="0.15">
      <c r="A221" s="24"/>
      <c r="B221" s="75">
        <v>4</v>
      </c>
      <c r="C221" s="19" t="s">
        <v>15</v>
      </c>
      <c r="D221" s="48"/>
      <c r="E221" s="49"/>
      <c r="F221" s="42"/>
      <c r="G221" s="48"/>
      <c r="H221" s="49"/>
      <c r="I221" s="42"/>
      <c r="J221" s="51"/>
      <c r="K221" s="50"/>
      <c r="L221" s="43"/>
      <c r="M221" s="52"/>
      <c r="N221" s="52"/>
      <c r="O221" s="53"/>
      <c r="Q221" s="2"/>
      <c r="R221" s="2"/>
      <c r="S221" s="2"/>
      <c r="T221" s="2"/>
      <c r="U221" s="2"/>
      <c r="V221" s="2"/>
      <c r="W221" s="2"/>
      <c r="X221" s="2"/>
      <c r="Y221" s="2"/>
      <c r="Z221" s="2"/>
      <c r="AA221" s="2"/>
      <c r="AB221" s="2"/>
      <c r="AC221" s="2"/>
      <c r="AD221" s="2"/>
      <c r="AE221" s="2"/>
      <c r="AF221" s="104">
        <v>36281</v>
      </c>
      <c r="AG221" s="89">
        <v>389.85599999999999</v>
      </c>
      <c r="AH221" s="89">
        <v>115.57299999999999</v>
      </c>
      <c r="AI221" s="96"/>
      <c r="AJ221" s="112">
        <f t="shared" si="3"/>
        <v>1044.576</v>
      </c>
      <c r="AK221" s="112">
        <f t="shared" si="2"/>
        <v>302.59112727272725</v>
      </c>
      <c r="AL221" s="96"/>
      <c r="AM221" s="68"/>
      <c r="AN221" s="68"/>
      <c r="AO221" s="96"/>
      <c r="AP221" s="114">
        <f>AM222*AJ221/SUM(AJ220:AJ222)/(AJ221*10^3*10^3)</f>
        <v>15.038608119391283</v>
      </c>
      <c r="AQ221" s="115">
        <f>AN222*AK221/SUM(AK220:AK222)/(AK221*10^3*10^3)</f>
        <v>0</v>
      </c>
      <c r="AR221" s="69"/>
      <c r="AS221" s="2"/>
      <c r="AT221" s="20"/>
      <c r="AU221" s="2"/>
      <c r="AV221" s="2"/>
      <c r="AW221" s="2"/>
      <c r="AX221" s="2"/>
      <c r="AY221" s="2"/>
      <c r="DU221" s="5"/>
      <c r="DV221" s="5"/>
      <c r="DW221" s="5"/>
      <c r="DX221" s="5"/>
      <c r="DZ221" s="3"/>
      <c r="EA221" s="3"/>
      <c r="EB221" s="3"/>
      <c r="EC221" s="3"/>
    </row>
    <row r="222" spans="1:133" ht="10.5" customHeight="1" x14ac:dyDescent="0.15">
      <c r="A222" s="18" t="s">
        <v>14</v>
      </c>
      <c r="B222" s="73">
        <v>1</v>
      </c>
      <c r="C222" s="70" t="s">
        <v>10</v>
      </c>
      <c r="D222" s="54" t="s">
        <v>88</v>
      </c>
      <c r="E222" s="55"/>
      <c r="F222" s="56"/>
      <c r="G222" s="54" t="s">
        <v>88</v>
      </c>
      <c r="H222" s="55"/>
      <c r="I222" s="56"/>
      <c r="J222" s="57" t="s">
        <v>88</v>
      </c>
      <c r="K222" s="58"/>
      <c r="L222" s="59"/>
      <c r="M222" s="60">
        <f>2.4*10^-1*3.7*10^10</f>
        <v>8880000000</v>
      </c>
      <c r="N222" s="60"/>
      <c r="O222" s="61"/>
      <c r="Q222" s="2"/>
      <c r="R222" s="2"/>
      <c r="S222" s="2"/>
      <c r="T222" s="2"/>
      <c r="U222" s="2"/>
      <c r="V222" s="2"/>
      <c r="W222" s="2"/>
      <c r="X222" s="2"/>
      <c r="Y222" s="2"/>
      <c r="Z222" s="2"/>
      <c r="AA222" s="2"/>
      <c r="AB222" s="2"/>
      <c r="AC222" s="2"/>
      <c r="AD222" s="2"/>
      <c r="AE222" s="2"/>
      <c r="AF222" s="104">
        <v>36312</v>
      </c>
      <c r="AG222" s="89">
        <v>250.37799999999999</v>
      </c>
      <c r="AH222" s="89">
        <v>0</v>
      </c>
      <c r="AI222" s="96"/>
      <c r="AJ222" s="112">
        <f t="shared" si="3"/>
        <v>670.86013740458009</v>
      </c>
      <c r="AK222" s="112">
        <f t="shared" si="2"/>
        <v>0</v>
      </c>
      <c r="AL222" s="96"/>
      <c r="AM222" s="68">
        <v>41000000000</v>
      </c>
      <c r="AN222" s="68" t="s">
        <v>20</v>
      </c>
      <c r="AO222" s="96"/>
      <c r="AP222" s="114">
        <f>AM222*AJ222/SUM(AJ220:AJ222)/(AJ222*10^3*10^3)</f>
        <v>15.038608119391284</v>
      </c>
      <c r="AQ222" s="115" t="e">
        <f>AN222*AK222/SUM(AK220:AK222)/(AK222*10^3*10^3)</f>
        <v>#DIV/0!</v>
      </c>
      <c r="AR222" s="69"/>
      <c r="AS222" s="2"/>
      <c r="AT222" s="20"/>
      <c r="AU222" s="2"/>
      <c r="AV222" s="2"/>
      <c r="AW222" s="2"/>
      <c r="AX222" s="2"/>
      <c r="AY222" s="2"/>
      <c r="DU222" s="5"/>
      <c r="DV222" s="5"/>
      <c r="DW222" s="5"/>
      <c r="DX222" s="5"/>
      <c r="DZ222" s="3"/>
      <c r="EA222" s="3"/>
      <c r="EB222" s="3"/>
      <c r="EC222" s="3"/>
    </row>
    <row r="223" spans="1:133" ht="10.5" customHeight="1" x14ac:dyDescent="0.15">
      <c r="A223" s="23"/>
      <c r="B223" s="74">
        <v>2</v>
      </c>
      <c r="C223" s="71" t="s">
        <v>11</v>
      </c>
      <c r="D223" s="62" t="s">
        <v>88</v>
      </c>
      <c r="E223" s="63"/>
      <c r="F223" s="64"/>
      <c r="G223" s="62" t="s">
        <v>88</v>
      </c>
      <c r="H223" s="63"/>
      <c r="I223" s="64"/>
      <c r="J223" s="65" t="s">
        <v>88</v>
      </c>
      <c r="K223" s="66"/>
      <c r="L223" s="67"/>
      <c r="M223" s="68">
        <f>2.9*10^-2*3.7*10^10</f>
        <v>1072999999.9999999</v>
      </c>
      <c r="N223" s="68"/>
      <c r="O223" s="69"/>
      <c r="Q223" s="2"/>
      <c r="R223" s="2"/>
      <c r="S223" s="2"/>
      <c r="T223" s="2"/>
      <c r="U223" s="2"/>
      <c r="V223" s="2"/>
      <c r="W223" s="2"/>
      <c r="X223" s="2"/>
      <c r="Y223" s="2"/>
      <c r="Z223" s="2"/>
      <c r="AA223" s="2"/>
      <c r="AB223" s="2"/>
      <c r="AC223" s="2"/>
      <c r="AD223" s="2"/>
      <c r="AE223" s="2"/>
      <c r="AF223" s="104">
        <v>36342</v>
      </c>
      <c r="AG223" s="89">
        <v>389.85599999999999</v>
      </c>
      <c r="AH223" s="89">
        <v>570.98900000000003</v>
      </c>
      <c r="AI223" s="96"/>
      <c r="AJ223" s="112">
        <f t="shared" si="3"/>
        <v>1044.576</v>
      </c>
      <c r="AK223" s="112">
        <f t="shared" si="2"/>
        <v>1494.9530181818184</v>
      </c>
      <c r="AL223" s="96"/>
      <c r="AM223" s="68"/>
      <c r="AN223" s="68"/>
      <c r="AO223" s="96"/>
      <c r="AP223" s="114">
        <f>AM225*AJ223/SUM(AJ223:AJ225)/(AJ223*10^3*10^3)</f>
        <v>0.31636174315754195</v>
      </c>
      <c r="AQ223" s="115">
        <f>AN225*AK223/SUM(AK223:AK225)/(AK223*10^3*10^3)</f>
        <v>0</v>
      </c>
      <c r="AR223" s="69"/>
      <c r="AS223" s="2"/>
      <c r="AT223" s="20"/>
      <c r="AU223" s="2"/>
      <c r="AV223" s="2"/>
      <c r="AW223" s="2"/>
      <c r="AX223" s="2"/>
      <c r="AY223" s="2"/>
      <c r="DU223" s="5"/>
      <c r="DV223" s="5"/>
      <c r="DW223" s="5"/>
      <c r="DX223" s="5"/>
      <c r="DZ223" s="3"/>
      <c r="EA223" s="3"/>
      <c r="EB223" s="3"/>
      <c r="EC223" s="3"/>
    </row>
    <row r="224" spans="1:133" ht="10.5" customHeight="1" x14ac:dyDescent="0.15">
      <c r="A224" s="23"/>
      <c r="B224" s="74">
        <v>3</v>
      </c>
      <c r="C224" s="71" t="s">
        <v>13</v>
      </c>
      <c r="D224" s="62" t="s">
        <v>88</v>
      </c>
      <c r="E224" s="63"/>
      <c r="F224" s="64"/>
      <c r="G224" s="62" t="s">
        <v>88</v>
      </c>
      <c r="H224" s="63"/>
      <c r="I224" s="64"/>
      <c r="J224" s="65" t="s">
        <v>88</v>
      </c>
      <c r="K224" s="68"/>
      <c r="L224" s="67"/>
      <c r="M224" s="68">
        <f>4.9*10^-2*3.7*10^10</f>
        <v>1813000000.0000002</v>
      </c>
      <c r="N224" s="68"/>
      <c r="O224" s="69"/>
      <c r="Q224" s="2"/>
      <c r="R224" s="2"/>
      <c r="S224" s="2"/>
      <c r="T224" s="2"/>
      <c r="U224" s="2"/>
      <c r="V224" s="2"/>
      <c r="W224" s="2"/>
      <c r="X224" s="2"/>
      <c r="Y224" s="2"/>
      <c r="Z224" s="2"/>
      <c r="AA224" s="2"/>
      <c r="AB224" s="2"/>
      <c r="AC224" s="2"/>
      <c r="AD224" s="2"/>
      <c r="AE224" s="2"/>
      <c r="AF224" s="104">
        <v>36373</v>
      </c>
      <c r="AG224" s="89">
        <v>389.25400000000002</v>
      </c>
      <c r="AH224" s="89">
        <v>613.79999999999995</v>
      </c>
      <c r="AI224" s="96"/>
      <c r="AJ224" s="112">
        <f t="shared" si="3"/>
        <v>1042.9630076335877</v>
      </c>
      <c r="AK224" s="112">
        <f t="shared" si="2"/>
        <v>1607.0399999999997</v>
      </c>
      <c r="AL224" s="96"/>
      <c r="AM224" s="68"/>
      <c r="AN224" s="68"/>
      <c r="AO224" s="96"/>
      <c r="AP224" s="114">
        <f>AM225*AJ224/SUM(AJ223:AJ225)/(AJ224*10^3*10^3)</f>
        <v>0.31636174315754195</v>
      </c>
      <c r="AQ224" s="115">
        <f>AN225*AK224/SUM(AK223:AK225)/(AK224*10^3*10^3)</f>
        <v>0</v>
      </c>
      <c r="AR224" s="69"/>
      <c r="AS224" s="2"/>
      <c r="AT224" s="20"/>
      <c r="AU224" s="2"/>
      <c r="AV224" s="2"/>
      <c r="AW224" s="2"/>
      <c r="AX224" s="2"/>
      <c r="AY224" s="2"/>
      <c r="DU224" s="5"/>
      <c r="DV224" s="5"/>
      <c r="DW224" s="5"/>
      <c r="DX224" s="5"/>
      <c r="DZ224" s="3"/>
      <c r="EA224" s="3"/>
      <c r="EB224" s="3"/>
      <c r="EC224" s="3"/>
    </row>
    <row r="225" spans="1:133" ht="10.5" customHeight="1" x14ac:dyDescent="0.15">
      <c r="A225" s="24"/>
      <c r="B225" s="75">
        <v>4</v>
      </c>
      <c r="C225" s="19" t="s">
        <v>15</v>
      </c>
      <c r="D225" s="48" t="s">
        <v>88</v>
      </c>
      <c r="E225" s="49"/>
      <c r="F225" s="42"/>
      <c r="G225" s="48" t="s">
        <v>88</v>
      </c>
      <c r="H225" s="49"/>
      <c r="I225" s="42"/>
      <c r="J225" s="51" t="s">
        <v>88</v>
      </c>
      <c r="K225" s="50"/>
      <c r="L225" s="43"/>
      <c r="M225" s="52">
        <f>3.2*10^-1*3.7*10^10</f>
        <v>11840000000.000004</v>
      </c>
      <c r="N225" s="52"/>
      <c r="O225" s="53"/>
      <c r="Q225" s="2"/>
      <c r="R225" s="2"/>
      <c r="S225" s="2"/>
      <c r="T225" s="2"/>
      <c r="U225" s="2"/>
      <c r="V225" s="2"/>
      <c r="W225" s="2"/>
      <c r="X225" s="2"/>
      <c r="Y225" s="2"/>
      <c r="Z225" s="2"/>
      <c r="AA225" s="2"/>
      <c r="AB225" s="2"/>
      <c r="AC225" s="2"/>
      <c r="AD225" s="2"/>
      <c r="AE225" s="2"/>
      <c r="AF225" s="104">
        <v>36404</v>
      </c>
      <c r="AG225" s="89">
        <v>377.01900000000001</v>
      </c>
      <c r="AH225" s="89">
        <v>594</v>
      </c>
      <c r="AI225" s="96"/>
      <c r="AJ225" s="112">
        <f t="shared" si="3"/>
        <v>1010.1806793893131</v>
      </c>
      <c r="AK225" s="112">
        <f t="shared" ref="AK225:AK288" si="20">60*60*60/(82.5*10^6)*AH225*10^6/10^3</f>
        <v>1555.2</v>
      </c>
      <c r="AL225" s="96"/>
      <c r="AM225" s="68">
        <v>980000000.00000012</v>
      </c>
      <c r="AN225" s="68" t="s">
        <v>20</v>
      </c>
      <c r="AO225" s="96"/>
      <c r="AP225" s="114">
        <f>AM225*AJ225/SUM(AJ223:AJ225)/(AJ225*10^3*10^3)</f>
        <v>0.31636174315754195</v>
      </c>
      <c r="AQ225" s="115">
        <f>AN225*AK225/SUM(AK223:AK225)/(AK225*10^3*10^3)</f>
        <v>0</v>
      </c>
      <c r="AR225" s="69"/>
      <c r="AS225" s="2"/>
      <c r="AT225" s="20"/>
      <c r="AU225" s="2"/>
      <c r="AV225" s="2"/>
      <c r="AW225" s="2"/>
      <c r="AX225" s="2"/>
      <c r="AY225" s="2"/>
      <c r="DU225" s="5"/>
      <c r="DV225" s="5"/>
      <c r="DW225" s="5"/>
      <c r="DX225" s="5"/>
      <c r="DZ225" s="3"/>
      <c r="EA225" s="3"/>
      <c r="EB225" s="3"/>
      <c r="EC225" s="3"/>
    </row>
    <row r="226" spans="1:133" ht="10.5" customHeight="1" x14ac:dyDescent="0.15">
      <c r="A226" s="18" t="s">
        <v>16</v>
      </c>
      <c r="B226" s="73">
        <v>1</v>
      </c>
      <c r="C226" s="70" t="s">
        <v>10</v>
      </c>
      <c r="D226" s="54" t="s">
        <v>88</v>
      </c>
      <c r="E226" s="55"/>
      <c r="F226" s="56"/>
      <c r="G226" s="54">
        <f>4.1*10^-4*3.7*10^10</f>
        <v>15170000.000000002</v>
      </c>
      <c r="H226" s="79" t="s">
        <v>50</v>
      </c>
      <c r="I226" s="56"/>
      <c r="J226" s="57" t="s">
        <v>88</v>
      </c>
      <c r="K226" s="58"/>
      <c r="L226" s="59"/>
      <c r="M226" s="60">
        <f>3.5*10^-1*3.7*10^10</f>
        <v>12950000000.000002</v>
      </c>
      <c r="O226" s="61"/>
      <c r="Q226" s="2"/>
      <c r="R226" s="2"/>
      <c r="S226" s="2"/>
      <c r="T226" s="2"/>
      <c r="U226" s="2"/>
      <c r="V226" s="2"/>
      <c r="W226" s="2"/>
      <c r="X226" s="2"/>
      <c r="Y226" s="2"/>
      <c r="Z226" s="2"/>
      <c r="AA226" s="2"/>
      <c r="AB226" s="2"/>
      <c r="AC226" s="2"/>
      <c r="AD226" s="2"/>
      <c r="AE226" s="2"/>
      <c r="AF226" s="104">
        <v>36434</v>
      </c>
      <c r="AG226" s="89">
        <v>389.78100000000001</v>
      </c>
      <c r="AH226" s="89">
        <v>613.79999999999995</v>
      </c>
      <c r="AI226" s="96"/>
      <c r="AJ226" s="112">
        <f t="shared" si="3"/>
        <v>1044.3750458015268</v>
      </c>
      <c r="AK226" s="112">
        <f t="shared" si="20"/>
        <v>1607.0399999999997</v>
      </c>
      <c r="AL226" s="96"/>
      <c r="AM226" s="68"/>
      <c r="AN226" s="68"/>
      <c r="AO226" s="96"/>
      <c r="AP226" s="114">
        <f>AM228*AJ226/SUM(AJ226:AJ228)/(AJ226*10^3*10^3)</f>
        <v>3.5492891808261753</v>
      </c>
      <c r="AQ226" s="115">
        <f>AN228*AK226/SUM(AK226:AK228)/(AK226*10^3*10^3)</f>
        <v>0</v>
      </c>
      <c r="AR226" s="69"/>
      <c r="AS226" s="2"/>
      <c r="AT226" s="20"/>
      <c r="AU226" s="2"/>
      <c r="AV226" s="2"/>
      <c r="AW226" s="2"/>
      <c r="AX226" s="2"/>
      <c r="AY226" s="2"/>
      <c r="DU226" s="5"/>
      <c r="DV226" s="5"/>
      <c r="DW226" s="5"/>
      <c r="DX226" s="5"/>
      <c r="DZ226" s="3"/>
      <c r="EA226" s="3"/>
      <c r="EB226" s="3"/>
      <c r="EC226" s="3"/>
    </row>
    <row r="227" spans="1:133" ht="10.5" customHeight="1" x14ac:dyDescent="0.15">
      <c r="A227" s="23"/>
      <c r="B227" s="74">
        <v>2</v>
      </c>
      <c r="C227" s="71" t="s">
        <v>11</v>
      </c>
      <c r="D227" s="62" t="s">
        <v>88</v>
      </c>
      <c r="E227" s="63"/>
      <c r="F227" s="64"/>
      <c r="G227" s="62" t="s">
        <v>88</v>
      </c>
      <c r="H227" s="63"/>
      <c r="I227" s="64"/>
      <c r="J227" s="65" t="s">
        <v>88</v>
      </c>
      <c r="K227" s="66"/>
      <c r="L227" s="67"/>
      <c r="M227" s="68">
        <f>8.4*10^-3*3.7*10^10</f>
        <v>310800000.00000006</v>
      </c>
      <c r="N227" s="68"/>
      <c r="O227" s="69"/>
      <c r="Q227" s="2"/>
      <c r="R227" s="2"/>
      <c r="S227" s="2"/>
      <c r="T227" s="2"/>
      <c r="U227" s="2"/>
      <c r="V227" s="2"/>
      <c r="W227" s="2"/>
      <c r="X227" s="2"/>
      <c r="Y227" s="2"/>
      <c r="Z227" s="2"/>
      <c r="AA227" s="2"/>
      <c r="AB227" s="2"/>
      <c r="AC227" s="2"/>
      <c r="AD227" s="2"/>
      <c r="AE227" s="2"/>
      <c r="AF227" s="104">
        <v>36465</v>
      </c>
      <c r="AG227" s="89">
        <v>377.12700000000001</v>
      </c>
      <c r="AH227" s="89">
        <v>594</v>
      </c>
      <c r="AI227" s="96"/>
      <c r="AJ227" s="112">
        <f t="shared" ref="AJ227:AJ290" si="21">39*60*60/(52.4*10^6)*AG227*10^6/10^3</f>
        <v>1010.4700534351146</v>
      </c>
      <c r="AK227" s="112">
        <f t="shared" si="20"/>
        <v>1555.2</v>
      </c>
      <c r="AL227" s="96"/>
      <c r="AM227" s="68"/>
      <c r="AN227" s="68"/>
      <c r="AO227" s="96"/>
      <c r="AP227" s="114">
        <f>AM228*AJ227/SUM(AJ226:AJ228)/(AJ227*10^3*10^3)</f>
        <v>3.5492891808261753</v>
      </c>
      <c r="AQ227" s="115">
        <f>AN228*AK227/SUM(AK226:AK228)/(AK227*10^3*10^3)</f>
        <v>0</v>
      </c>
      <c r="AR227" s="69"/>
      <c r="AS227" s="2"/>
      <c r="AT227" s="20"/>
      <c r="AU227" s="2"/>
      <c r="AV227" s="2"/>
      <c r="AW227" s="2"/>
      <c r="AX227" s="2"/>
      <c r="AY227" s="2"/>
      <c r="DU227" s="5"/>
      <c r="DV227" s="5"/>
      <c r="DW227" s="5"/>
      <c r="DX227" s="5"/>
      <c r="DZ227" s="3"/>
      <c r="EA227" s="3"/>
      <c r="EB227" s="3"/>
      <c r="EC227" s="3"/>
    </row>
    <row r="228" spans="1:133" ht="10.5" customHeight="1" x14ac:dyDescent="0.15">
      <c r="A228" s="23"/>
      <c r="B228" s="74">
        <v>3</v>
      </c>
      <c r="C228" s="71" t="s">
        <v>13</v>
      </c>
      <c r="D228" s="62" t="s">
        <v>88</v>
      </c>
      <c r="E228" s="63"/>
      <c r="F228" s="64"/>
      <c r="G228" s="62" t="s">
        <v>88</v>
      </c>
      <c r="H228" s="63"/>
      <c r="I228" s="64"/>
      <c r="J228" s="65" t="s">
        <v>88</v>
      </c>
      <c r="K228" s="68"/>
      <c r="L228" s="67"/>
      <c r="M228" s="68">
        <f>5.9*10^-1*3.7*10^10</f>
        <v>21830000000.000004</v>
      </c>
      <c r="N228" s="68"/>
      <c r="O228" s="69"/>
      <c r="Q228" s="2"/>
      <c r="R228" s="2"/>
      <c r="S228" s="2"/>
      <c r="T228" s="2"/>
      <c r="U228" s="2"/>
      <c r="V228" s="2"/>
      <c r="W228" s="2"/>
      <c r="X228" s="2"/>
      <c r="Y228" s="2"/>
      <c r="Z228" s="2"/>
      <c r="AA228" s="2"/>
      <c r="AB228" s="2"/>
      <c r="AC228" s="2"/>
      <c r="AD228" s="2"/>
      <c r="AE228" s="2"/>
      <c r="AF228" s="104">
        <v>36495</v>
      </c>
      <c r="AG228" s="89">
        <v>389.77800000000002</v>
      </c>
      <c r="AH228" s="89">
        <v>613.46299999999997</v>
      </c>
      <c r="AI228" s="96"/>
      <c r="AJ228" s="112">
        <f t="shared" si="21"/>
        <v>1044.3670076335877</v>
      </c>
      <c r="AK228" s="112">
        <f t="shared" si="20"/>
        <v>1606.1576727272727</v>
      </c>
      <c r="AL228" s="96"/>
      <c r="AM228" s="68">
        <v>11000000000</v>
      </c>
      <c r="AN228" s="68" t="s">
        <v>20</v>
      </c>
      <c r="AO228" s="96"/>
      <c r="AP228" s="114">
        <f>AM228*AJ228/SUM(AJ226:AJ228)/(AJ228*10^3*10^3)</f>
        <v>3.5492891808261753</v>
      </c>
      <c r="AQ228" s="115">
        <f>AN228*AK228/SUM(AK226:AK228)/(AK228*10^3*10^3)</f>
        <v>0</v>
      </c>
      <c r="AR228" s="69"/>
      <c r="AS228" s="2"/>
      <c r="AT228" s="20"/>
      <c r="AU228" s="2"/>
      <c r="AV228" s="2"/>
      <c r="AW228" s="2"/>
      <c r="AX228" s="2"/>
      <c r="AY228" s="2"/>
      <c r="DU228" s="5"/>
      <c r="DV228" s="5"/>
      <c r="DW228" s="5"/>
      <c r="DX228" s="5"/>
      <c r="DZ228" s="3"/>
      <c r="EA228" s="3"/>
      <c r="EB228" s="3"/>
      <c r="EC228" s="3"/>
    </row>
    <row r="229" spans="1:133" ht="10.5" customHeight="1" x14ac:dyDescent="0.15">
      <c r="A229" s="24"/>
      <c r="B229" s="75">
        <v>4</v>
      </c>
      <c r="C229" s="19" t="s">
        <v>15</v>
      </c>
      <c r="D229" s="48" t="s">
        <v>88</v>
      </c>
      <c r="E229" s="49"/>
      <c r="F229" s="42"/>
      <c r="G229" s="48" t="s">
        <v>88</v>
      </c>
      <c r="H229" s="49"/>
      <c r="I229" s="42"/>
      <c r="J229" s="51" t="s">
        <v>88</v>
      </c>
      <c r="K229" s="50"/>
      <c r="L229" s="43"/>
      <c r="M229" s="52">
        <f>1*10^-1*3.7*10^10</f>
        <v>3700000000.0000005</v>
      </c>
      <c r="N229" s="52"/>
      <c r="O229" s="53"/>
      <c r="Q229" s="2"/>
      <c r="R229" s="2"/>
      <c r="S229" s="2"/>
      <c r="T229" s="2"/>
      <c r="U229" s="2"/>
      <c r="V229" s="2"/>
      <c r="W229" s="2"/>
      <c r="X229" s="2"/>
      <c r="Y229" s="2"/>
      <c r="Z229" s="2"/>
      <c r="AA229" s="2"/>
      <c r="AB229" s="2"/>
      <c r="AC229" s="2"/>
      <c r="AD229" s="2"/>
      <c r="AE229" s="2"/>
      <c r="AF229" s="104">
        <v>36526</v>
      </c>
      <c r="AG229" s="89">
        <v>200.40899999999999</v>
      </c>
      <c r="AH229" s="89">
        <v>613.79999999999995</v>
      </c>
      <c r="AI229" s="96"/>
      <c r="AJ229" s="112">
        <f t="shared" si="21"/>
        <v>536.97373282442754</v>
      </c>
      <c r="AK229" s="112">
        <f t="shared" si="20"/>
        <v>1607.0399999999997</v>
      </c>
      <c r="AL229" s="96"/>
      <c r="AM229" s="68"/>
      <c r="AN229" s="68"/>
      <c r="AO229" s="96"/>
      <c r="AP229" s="114">
        <f>AM231*AJ229/SUM(AJ229:AJ231)/(AJ229*10^3*10^3)</f>
        <v>3.9976368168313328</v>
      </c>
      <c r="AQ229" s="115">
        <f>AN231*AK229/SUM(AK229:AK231)/(AK229*10^3*10^3)</f>
        <v>0.74192782526115875</v>
      </c>
      <c r="AR229" s="69"/>
      <c r="AS229" s="2"/>
      <c r="AT229" s="20"/>
      <c r="AU229" s="2"/>
      <c r="AV229" s="2"/>
      <c r="AW229" s="2"/>
      <c r="AX229" s="2"/>
      <c r="AY229" s="2"/>
      <c r="DU229" s="5"/>
      <c r="DV229" s="5"/>
      <c r="DW229" s="5"/>
      <c r="DX229" s="5"/>
      <c r="DZ229" s="3"/>
      <c r="EA229" s="3"/>
      <c r="EB229" s="3"/>
      <c r="EC229" s="3"/>
    </row>
    <row r="230" spans="1:133" ht="10.5" customHeight="1" x14ac:dyDescent="0.15">
      <c r="A230" s="18" t="s">
        <v>17</v>
      </c>
      <c r="B230" s="73">
        <v>1</v>
      </c>
      <c r="C230" s="70" t="s">
        <v>10</v>
      </c>
      <c r="D230" s="54" t="s">
        <v>88</v>
      </c>
      <c r="E230" s="55"/>
      <c r="F230" s="56"/>
      <c r="G230" s="54" t="s">
        <v>88</v>
      </c>
      <c r="H230" s="55"/>
      <c r="I230" s="56"/>
      <c r="J230" s="57" t="s">
        <v>88</v>
      </c>
      <c r="K230" s="58"/>
      <c r="L230" s="59"/>
      <c r="M230" s="60">
        <f>1.9*10^-1*3.7*10^10</f>
        <v>7030000000.000001</v>
      </c>
      <c r="N230" s="60"/>
      <c r="O230" s="61"/>
      <c r="Q230" s="2"/>
      <c r="R230" s="2"/>
      <c r="S230" s="2"/>
      <c r="T230" s="2"/>
      <c r="U230" s="2"/>
      <c r="V230" s="2"/>
      <c r="W230" s="2"/>
      <c r="X230" s="2"/>
      <c r="Y230" s="2"/>
      <c r="Z230" s="2"/>
      <c r="AA230" s="2"/>
      <c r="AB230" s="2"/>
      <c r="AC230" s="2"/>
      <c r="AD230" s="2"/>
      <c r="AE230" s="2"/>
      <c r="AF230" s="104">
        <v>36557</v>
      </c>
      <c r="AG230" s="89">
        <v>0</v>
      </c>
      <c r="AH230" s="89">
        <v>574.20000000000005</v>
      </c>
      <c r="AI230" s="96"/>
      <c r="AJ230" s="112">
        <f t="shared" si="21"/>
        <v>0</v>
      </c>
      <c r="AK230" s="112">
        <f t="shared" si="20"/>
        <v>1503.36</v>
      </c>
      <c r="AL230" s="96"/>
      <c r="AM230" s="68"/>
      <c r="AN230" s="68"/>
      <c r="AO230" s="96"/>
      <c r="AP230" s="114" t="e">
        <f>AM231*AJ230/SUM(AJ229:AJ231)/(AJ230*10^3*10^3)</f>
        <v>#DIV/0!</v>
      </c>
      <c r="AQ230" s="115">
        <f>AN231*AK230/SUM(AK229:AK231)/(AK230*10^3*10^3)</f>
        <v>0.74192782526115864</v>
      </c>
      <c r="AR230" s="69"/>
      <c r="AS230" s="2"/>
      <c r="AT230" s="20"/>
      <c r="AU230" s="2"/>
      <c r="AV230" s="2"/>
      <c r="AW230" s="2"/>
      <c r="AX230" s="2"/>
      <c r="AY230" s="2"/>
      <c r="DU230" s="5"/>
      <c r="DV230" s="5"/>
      <c r="DW230" s="5"/>
      <c r="DX230" s="5"/>
      <c r="DZ230" s="3"/>
      <c r="EA230" s="3"/>
      <c r="EB230" s="3"/>
      <c r="EC230" s="3"/>
    </row>
    <row r="231" spans="1:133" ht="10.5" customHeight="1" x14ac:dyDescent="0.15">
      <c r="A231" s="23"/>
      <c r="B231" s="74">
        <v>2</v>
      </c>
      <c r="C231" s="71" t="s">
        <v>11</v>
      </c>
      <c r="D231" s="62" t="s">
        <v>88</v>
      </c>
      <c r="E231" s="63"/>
      <c r="F231" s="64"/>
      <c r="G231" s="62" t="s">
        <v>88</v>
      </c>
      <c r="H231" s="63"/>
      <c r="I231" s="64"/>
      <c r="J231" s="65" t="s">
        <v>88</v>
      </c>
      <c r="K231" s="66"/>
      <c r="L231" s="67"/>
      <c r="M231" s="68">
        <f>7.2*10^-2*3.7*10^10</f>
        <v>2664000000.0000005</v>
      </c>
      <c r="N231" s="68"/>
      <c r="O231" s="69"/>
      <c r="Q231" s="2"/>
      <c r="R231" s="2"/>
      <c r="S231" s="2"/>
      <c r="T231" s="2"/>
      <c r="U231" s="2"/>
      <c r="V231" s="2"/>
      <c r="W231" s="2"/>
      <c r="X231" s="2"/>
      <c r="Y231" s="2"/>
      <c r="Z231" s="2"/>
      <c r="AA231" s="2"/>
      <c r="AB231" s="2"/>
      <c r="AC231" s="2"/>
      <c r="AD231" s="2"/>
      <c r="AE231" s="2"/>
      <c r="AF231" s="104">
        <v>36586</v>
      </c>
      <c r="AG231" s="89">
        <v>238.38300000000001</v>
      </c>
      <c r="AH231" s="89">
        <v>613.79999999999995</v>
      </c>
      <c r="AI231" s="96"/>
      <c r="AJ231" s="112">
        <f t="shared" si="21"/>
        <v>638.72086259541993</v>
      </c>
      <c r="AK231" s="112">
        <f t="shared" si="20"/>
        <v>1607.0399999999997</v>
      </c>
      <c r="AL231" s="96"/>
      <c r="AM231" s="68">
        <v>4700000000</v>
      </c>
      <c r="AN231" s="68">
        <v>3500000000</v>
      </c>
      <c r="AO231" s="96"/>
      <c r="AP231" s="114">
        <f>AM231*AJ231/SUM(AJ229:AJ231)/(AJ231*10^3*10^3)</f>
        <v>3.9976368168313314</v>
      </c>
      <c r="AQ231" s="115">
        <f>AN231*AK231/SUM(AK229:AK231)/(AK231*10^3*10^3)</f>
        <v>0.74192782526115875</v>
      </c>
      <c r="AR231" s="69"/>
      <c r="AS231" s="2"/>
      <c r="AT231" s="20"/>
      <c r="AU231" s="2"/>
      <c r="AV231" s="2"/>
      <c r="AW231" s="2"/>
      <c r="AX231" s="2"/>
      <c r="AY231" s="2"/>
      <c r="DU231" s="5"/>
      <c r="DV231" s="5"/>
      <c r="DW231" s="5"/>
      <c r="DX231" s="5"/>
      <c r="DZ231" s="3"/>
      <c r="EA231" s="3"/>
      <c r="EB231" s="3"/>
      <c r="EC231" s="3"/>
    </row>
    <row r="232" spans="1:133" ht="10.5" customHeight="1" x14ac:dyDescent="0.15">
      <c r="A232" s="23"/>
      <c r="B232" s="74">
        <v>3</v>
      </c>
      <c r="C232" s="71" t="s">
        <v>13</v>
      </c>
      <c r="D232" s="62" t="s">
        <v>88</v>
      </c>
      <c r="E232" s="63"/>
      <c r="F232" s="64"/>
      <c r="G232" s="62" t="s">
        <v>88</v>
      </c>
      <c r="H232" s="63"/>
      <c r="I232" s="64"/>
      <c r="J232" s="65" t="s">
        <v>88</v>
      </c>
      <c r="K232" s="68"/>
      <c r="L232" s="67"/>
      <c r="M232" s="68">
        <f>4.7*10^-1*3.7*10^10</f>
        <v>17390000000</v>
      </c>
      <c r="N232" s="68"/>
      <c r="O232" s="69"/>
      <c r="Q232" s="2"/>
      <c r="R232" s="2"/>
      <c r="S232" s="2"/>
      <c r="T232" s="2"/>
      <c r="U232" s="2"/>
      <c r="V232" s="2"/>
      <c r="W232" s="2"/>
      <c r="X232" s="2"/>
      <c r="Y232" s="2"/>
      <c r="Z232" s="2"/>
      <c r="AA232" s="2"/>
      <c r="AB232" s="2"/>
      <c r="AC232" s="2"/>
      <c r="AD232" s="2"/>
      <c r="AE232" s="2"/>
      <c r="AF232" s="105">
        <v>36617</v>
      </c>
      <c r="AG232" s="89">
        <v>377.28</v>
      </c>
      <c r="AH232" s="89">
        <v>593.99900000000002</v>
      </c>
      <c r="AI232" s="96"/>
      <c r="AJ232" s="112">
        <f t="shared" si="21"/>
        <v>1010.88</v>
      </c>
      <c r="AK232" s="112">
        <f t="shared" si="20"/>
        <v>1555.1973818181818</v>
      </c>
      <c r="AL232" s="96"/>
      <c r="AM232" s="68"/>
      <c r="AN232" s="68"/>
      <c r="AO232" s="96"/>
      <c r="AP232" s="115">
        <f>AM234*AJ232/SUM(AJ232:AJ234)/(AJ232*10^3*10^3)</f>
        <v>17.610609921965505</v>
      </c>
      <c r="AQ232" s="114">
        <f>AN234*AK232/SUM(AK232:AK234)/(AK232*10^3*10^3)</f>
        <v>0</v>
      </c>
      <c r="AR232" s="69"/>
      <c r="AS232" s="2"/>
      <c r="AT232" s="20"/>
      <c r="AU232" s="2"/>
      <c r="AV232" s="2"/>
      <c r="AW232" s="2"/>
      <c r="AX232" s="2"/>
      <c r="AY232" s="2"/>
      <c r="DU232" s="5"/>
      <c r="DV232" s="5"/>
      <c r="DW232" s="5"/>
      <c r="DX232" s="5"/>
      <c r="DZ232" s="3"/>
      <c r="EA232" s="3"/>
      <c r="EB232" s="3"/>
      <c r="EC232" s="3"/>
    </row>
    <row r="233" spans="1:133" ht="10.5" customHeight="1" x14ac:dyDescent="0.15">
      <c r="A233" s="24"/>
      <c r="B233" s="75">
        <v>4</v>
      </c>
      <c r="C233" s="19" t="s">
        <v>15</v>
      </c>
      <c r="D233" s="48" t="s">
        <v>88</v>
      </c>
      <c r="E233" s="49"/>
      <c r="F233" s="42"/>
      <c r="G233" s="48" t="s">
        <v>88</v>
      </c>
      <c r="H233" s="49"/>
      <c r="I233" s="42"/>
      <c r="J233" s="51" t="s">
        <v>88</v>
      </c>
      <c r="K233" s="50"/>
      <c r="L233" s="43"/>
      <c r="M233" s="52">
        <f>1*10^0*3.7*10^10</f>
        <v>37000000000</v>
      </c>
      <c r="N233" s="52"/>
      <c r="O233" s="53"/>
      <c r="Q233" s="2"/>
      <c r="R233" s="2"/>
      <c r="S233" s="2"/>
      <c r="T233" s="2"/>
      <c r="U233" s="2"/>
      <c r="V233" s="2"/>
      <c r="W233" s="2"/>
      <c r="X233" s="2"/>
      <c r="Y233" s="2"/>
      <c r="Z233" s="2"/>
      <c r="AA233" s="2"/>
      <c r="AB233" s="2"/>
      <c r="AC233" s="2"/>
      <c r="AD233" s="2"/>
      <c r="AE233" s="2"/>
      <c r="AF233" s="105">
        <v>36647</v>
      </c>
      <c r="AG233" s="89">
        <v>389.85599999999999</v>
      </c>
      <c r="AH233" s="89">
        <v>464.43799999999999</v>
      </c>
      <c r="AI233" s="96"/>
      <c r="AJ233" s="112">
        <f t="shared" si="21"/>
        <v>1044.576</v>
      </c>
      <c r="AK233" s="112">
        <f t="shared" si="20"/>
        <v>1215.9831272727272</v>
      </c>
      <c r="AL233" s="96"/>
      <c r="AM233" s="68"/>
      <c r="AN233" s="68"/>
      <c r="AO233" s="96"/>
      <c r="AP233" s="115">
        <f>AM234*AJ233/SUM(AJ232:AJ234)/(AJ233*10^3*10^3)</f>
        <v>17.610609921965505</v>
      </c>
      <c r="AQ233" s="114">
        <f>AN234*AK233/SUM(AK232:AK234)/(AK233*10^3*10^3)</f>
        <v>0</v>
      </c>
      <c r="AR233" s="69"/>
      <c r="AS233" s="2"/>
      <c r="AT233" s="20"/>
      <c r="AU233" s="2"/>
      <c r="AV233" s="2"/>
      <c r="AW233" s="2"/>
      <c r="AX233" s="2"/>
      <c r="AY233" s="2"/>
      <c r="DU233" s="5"/>
      <c r="DV233" s="5"/>
      <c r="DW233" s="5"/>
      <c r="DX233" s="5"/>
      <c r="DZ233" s="3"/>
      <c r="EA233" s="3"/>
      <c r="EB233" s="3"/>
      <c r="EC233" s="3"/>
    </row>
    <row r="234" spans="1:133" ht="10.5" customHeight="1" x14ac:dyDescent="0.15">
      <c r="A234" s="18" t="s">
        <v>18</v>
      </c>
      <c r="B234" s="73">
        <v>1</v>
      </c>
      <c r="C234" s="70" t="s">
        <v>10</v>
      </c>
      <c r="D234" s="54" t="s">
        <v>88</v>
      </c>
      <c r="E234" s="55"/>
      <c r="F234" s="56"/>
      <c r="G234" s="54">
        <f>1*10^-5*3.7*10^10</f>
        <v>370000.00000000006</v>
      </c>
      <c r="H234" s="79" t="s">
        <v>51</v>
      </c>
      <c r="I234" s="56"/>
      <c r="J234" s="57" t="s">
        <v>88</v>
      </c>
      <c r="K234" s="58"/>
      <c r="L234" s="59"/>
      <c r="M234" s="60">
        <f>2.8*10^10</f>
        <v>28000000000</v>
      </c>
      <c r="O234" s="61"/>
      <c r="Q234" s="2"/>
      <c r="R234" s="2"/>
      <c r="S234" s="2"/>
      <c r="T234" s="2"/>
      <c r="U234" s="2"/>
      <c r="V234" s="2"/>
      <c r="W234" s="2"/>
      <c r="X234" s="2"/>
      <c r="Y234" s="2"/>
      <c r="Z234" s="2"/>
      <c r="AA234" s="2"/>
      <c r="AB234" s="2"/>
      <c r="AC234" s="2"/>
      <c r="AD234" s="2"/>
      <c r="AE234" s="2"/>
      <c r="AF234" s="105">
        <v>36678</v>
      </c>
      <c r="AG234" s="89">
        <v>377.279</v>
      </c>
      <c r="AH234" s="89">
        <v>593.62</v>
      </c>
      <c r="AI234" s="96"/>
      <c r="AJ234" s="112">
        <f t="shared" si="21"/>
        <v>1010.8773206106871</v>
      </c>
      <c r="AK234" s="112">
        <f t="shared" si="20"/>
        <v>1554.205090909091</v>
      </c>
      <c r="AL234" s="96"/>
      <c r="AM234" s="68">
        <v>54000000000</v>
      </c>
      <c r="AN234" s="68" t="s">
        <v>20</v>
      </c>
      <c r="AO234" s="96"/>
      <c r="AP234" s="115">
        <f>AM234*AJ234/SUM(AJ232:AJ234)/(AJ234*10^3*10^3)</f>
        <v>17.610609921965501</v>
      </c>
      <c r="AQ234" s="114">
        <f>AN234*AK234/SUM(AK232:AK234)/(AK234*10^3*10^3)</f>
        <v>0</v>
      </c>
      <c r="AR234" s="69"/>
      <c r="AS234" s="2"/>
      <c r="AT234" s="20"/>
      <c r="AU234" s="2"/>
      <c r="AV234" s="2"/>
      <c r="AW234" s="2"/>
      <c r="AX234" s="2"/>
      <c r="AY234" s="2"/>
      <c r="DU234" s="5"/>
      <c r="DV234" s="5"/>
      <c r="DW234" s="5"/>
      <c r="DX234" s="5"/>
      <c r="DZ234" s="3"/>
      <c r="EA234" s="3"/>
      <c r="EB234" s="3"/>
      <c r="EC234" s="3"/>
    </row>
    <row r="235" spans="1:133" ht="10.5" customHeight="1" x14ac:dyDescent="0.15">
      <c r="A235" s="23"/>
      <c r="B235" s="74">
        <v>2</v>
      </c>
      <c r="C235" s="71" t="s">
        <v>11</v>
      </c>
      <c r="D235" s="62" t="s">
        <v>88</v>
      </c>
      <c r="E235" s="63"/>
      <c r="F235" s="64"/>
      <c r="G235" s="62" t="s">
        <v>88</v>
      </c>
      <c r="H235" s="63"/>
      <c r="I235" s="64"/>
      <c r="J235" s="65" t="s">
        <v>88</v>
      </c>
      <c r="K235" s="66"/>
      <c r="L235" s="67"/>
      <c r="M235" s="68">
        <f>9.3*10^9</f>
        <v>9300000000</v>
      </c>
      <c r="N235" s="68"/>
      <c r="O235" s="69"/>
      <c r="Q235" s="2"/>
      <c r="R235" s="2"/>
      <c r="S235" s="2"/>
      <c r="T235" s="2"/>
      <c r="U235" s="2"/>
      <c r="V235" s="2"/>
      <c r="W235" s="2"/>
      <c r="X235" s="2"/>
      <c r="Y235" s="2"/>
      <c r="Z235" s="2"/>
      <c r="AA235" s="2"/>
      <c r="AB235" s="2"/>
      <c r="AC235" s="2"/>
      <c r="AD235" s="2"/>
      <c r="AE235" s="2"/>
      <c r="AF235" s="105">
        <v>36708</v>
      </c>
      <c r="AG235" s="89">
        <v>380.85599999999999</v>
      </c>
      <c r="AH235" s="89">
        <v>613.45299999999997</v>
      </c>
      <c r="AI235" s="96"/>
      <c r="AJ235" s="112">
        <f t="shared" si="21"/>
        <v>1020.4614961832061</v>
      </c>
      <c r="AK235" s="112">
        <f t="shared" si="20"/>
        <v>1606.1314909090909</v>
      </c>
      <c r="AL235" s="96"/>
      <c r="AM235" s="68"/>
      <c r="AN235" s="68"/>
      <c r="AO235" s="96"/>
      <c r="AP235" s="115">
        <f>AM237*AJ235/SUM(AJ235:AJ237)/(AJ235*10^3*10^3)</f>
        <v>1.0101709086544037</v>
      </c>
      <c r="AQ235" s="114">
        <f>AN237*AK235/SUM(AK235:AK237)/(AK235*10^3*10^3)</f>
        <v>0</v>
      </c>
      <c r="AR235" s="69"/>
      <c r="AS235" s="2"/>
      <c r="AT235" s="20"/>
      <c r="AU235" s="2"/>
      <c r="AV235" s="2"/>
      <c r="AW235" s="2"/>
      <c r="AX235" s="2"/>
      <c r="AY235" s="2"/>
      <c r="DU235" s="5"/>
      <c r="DV235" s="5"/>
      <c r="DW235" s="5"/>
      <c r="DX235" s="5"/>
      <c r="DZ235" s="3"/>
      <c r="EA235" s="3"/>
      <c r="EB235" s="3"/>
      <c r="EC235" s="3"/>
    </row>
    <row r="236" spans="1:133" ht="10.5" customHeight="1" x14ac:dyDescent="0.15">
      <c r="A236" s="23"/>
      <c r="B236" s="74">
        <v>3</v>
      </c>
      <c r="C236" s="71" t="s">
        <v>13</v>
      </c>
      <c r="D236" s="62" t="s">
        <v>88</v>
      </c>
      <c r="E236" s="63"/>
      <c r="F236" s="64"/>
      <c r="G236" s="62" t="s">
        <v>88</v>
      </c>
      <c r="H236" s="63"/>
      <c r="I236" s="64"/>
      <c r="J236" s="65" t="s">
        <v>88</v>
      </c>
      <c r="K236" s="68"/>
      <c r="L236" s="67"/>
      <c r="M236" s="68">
        <f>1.5*10^10</f>
        <v>15000000000</v>
      </c>
      <c r="N236" s="68"/>
      <c r="O236" s="69"/>
      <c r="Q236" s="2"/>
      <c r="R236" s="2"/>
      <c r="S236" s="2"/>
      <c r="T236" s="2"/>
      <c r="U236" s="2"/>
      <c r="V236" s="2"/>
      <c r="W236" s="2"/>
      <c r="X236" s="2"/>
      <c r="Y236" s="2"/>
      <c r="Z236" s="2"/>
      <c r="AA236" s="2"/>
      <c r="AB236" s="2"/>
      <c r="AC236" s="2"/>
      <c r="AD236" s="2"/>
      <c r="AE236" s="2"/>
      <c r="AF236" s="105">
        <v>36739</v>
      </c>
      <c r="AG236" s="89">
        <v>388.07</v>
      </c>
      <c r="AH236" s="89">
        <v>613.15300000000002</v>
      </c>
      <c r="AI236" s="96"/>
      <c r="AJ236" s="112">
        <f t="shared" si="21"/>
        <v>1039.790610687023</v>
      </c>
      <c r="AK236" s="112">
        <f t="shared" si="20"/>
        <v>1605.3460363636364</v>
      </c>
      <c r="AL236" s="96"/>
      <c r="AM236" s="68"/>
      <c r="AN236" s="68"/>
      <c r="AO236" s="96"/>
      <c r="AP236" s="115">
        <f>AM237*AJ236/SUM(AJ235:AJ237)/(AJ236*10^3*10^3)</f>
        <v>1.010170908654404</v>
      </c>
      <c r="AQ236" s="114">
        <f>AN237*AK236/SUM(AK235:AK237)/(AK236*10^3*10^3)</f>
        <v>0</v>
      </c>
      <c r="AR236" s="69"/>
      <c r="AS236" s="2"/>
      <c r="AT236" s="20"/>
      <c r="AU236" s="2"/>
      <c r="AV236" s="2"/>
      <c r="AW236" s="2"/>
      <c r="AX236" s="2"/>
      <c r="AY236" s="2"/>
      <c r="DU236" s="5"/>
      <c r="DV236" s="5"/>
      <c r="DW236" s="5"/>
      <c r="DX236" s="5"/>
      <c r="DZ236" s="3"/>
      <c r="EA236" s="3"/>
      <c r="EB236" s="3"/>
      <c r="EC236" s="3"/>
    </row>
    <row r="237" spans="1:133" ht="10.5" customHeight="1" x14ac:dyDescent="0.15">
      <c r="A237" s="24"/>
      <c r="B237" s="75">
        <v>4</v>
      </c>
      <c r="C237" s="19" t="s">
        <v>15</v>
      </c>
      <c r="D237" s="48" t="s">
        <v>88</v>
      </c>
      <c r="E237" s="49"/>
      <c r="F237" s="42"/>
      <c r="G237" s="48" t="s">
        <v>88</v>
      </c>
      <c r="H237" s="49"/>
      <c r="I237" s="42"/>
      <c r="J237" s="51" t="s">
        <v>88</v>
      </c>
      <c r="K237" s="50"/>
      <c r="L237" s="43"/>
      <c r="M237" s="52">
        <f>5.6*10^10</f>
        <v>56000000000</v>
      </c>
      <c r="N237" s="52"/>
      <c r="O237" s="53"/>
      <c r="Q237" s="2"/>
      <c r="R237" s="2"/>
      <c r="S237" s="2"/>
      <c r="T237" s="2"/>
      <c r="U237" s="2"/>
      <c r="V237" s="2"/>
      <c r="W237" s="2"/>
      <c r="X237" s="2"/>
      <c r="Y237" s="2"/>
      <c r="Z237" s="2"/>
      <c r="AA237" s="2"/>
      <c r="AB237" s="2"/>
      <c r="AC237" s="2"/>
      <c r="AD237" s="2"/>
      <c r="AE237" s="2"/>
      <c r="AF237" s="105">
        <v>36770</v>
      </c>
      <c r="AG237" s="89">
        <v>376.40499999999997</v>
      </c>
      <c r="AH237" s="89">
        <v>174.976</v>
      </c>
      <c r="AI237" s="96"/>
      <c r="AJ237" s="112">
        <f t="shared" si="21"/>
        <v>1008.5355343511451</v>
      </c>
      <c r="AK237" s="112">
        <f t="shared" si="20"/>
        <v>458.11898181818174</v>
      </c>
      <c r="AL237" s="96"/>
      <c r="AM237" s="68">
        <v>3100000000</v>
      </c>
      <c r="AN237" s="68" t="s">
        <v>20</v>
      </c>
      <c r="AO237" s="96"/>
      <c r="AP237" s="115">
        <f>AM237*AJ237/SUM(AJ235:AJ237)/(AJ237*10^3*10^3)</f>
        <v>1.0101709086544037</v>
      </c>
      <c r="AQ237" s="114">
        <f>AN237*AK237/SUM(AK235:AK237)/(AK237*10^3*10^3)</f>
        <v>0</v>
      </c>
      <c r="AR237" s="69"/>
      <c r="AS237" s="2"/>
      <c r="AT237" s="20"/>
      <c r="AU237" s="2"/>
      <c r="AV237" s="2"/>
      <c r="AW237" s="2"/>
      <c r="AX237" s="2"/>
      <c r="AY237" s="2"/>
      <c r="DU237" s="5"/>
      <c r="DV237" s="5"/>
      <c r="DW237" s="5"/>
      <c r="DX237" s="5"/>
      <c r="DZ237" s="3"/>
      <c r="EA237" s="3"/>
      <c r="EB237" s="3"/>
      <c r="EC237" s="3"/>
    </row>
    <row r="238" spans="1:133" ht="10.5" customHeight="1" x14ac:dyDescent="0.15">
      <c r="A238" s="18" t="s">
        <v>121</v>
      </c>
      <c r="B238" s="73">
        <v>1</v>
      </c>
      <c r="C238" s="70" t="s">
        <v>10</v>
      </c>
      <c r="D238" s="54" t="s">
        <v>88</v>
      </c>
      <c r="E238" s="55"/>
      <c r="F238" s="56"/>
      <c r="G238" s="54" t="s">
        <v>88</v>
      </c>
      <c r="H238" s="55"/>
      <c r="I238" s="56"/>
      <c r="J238" s="57" t="s">
        <v>88</v>
      </c>
      <c r="K238" s="58"/>
      <c r="L238" s="59"/>
      <c r="M238" s="60">
        <f>2.2*10^10</f>
        <v>22000000000</v>
      </c>
      <c r="N238" s="60"/>
      <c r="O238" s="61"/>
      <c r="Q238" s="2"/>
      <c r="R238" s="2"/>
      <c r="S238" s="2"/>
      <c r="T238" s="2"/>
      <c r="U238" s="2"/>
      <c r="V238" s="2"/>
      <c r="W238" s="2"/>
      <c r="X238" s="2"/>
      <c r="Y238" s="2"/>
      <c r="Z238" s="2"/>
      <c r="AA238" s="2"/>
      <c r="AB238" s="2"/>
      <c r="AC238" s="2"/>
      <c r="AD238" s="2"/>
      <c r="AE238" s="2"/>
      <c r="AF238" s="105">
        <v>36800</v>
      </c>
      <c r="AG238" s="89">
        <v>389.85500000000002</v>
      </c>
      <c r="AH238" s="89">
        <v>44.707999999999998</v>
      </c>
      <c r="AI238" s="96"/>
      <c r="AJ238" s="112">
        <f t="shared" si="21"/>
        <v>1044.5733206106872</v>
      </c>
      <c r="AK238" s="112">
        <f t="shared" si="20"/>
        <v>117.05367272727273</v>
      </c>
      <c r="AL238" s="96"/>
      <c r="AM238" s="68"/>
      <c r="AN238" s="68"/>
      <c r="AO238" s="96"/>
      <c r="AP238" s="115">
        <f>AM240*AJ238/SUM(AJ238:AJ240)/(AJ238*10^3*10^3)</f>
        <v>8.0654576287094031</v>
      </c>
      <c r="AQ238" s="114">
        <f>AN240*AK238/SUM(AK238:AK240)/(AK238*10^3*10^3)</f>
        <v>0</v>
      </c>
      <c r="AR238" s="69"/>
      <c r="AS238" s="2"/>
      <c r="AT238" s="20"/>
      <c r="AU238" s="2"/>
      <c r="AV238" s="2"/>
      <c r="AW238" s="2"/>
      <c r="AX238" s="2"/>
      <c r="AY238" s="2"/>
      <c r="DU238" s="5"/>
      <c r="DV238" s="5"/>
      <c r="DW238" s="5"/>
      <c r="DX238" s="5"/>
      <c r="DZ238" s="3"/>
      <c r="EA238" s="3"/>
      <c r="EB238" s="3"/>
      <c r="EC238" s="3"/>
    </row>
    <row r="239" spans="1:133" ht="10.5" customHeight="1" x14ac:dyDescent="0.15">
      <c r="A239" s="23"/>
      <c r="B239" s="74">
        <v>2</v>
      </c>
      <c r="C239" s="71" t="s">
        <v>11</v>
      </c>
      <c r="D239" s="62" t="s">
        <v>88</v>
      </c>
      <c r="E239" s="63"/>
      <c r="F239" s="64"/>
      <c r="G239" s="62" t="s">
        <v>88</v>
      </c>
      <c r="H239" s="63"/>
      <c r="I239" s="64"/>
      <c r="J239" s="65" t="s">
        <v>88</v>
      </c>
      <c r="K239" s="66"/>
      <c r="L239" s="67"/>
      <c r="M239" s="68">
        <f>3.3*10^10</f>
        <v>33000000000</v>
      </c>
      <c r="N239" s="68"/>
      <c r="O239" s="69"/>
      <c r="Q239" s="2"/>
      <c r="R239" s="2"/>
      <c r="S239" s="2"/>
      <c r="T239" s="2"/>
      <c r="U239" s="2"/>
      <c r="V239" s="2"/>
      <c r="W239" s="2"/>
      <c r="X239" s="2"/>
      <c r="Y239" s="2"/>
      <c r="Z239" s="2"/>
      <c r="AA239" s="2"/>
      <c r="AB239" s="2"/>
      <c r="AC239" s="2"/>
      <c r="AD239" s="2"/>
      <c r="AE239" s="2"/>
      <c r="AF239" s="105">
        <v>36831</v>
      </c>
      <c r="AG239" s="89">
        <v>377.27100000000002</v>
      </c>
      <c r="AH239" s="89">
        <v>592.82799999999997</v>
      </c>
      <c r="AI239" s="96"/>
      <c r="AJ239" s="112">
        <f t="shared" si="21"/>
        <v>1010.8558854961833</v>
      </c>
      <c r="AK239" s="112">
        <f t="shared" si="20"/>
        <v>1552.1314909090909</v>
      </c>
      <c r="AL239" s="96"/>
      <c r="AM239" s="68"/>
      <c r="AN239" s="68"/>
      <c r="AO239" s="96"/>
      <c r="AP239" s="115">
        <f>AM240*AJ239/SUM(AJ238:AJ240)/(AJ239*10^3*10^3)</f>
        <v>8.0654576287094049</v>
      </c>
      <c r="AQ239" s="114">
        <f>AN240*AK239/SUM(AK238:AK240)/(AK239*10^3*10^3)</f>
        <v>0</v>
      </c>
      <c r="AR239" s="69"/>
      <c r="AS239" s="2"/>
      <c r="AT239" s="20"/>
      <c r="AU239" s="2"/>
      <c r="AV239" s="2"/>
      <c r="AW239" s="2"/>
      <c r="AX239" s="2"/>
      <c r="AY239" s="2"/>
      <c r="DU239" s="5"/>
      <c r="DV239" s="5"/>
      <c r="DW239" s="5"/>
      <c r="DX239" s="5"/>
      <c r="DZ239" s="3"/>
      <c r="EA239" s="3"/>
      <c r="EB239" s="3"/>
      <c r="EC239" s="3"/>
    </row>
    <row r="240" spans="1:133" ht="10.5" customHeight="1" x14ac:dyDescent="0.15">
      <c r="A240" s="23"/>
      <c r="B240" s="74">
        <v>3</v>
      </c>
      <c r="C240" s="71" t="s">
        <v>13</v>
      </c>
      <c r="D240" s="62" t="s">
        <v>88</v>
      </c>
      <c r="E240" s="63"/>
      <c r="F240" s="64"/>
      <c r="G240" s="62" t="s">
        <v>88</v>
      </c>
      <c r="H240" s="63"/>
      <c r="I240" s="64"/>
      <c r="J240" s="65" t="s">
        <v>88</v>
      </c>
      <c r="K240" s="68"/>
      <c r="L240" s="67"/>
      <c r="M240" s="68">
        <f>7.7*10^9</f>
        <v>7700000000</v>
      </c>
      <c r="N240" s="68"/>
      <c r="O240" s="69"/>
      <c r="Q240" s="2"/>
      <c r="R240" s="2"/>
      <c r="S240" s="2"/>
      <c r="T240" s="2"/>
      <c r="U240" s="2"/>
      <c r="V240" s="2"/>
      <c r="W240" s="2"/>
      <c r="X240" s="2"/>
      <c r="Y240" s="2"/>
      <c r="Z240" s="2"/>
      <c r="AA240" s="2"/>
      <c r="AB240" s="2"/>
      <c r="AC240" s="2"/>
      <c r="AD240" s="2"/>
      <c r="AE240" s="2"/>
      <c r="AF240" s="105">
        <v>36861</v>
      </c>
      <c r="AG240" s="89">
        <v>389.71899999999999</v>
      </c>
      <c r="AH240" s="89">
        <v>613.79999999999995</v>
      </c>
      <c r="AI240" s="96"/>
      <c r="AJ240" s="112">
        <f t="shared" si="21"/>
        <v>1044.208923664122</v>
      </c>
      <c r="AK240" s="112">
        <f t="shared" si="20"/>
        <v>1607.0399999999997</v>
      </c>
      <c r="AL240" s="96"/>
      <c r="AM240" s="68">
        <v>25000000000</v>
      </c>
      <c r="AN240" s="68" t="s">
        <v>20</v>
      </c>
      <c r="AO240" s="96"/>
      <c r="AP240" s="115">
        <f>AM240*AJ240/SUM(AJ238:AJ240)/(AJ240*10^3*10^3)</f>
        <v>8.0654576287094049</v>
      </c>
      <c r="AQ240" s="114">
        <f>AN240*AK240/SUM(AK238:AK240)/(AK240*10^3*10^3)</f>
        <v>0</v>
      </c>
      <c r="AR240" s="69"/>
      <c r="AS240" s="2"/>
      <c r="AT240" s="20"/>
      <c r="AU240" s="2"/>
      <c r="AV240" s="2"/>
      <c r="AW240" s="2"/>
      <c r="AX240" s="2"/>
      <c r="AY240" s="2"/>
      <c r="DU240" s="5"/>
      <c r="DV240" s="5"/>
      <c r="DW240" s="5"/>
      <c r="DX240" s="5"/>
      <c r="DZ240" s="3"/>
      <c r="EA240" s="3"/>
      <c r="EB240" s="3"/>
      <c r="EC240" s="3"/>
    </row>
    <row r="241" spans="1:133" ht="10.5" customHeight="1" x14ac:dyDescent="0.15">
      <c r="A241" s="24"/>
      <c r="B241" s="75">
        <v>4</v>
      </c>
      <c r="C241" s="19" t="s">
        <v>15</v>
      </c>
      <c r="D241" s="48" t="s">
        <v>88</v>
      </c>
      <c r="E241" s="49"/>
      <c r="F241" s="42"/>
      <c r="G241" s="48" t="s">
        <v>88</v>
      </c>
      <c r="H241" s="49"/>
      <c r="I241" s="42"/>
      <c r="J241" s="51" t="s">
        <v>88</v>
      </c>
      <c r="K241" s="50"/>
      <c r="L241" s="43"/>
      <c r="M241" s="52">
        <f>1.2*10^10</f>
        <v>12000000000</v>
      </c>
      <c r="N241" s="52"/>
      <c r="O241" s="53"/>
      <c r="Q241" s="2"/>
      <c r="R241" s="2"/>
      <c r="S241" s="2"/>
      <c r="T241" s="2"/>
      <c r="U241" s="2"/>
      <c r="V241" s="2"/>
      <c r="W241" s="2"/>
      <c r="X241" s="2"/>
      <c r="Y241" s="2"/>
      <c r="Z241" s="2"/>
      <c r="AA241" s="2"/>
      <c r="AB241" s="2"/>
      <c r="AC241" s="2"/>
      <c r="AD241" s="2"/>
      <c r="AE241" s="2"/>
      <c r="AF241" s="105">
        <v>36892</v>
      </c>
      <c r="AG241" s="89">
        <v>389.79899999999998</v>
      </c>
      <c r="AH241" s="89">
        <v>613.79999999999995</v>
      </c>
      <c r="AI241" s="96"/>
      <c r="AJ241" s="112">
        <f t="shared" si="21"/>
        <v>1044.4232748091604</v>
      </c>
      <c r="AK241" s="112">
        <f t="shared" si="20"/>
        <v>1607.0399999999997</v>
      </c>
      <c r="AL241" s="96"/>
      <c r="AM241" s="68"/>
      <c r="AN241" s="68"/>
      <c r="AO241" s="96"/>
      <c r="AP241" s="115">
        <f>AM243*AJ241/SUM(AJ241:AJ243)/(AJ241*10^3*10^3)</f>
        <v>2.5742749559499298</v>
      </c>
      <c r="AQ241" s="114">
        <f>AN243*AK241/SUM(AK241:AK243)/(AK241*10^3*10^3)</f>
        <v>0</v>
      </c>
      <c r="AR241" s="115" t="e">
        <f>AO243*AL241/SUM(AL241:AL243)/(AL241*10^3)</f>
        <v>#DIV/0!</v>
      </c>
      <c r="AS241" s="2"/>
      <c r="AT241" s="20"/>
      <c r="AU241" s="2"/>
      <c r="AV241" s="2"/>
      <c r="AW241" s="2"/>
      <c r="AX241" s="2"/>
      <c r="AY241" s="2"/>
      <c r="DU241" s="5"/>
      <c r="DV241" s="5"/>
      <c r="DW241" s="5"/>
      <c r="DX241" s="5"/>
      <c r="DZ241" s="3"/>
      <c r="EA241" s="3"/>
      <c r="EB241" s="3"/>
      <c r="EC241" s="3"/>
    </row>
    <row r="242" spans="1:133" ht="10.5" customHeight="1" x14ac:dyDescent="0.15">
      <c r="A242" s="18" t="s">
        <v>122</v>
      </c>
      <c r="B242" s="73">
        <v>1</v>
      </c>
      <c r="C242" s="70" t="s">
        <v>10</v>
      </c>
      <c r="D242" s="54" t="s">
        <v>88</v>
      </c>
      <c r="E242" s="55"/>
      <c r="F242" s="56"/>
      <c r="G242" s="54" t="s">
        <v>88</v>
      </c>
      <c r="H242" s="55"/>
      <c r="I242" s="56"/>
      <c r="J242" s="57" t="s">
        <v>88</v>
      </c>
      <c r="K242" s="58"/>
      <c r="L242" s="59"/>
      <c r="M242" s="60">
        <f>4.6*10^10</f>
        <v>46000000000</v>
      </c>
      <c r="N242" s="60"/>
      <c r="O242" s="61"/>
      <c r="Q242" s="2"/>
      <c r="R242" s="2"/>
      <c r="S242" s="2"/>
      <c r="T242" s="2"/>
      <c r="U242" s="2"/>
      <c r="V242" s="2"/>
      <c r="W242" s="2"/>
      <c r="X242" s="2"/>
      <c r="Y242" s="2"/>
      <c r="Z242" s="2"/>
      <c r="AA242" s="2"/>
      <c r="AB242" s="2"/>
      <c r="AC242" s="2"/>
      <c r="AD242" s="2"/>
      <c r="AE242" s="2"/>
      <c r="AF242" s="105">
        <v>36923</v>
      </c>
      <c r="AG242" s="89">
        <v>351.84800000000001</v>
      </c>
      <c r="AH242" s="89">
        <v>554.4</v>
      </c>
      <c r="AI242" s="96"/>
      <c r="AJ242" s="112">
        <f t="shared" si="21"/>
        <v>942.73777099236656</v>
      </c>
      <c r="AK242" s="112">
        <f t="shared" si="20"/>
        <v>1451.52</v>
      </c>
      <c r="AL242" s="96"/>
      <c r="AM242" s="68"/>
      <c r="AN242" s="68"/>
      <c r="AO242" s="124"/>
      <c r="AP242" s="115">
        <f>AM243*AJ242/SUM(AJ241:AJ243)/(AJ242*10^3*10^3)</f>
        <v>2.5742749559499303</v>
      </c>
      <c r="AQ242" s="114">
        <f>AN243*AK242/SUM(AK241:AK243)/(AK242*10^3*10^3)</f>
        <v>0</v>
      </c>
      <c r="AR242" s="115" t="e">
        <f>AO243*AL242/SUM(AL241:AL243)/(AL242*10^3)</f>
        <v>#DIV/0!</v>
      </c>
      <c r="AS242" s="2"/>
      <c r="AT242" s="20"/>
      <c r="AU242" s="2"/>
      <c r="AV242" s="2"/>
      <c r="AW242" s="2"/>
      <c r="AX242" s="2"/>
      <c r="AY242" s="2"/>
      <c r="DU242" s="5"/>
      <c r="DV242" s="5"/>
      <c r="DW242" s="5"/>
      <c r="DX242" s="5"/>
      <c r="DZ242" s="3"/>
      <c r="EA242" s="3"/>
      <c r="EB242" s="3"/>
      <c r="EC242" s="3"/>
    </row>
    <row r="243" spans="1:133" ht="10.5" customHeight="1" x14ac:dyDescent="0.15">
      <c r="A243" s="23"/>
      <c r="B243" s="74">
        <v>2</v>
      </c>
      <c r="C243" s="71" t="s">
        <v>11</v>
      </c>
      <c r="D243" s="62" t="s">
        <v>88</v>
      </c>
      <c r="E243" s="63"/>
      <c r="F243" s="64"/>
      <c r="G243" s="62" t="s">
        <v>88</v>
      </c>
      <c r="H243" s="63"/>
      <c r="I243" s="64"/>
      <c r="J243" s="65" t="s">
        <v>88</v>
      </c>
      <c r="K243" s="66"/>
      <c r="L243" s="67"/>
      <c r="M243" s="68">
        <f>9.4*10^9</f>
        <v>9400000000</v>
      </c>
      <c r="N243" s="68"/>
      <c r="O243" s="69"/>
      <c r="Q243" s="2"/>
      <c r="R243" s="2"/>
      <c r="S243" s="2"/>
      <c r="T243" s="2"/>
      <c r="U243" s="2"/>
      <c r="V243" s="2"/>
      <c r="W243" s="2"/>
      <c r="X243" s="2"/>
      <c r="Y243" s="2"/>
      <c r="Z243" s="2"/>
      <c r="AA243" s="2"/>
      <c r="AB243" s="2"/>
      <c r="AC243" s="2"/>
      <c r="AD243" s="2"/>
      <c r="AE243" s="2"/>
      <c r="AF243" s="105">
        <v>36951</v>
      </c>
      <c r="AG243" s="89">
        <v>389.2</v>
      </c>
      <c r="AH243" s="89">
        <v>613.79999999999995</v>
      </c>
      <c r="AI243" s="96"/>
      <c r="AJ243" s="112">
        <f t="shared" si="21"/>
        <v>1042.8183206106871</v>
      </c>
      <c r="AK243" s="112">
        <f t="shared" si="20"/>
        <v>1607.0399999999997</v>
      </c>
      <c r="AL243" s="96"/>
      <c r="AM243" s="68">
        <v>7800000000</v>
      </c>
      <c r="AN243" s="68" t="s">
        <v>48</v>
      </c>
      <c r="AO243" s="124"/>
      <c r="AP243" s="115">
        <f>AM243*AJ243/SUM(AJ241:AJ243)/(AJ243*10^3*10^3)</f>
        <v>2.5742749559499298</v>
      </c>
      <c r="AQ243" s="114">
        <f>AN243*AK243/SUM(AK241:AK243)/(AK243*10^3*10^3)</f>
        <v>0</v>
      </c>
      <c r="AR243" s="115" t="e">
        <f>AO243*AL243/SUM(AL241:AL243)/(AL243*10^3)</f>
        <v>#DIV/0!</v>
      </c>
      <c r="AS243" s="2"/>
      <c r="AT243" s="20"/>
      <c r="AU243" s="2"/>
      <c r="AV243" s="2"/>
      <c r="AW243" s="2"/>
      <c r="AX243" s="2"/>
      <c r="AY243" s="2"/>
      <c r="DU243" s="5"/>
      <c r="DV243" s="5"/>
      <c r="DW243" s="5"/>
      <c r="DX243" s="5"/>
      <c r="DZ243" s="3"/>
      <c r="EA243" s="3"/>
      <c r="EB243" s="3"/>
      <c r="EC243" s="3"/>
    </row>
    <row r="244" spans="1:133" ht="10.5" customHeight="1" x14ac:dyDescent="0.15">
      <c r="A244" s="23"/>
      <c r="B244" s="74">
        <v>3</v>
      </c>
      <c r="C244" s="71" t="s">
        <v>13</v>
      </c>
      <c r="D244" s="62" t="s">
        <v>88</v>
      </c>
      <c r="E244" s="63"/>
      <c r="F244" s="64"/>
      <c r="G244" s="62" t="s">
        <v>88</v>
      </c>
      <c r="H244" s="63"/>
      <c r="I244" s="64"/>
      <c r="J244" s="65" t="s">
        <v>88</v>
      </c>
      <c r="K244" s="68"/>
      <c r="L244" s="67"/>
      <c r="M244" s="68">
        <f>1.1*10^10</f>
        <v>11000000000</v>
      </c>
      <c r="N244" s="68"/>
      <c r="O244" s="69"/>
      <c r="Q244" s="2"/>
      <c r="R244" s="2"/>
      <c r="S244" s="2"/>
      <c r="T244" s="2"/>
      <c r="U244" s="2"/>
      <c r="V244" s="2"/>
      <c r="W244" s="2"/>
      <c r="X244" s="2"/>
      <c r="Y244" s="2"/>
      <c r="Z244" s="2"/>
      <c r="AA244" s="2"/>
      <c r="AB244" s="2"/>
      <c r="AC244" s="2"/>
      <c r="AD244" s="2"/>
      <c r="AE244" s="2"/>
      <c r="AF244" s="104">
        <v>36982</v>
      </c>
      <c r="AG244" s="89">
        <v>334.82600000000002</v>
      </c>
      <c r="AH244" s="89">
        <v>594</v>
      </c>
      <c r="AI244" s="96"/>
      <c r="AJ244" s="112">
        <f t="shared" si="21"/>
        <v>897.12920610687036</v>
      </c>
      <c r="AK244" s="112">
        <f t="shared" si="20"/>
        <v>1555.2</v>
      </c>
      <c r="AL244" s="96"/>
      <c r="AM244" s="68"/>
      <c r="AN244" s="68"/>
      <c r="AO244" s="124"/>
      <c r="AP244" s="114">
        <f>AM246*AJ244/SUM(AJ244:AJ246)/(AJ244*10^3*10^3)</f>
        <v>2.7866666060832581</v>
      </c>
      <c r="AQ244" s="115">
        <f>AN246*AK244/SUM(AK244:AK246)/(AK244*10^3*10^3)</f>
        <v>0.91151132817799496</v>
      </c>
      <c r="AR244" s="114" t="e">
        <f>AO246*AL244/SUM(AL244:AL246)/(AL244*10^3*10^3)</f>
        <v>#DIV/0!</v>
      </c>
      <c r="AS244" s="2"/>
      <c r="AT244" s="20"/>
      <c r="AU244" s="2"/>
      <c r="AV244" s="2"/>
      <c r="AW244" s="2"/>
      <c r="AX244" s="2"/>
      <c r="AY244" s="2"/>
      <c r="DU244" s="5"/>
      <c r="DV244" s="5"/>
      <c r="DW244" s="5"/>
      <c r="DX244" s="5"/>
      <c r="DZ244" s="3"/>
      <c r="EA244" s="3"/>
      <c r="EB244" s="3"/>
      <c r="EC244" s="3"/>
    </row>
    <row r="245" spans="1:133" ht="10.5" customHeight="1" x14ac:dyDescent="0.15">
      <c r="A245" s="24"/>
      <c r="B245" s="75">
        <v>4</v>
      </c>
      <c r="C245" s="19" t="s">
        <v>15</v>
      </c>
      <c r="D245" s="48" t="s">
        <v>88</v>
      </c>
      <c r="E245" s="49"/>
      <c r="F245" s="42"/>
      <c r="G245" s="48" t="s">
        <v>88</v>
      </c>
      <c r="H245" s="49"/>
      <c r="I245" s="42"/>
      <c r="J245" s="51" t="s">
        <v>88</v>
      </c>
      <c r="K245" s="50"/>
      <c r="L245" s="43"/>
      <c r="M245" s="52">
        <f>9.5*10^8</f>
        <v>950000000</v>
      </c>
      <c r="N245" s="52"/>
      <c r="O245" s="53"/>
      <c r="Q245" s="2"/>
      <c r="R245" s="2"/>
      <c r="S245" s="2"/>
      <c r="T245" s="2"/>
      <c r="U245" s="2"/>
      <c r="V245" s="2"/>
      <c r="W245" s="2"/>
      <c r="X245" s="2"/>
      <c r="Y245" s="2"/>
      <c r="Z245" s="2"/>
      <c r="AA245" s="2"/>
      <c r="AB245" s="2"/>
      <c r="AC245" s="2"/>
      <c r="AD245" s="2"/>
      <c r="AE245" s="2"/>
      <c r="AF245" s="104">
        <v>37012</v>
      </c>
      <c r="AG245" s="89">
        <v>0</v>
      </c>
      <c r="AH245" s="89">
        <v>613.79999999999995</v>
      </c>
      <c r="AI245" s="96">
        <v>4.6790000000000003</v>
      </c>
      <c r="AJ245" s="112">
        <f t="shared" si="21"/>
        <v>0</v>
      </c>
      <c r="AK245" s="112">
        <f t="shared" si="20"/>
        <v>1607.0399999999997</v>
      </c>
      <c r="AL245" s="113">
        <f>60*60*60/(82.5*10^6)*AI245*10^6/10^3</f>
        <v>12.250472727272729</v>
      </c>
      <c r="AM245" s="68"/>
      <c r="AN245" s="68"/>
      <c r="AO245" s="124"/>
      <c r="AP245" s="114" t="e">
        <f>AM246*AJ245/SUM(AJ244:AJ246)/(AJ245*10^3*10^3)</f>
        <v>#DIV/0!</v>
      </c>
      <c r="AQ245" s="115">
        <f>AN246*AK245/SUM(AK244:AK246)/(AK245*10^3*10^3)</f>
        <v>0.91151132817799496</v>
      </c>
      <c r="AR245" s="114">
        <f>AO246*AL245/SUM(AL244:AL246)/(AL245*10^3*10^3)</f>
        <v>0</v>
      </c>
      <c r="AS245" s="2"/>
      <c r="AT245" s="20"/>
      <c r="AU245" s="2"/>
      <c r="AV245" s="2"/>
      <c r="AW245" s="2"/>
      <c r="AX245" s="2"/>
      <c r="AY245" s="2"/>
      <c r="DU245" s="5"/>
      <c r="DV245" s="5"/>
      <c r="DW245" s="5"/>
      <c r="DX245" s="5"/>
      <c r="DZ245" s="3"/>
      <c r="EA245" s="3"/>
      <c r="EB245" s="3"/>
      <c r="EC245" s="3"/>
    </row>
    <row r="246" spans="1:133" ht="10.5" customHeight="1" x14ac:dyDescent="0.15">
      <c r="A246" s="18" t="s">
        <v>108</v>
      </c>
      <c r="B246" s="73">
        <v>1</v>
      </c>
      <c r="C246" s="70" t="s">
        <v>10</v>
      </c>
      <c r="D246" s="54" t="s">
        <v>88</v>
      </c>
      <c r="E246" s="55"/>
      <c r="F246" s="56"/>
      <c r="G246" s="54" t="s">
        <v>88</v>
      </c>
      <c r="H246" s="55"/>
      <c r="I246" s="56"/>
      <c r="J246" s="57" t="s">
        <v>88</v>
      </c>
      <c r="K246" s="58"/>
      <c r="L246" s="59"/>
      <c r="M246" s="60">
        <f>2.1*10^9</f>
        <v>2100000000</v>
      </c>
      <c r="N246" s="60"/>
      <c r="O246" s="61"/>
      <c r="Q246" s="2"/>
      <c r="R246" s="2"/>
      <c r="S246" s="2"/>
      <c r="T246" s="2"/>
      <c r="U246" s="2"/>
      <c r="V246" s="2"/>
      <c r="W246" s="2"/>
      <c r="X246" s="2"/>
      <c r="Y246" s="2"/>
      <c r="Z246" s="2"/>
      <c r="AA246" s="2"/>
      <c r="AB246" s="2"/>
      <c r="AC246" s="2"/>
      <c r="AD246" s="2"/>
      <c r="AE246" s="2"/>
      <c r="AF246" s="104">
        <v>37043</v>
      </c>
      <c r="AG246" s="89">
        <v>0</v>
      </c>
      <c r="AH246" s="89">
        <v>594</v>
      </c>
      <c r="AI246" s="96">
        <v>73.613</v>
      </c>
      <c r="AJ246" s="112">
        <f t="shared" si="21"/>
        <v>0</v>
      </c>
      <c r="AK246" s="112">
        <f t="shared" si="20"/>
        <v>1555.2</v>
      </c>
      <c r="AL246" s="113">
        <f t="shared" ref="AL246:AL309" si="22">60*60*60/(82.5*10^6)*AI246*10^6/10^3</f>
        <v>192.73221818181818</v>
      </c>
      <c r="AM246" s="68">
        <v>2500000000</v>
      </c>
      <c r="AN246" s="68">
        <v>4300000000</v>
      </c>
      <c r="AO246" s="69" t="s">
        <v>20</v>
      </c>
      <c r="AP246" s="114" t="e">
        <f>AM246*AJ246/SUM(AJ244:AJ246)/(AJ246*10^3*10^3)</f>
        <v>#DIV/0!</v>
      </c>
      <c r="AQ246" s="115">
        <f>AN246*AK246/SUM(AK244:AK246)/(AK246*10^3*10^3)</f>
        <v>0.91151132817799496</v>
      </c>
      <c r="AR246" s="114">
        <f>AO246*AL246/SUM(AL244:AL246)/(AL246*10^3*10^3)</f>
        <v>0</v>
      </c>
      <c r="AS246" s="2"/>
      <c r="AT246" s="20"/>
      <c r="AU246" s="2"/>
      <c r="AV246" s="2"/>
      <c r="AW246" s="2"/>
      <c r="AX246" s="2"/>
      <c r="AY246" s="2"/>
      <c r="DU246" s="5"/>
      <c r="DV246" s="5"/>
      <c r="DW246" s="5"/>
      <c r="DX246" s="5"/>
      <c r="DZ246" s="3"/>
      <c r="EA246" s="3"/>
      <c r="EB246" s="3"/>
      <c r="EC246" s="3"/>
    </row>
    <row r="247" spans="1:133" ht="10.5" customHeight="1" x14ac:dyDescent="0.15">
      <c r="A247" s="23"/>
      <c r="B247" s="74">
        <v>2</v>
      </c>
      <c r="C247" s="71" t="s">
        <v>11</v>
      </c>
      <c r="D247" s="62" t="s">
        <v>88</v>
      </c>
      <c r="E247" s="63"/>
      <c r="F247" s="64"/>
      <c r="G247" s="62" t="s">
        <v>88</v>
      </c>
      <c r="H247" s="63"/>
      <c r="I247" s="64"/>
      <c r="J247" s="65" t="s">
        <v>88</v>
      </c>
      <c r="K247" s="66"/>
      <c r="L247" s="67"/>
      <c r="M247" s="68">
        <f>2.1*10^10</f>
        <v>21000000000</v>
      </c>
      <c r="N247" s="68"/>
      <c r="O247" s="69"/>
      <c r="Q247" s="2"/>
      <c r="R247" s="2"/>
      <c r="S247" s="2"/>
      <c r="T247" s="2"/>
      <c r="U247" s="2"/>
      <c r="V247" s="2"/>
      <c r="W247" s="2"/>
      <c r="X247" s="2"/>
      <c r="Y247" s="2"/>
      <c r="Z247" s="2"/>
      <c r="AA247" s="2"/>
      <c r="AB247" s="2"/>
      <c r="AC247" s="2"/>
      <c r="AD247" s="2"/>
      <c r="AE247" s="2"/>
      <c r="AF247" s="104">
        <v>37073</v>
      </c>
      <c r="AG247" s="89">
        <v>207.36099999999999</v>
      </c>
      <c r="AH247" s="89">
        <v>613.79999999999995</v>
      </c>
      <c r="AI247" s="96">
        <v>190.47200000000001</v>
      </c>
      <c r="AJ247" s="112">
        <f t="shared" si="21"/>
        <v>555.60084732824441</v>
      </c>
      <c r="AK247" s="112">
        <f t="shared" si="20"/>
        <v>1607.0399999999997</v>
      </c>
      <c r="AL247" s="113">
        <f t="shared" si="22"/>
        <v>498.69032727272725</v>
      </c>
      <c r="AM247" s="68"/>
      <c r="AN247" s="68"/>
      <c r="AO247" s="69"/>
      <c r="AP247" s="114">
        <f>AM249*AJ247/SUM(AJ247:AJ249)/(AJ247*10^3*10^3)</f>
        <v>0.57448120290926052</v>
      </c>
      <c r="AQ247" s="115">
        <f>AN249*AK247/SUM(AK247:AK249)/(AK247*10^3*10^3)</f>
        <v>5.543953170360625E-2</v>
      </c>
      <c r="AR247" s="114">
        <f>AO249*AL247/SUM(AL247:AL249)/(AL247*10^3*10^3)</f>
        <v>0</v>
      </c>
      <c r="AS247" s="2"/>
      <c r="AT247" s="20"/>
      <c r="AU247" s="2"/>
      <c r="AV247" s="2"/>
      <c r="AW247" s="2"/>
      <c r="AX247" s="2"/>
      <c r="AY247" s="2"/>
      <c r="DU247" s="5"/>
      <c r="DV247" s="5"/>
      <c r="DW247" s="5"/>
      <c r="DX247" s="5"/>
      <c r="DZ247" s="3"/>
      <c r="EA247" s="3"/>
      <c r="EB247" s="3"/>
      <c r="EC247" s="3"/>
    </row>
    <row r="248" spans="1:133" ht="10.5" customHeight="1" x14ac:dyDescent="0.15">
      <c r="A248" s="23"/>
      <c r="B248" s="74">
        <v>3</v>
      </c>
      <c r="C248" s="71" t="s">
        <v>13</v>
      </c>
      <c r="D248" s="62" t="s">
        <v>88</v>
      </c>
      <c r="E248" s="63"/>
      <c r="F248" s="64"/>
      <c r="G248" s="62" t="s">
        <v>88</v>
      </c>
      <c r="H248" s="63"/>
      <c r="I248" s="64"/>
      <c r="J248" s="65" t="s">
        <v>88</v>
      </c>
      <c r="K248" s="68"/>
      <c r="L248" s="67"/>
      <c r="M248" s="68">
        <f>5*10^9</f>
        <v>5000000000</v>
      </c>
      <c r="N248" s="68"/>
      <c r="O248" s="69"/>
      <c r="Q248" s="2"/>
      <c r="R248" s="2"/>
      <c r="S248" s="2"/>
      <c r="T248" s="2"/>
      <c r="U248" s="2"/>
      <c r="V248" s="2"/>
      <c r="W248" s="2"/>
      <c r="X248" s="2"/>
      <c r="Y248" s="2"/>
      <c r="Z248" s="2"/>
      <c r="AA248" s="2"/>
      <c r="AB248" s="2"/>
      <c r="AC248" s="2"/>
      <c r="AD248" s="2"/>
      <c r="AE248" s="2"/>
      <c r="AF248" s="104">
        <v>37104</v>
      </c>
      <c r="AG248" s="89">
        <v>389.85500000000002</v>
      </c>
      <c r="AH248" s="89">
        <v>613.79999999999995</v>
      </c>
      <c r="AI248" s="96">
        <v>454.90699999999998</v>
      </c>
      <c r="AJ248" s="112">
        <f t="shared" si="21"/>
        <v>1044.5733206106872</v>
      </c>
      <c r="AK248" s="112">
        <f t="shared" si="20"/>
        <v>1607.0399999999997</v>
      </c>
      <c r="AL248" s="113">
        <f t="shared" si="22"/>
        <v>1191.0292363636363</v>
      </c>
      <c r="AM248" s="68"/>
      <c r="AN248" s="68"/>
      <c r="AO248" s="69"/>
      <c r="AP248" s="114">
        <f>AM249*AJ248/SUM(AJ247:AJ249)/(AJ248*10^3*10^3)</f>
        <v>0.57448120290926041</v>
      </c>
      <c r="AQ248" s="115">
        <f>AN249*AK248/SUM(AK247:AK249)/(AK248*10^3*10^3)</f>
        <v>5.543953170360625E-2</v>
      </c>
      <c r="AR248" s="114">
        <f>AO249*AL248/SUM(AL247:AL249)/(AL248*10^3*10^3)</f>
        <v>0</v>
      </c>
      <c r="AS248" s="2"/>
      <c r="AT248" s="20"/>
      <c r="AU248" s="2"/>
      <c r="AV248" s="2"/>
      <c r="AW248" s="2"/>
      <c r="AX248" s="2"/>
      <c r="AY248" s="2"/>
      <c r="DU248" s="5"/>
      <c r="DV248" s="5"/>
      <c r="DW248" s="5"/>
      <c r="DX248" s="5"/>
      <c r="DZ248" s="3"/>
      <c r="EA248" s="3"/>
      <c r="EB248" s="3"/>
      <c r="EC248" s="3"/>
    </row>
    <row r="249" spans="1:133" ht="10.5" customHeight="1" x14ac:dyDescent="0.15">
      <c r="A249" s="24"/>
      <c r="B249" s="75">
        <v>4</v>
      </c>
      <c r="C249" s="19" t="s">
        <v>15</v>
      </c>
      <c r="D249" s="48" t="s">
        <v>88</v>
      </c>
      <c r="E249" s="49"/>
      <c r="F249" s="42"/>
      <c r="G249" s="48" t="s">
        <v>88</v>
      </c>
      <c r="H249" s="49"/>
      <c r="I249" s="42"/>
      <c r="J249" s="51" t="s">
        <v>88</v>
      </c>
      <c r="K249" s="50"/>
      <c r="L249" s="43"/>
      <c r="M249" s="52">
        <f>3*10^10</f>
        <v>30000000000</v>
      </c>
      <c r="N249" s="52"/>
      <c r="O249" s="53"/>
      <c r="Q249" s="2"/>
      <c r="R249" s="2"/>
      <c r="S249" s="2"/>
      <c r="T249" s="2"/>
      <c r="U249" s="2"/>
      <c r="V249" s="2"/>
      <c r="W249" s="2"/>
      <c r="X249" s="2"/>
      <c r="Y249" s="2"/>
      <c r="Z249" s="2"/>
      <c r="AA249" s="2"/>
      <c r="AB249" s="2"/>
      <c r="AC249" s="2"/>
      <c r="AD249" s="2"/>
      <c r="AE249" s="2"/>
      <c r="AF249" s="104">
        <v>37135</v>
      </c>
      <c r="AG249" s="89">
        <v>377.279</v>
      </c>
      <c r="AH249" s="89">
        <v>494.74700000000001</v>
      </c>
      <c r="AI249" s="96">
        <v>215.37899999999999</v>
      </c>
      <c r="AJ249" s="112">
        <f t="shared" si="21"/>
        <v>1010.8773206106871</v>
      </c>
      <c r="AK249" s="112">
        <f t="shared" si="20"/>
        <v>1295.3376000000001</v>
      </c>
      <c r="AL249" s="113">
        <f t="shared" si="22"/>
        <v>563.90138181818168</v>
      </c>
      <c r="AM249" s="68">
        <v>1500000000</v>
      </c>
      <c r="AN249" s="68">
        <v>250000000</v>
      </c>
      <c r="AO249" s="69" t="s">
        <v>88</v>
      </c>
      <c r="AP249" s="114">
        <f>AM249*AJ249/SUM(AJ247:AJ249)/(AJ249*10^3*10^3)</f>
        <v>0.57448120290926041</v>
      </c>
      <c r="AQ249" s="115">
        <f>AN249*AK249/SUM(AK247:AK249)/(AK249*10^3*10^3)</f>
        <v>5.5439531703606243E-2</v>
      </c>
      <c r="AR249" s="114">
        <f>AO249*AL249/SUM(AL247:AL249)/(AL249*10^3*10^3)</f>
        <v>0</v>
      </c>
      <c r="AS249" s="2"/>
      <c r="AT249" s="20"/>
      <c r="AU249" s="2"/>
      <c r="AV249" s="2"/>
      <c r="AW249" s="2"/>
      <c r="AX249" s="2"/>
      <c r="AY249" s="2"/>
      <c r="DU249" s="5"/>
      <c r="DV249" s="5"/>
      <c r="DW249" s="5"/>
      <c r="DX249" s="5"/>
      <c r="DZ249" s="3"/>
      <c r="EA249" s="3"/>
      <c r="EB249" s="3"/>
      <c r="EC249" s="3"/>
    </row>
    <row r="250" spans="1:133" ht="10.5" customHeight="1" x14ac:dyDescent="0.15">
      <c r="A250" s="18" t="s">
        <v>109</v>
      </c>
      <c r="B250" s="73">
        <v>1</v>
      </c>
      <c r="C250" s="70" t="s">
        <v>10</v>
      </c>
      <c r="D250" s="54" t="s">
        <v>88</v>
      </c>
      <c r="E250" s="55"/>
      <c r="F250" s="56"/>
      <c r="G250" s="54" t="s">
        <v>88</v>
      </c>
      <c r="H250" s="55"/>
      <c r="I250" s="56"/>
      <c r="J250" s="57" t="s">
        <v>88</v>
      </c>
      <c r="K250" s="58"/>
      <c r="L250" s="59"/>
      <c r="M250" s="60">
        <f>1.8*10^9</f>
        <v>1800000000</v>
      </c>
      <c r="N250" s="60"/>
      <c r="O250" s="61"/>
      <c r="Q250" s="2"/>
      <c r="R250" s="2"/>
      <c r="S250" s="2"/>
      <c r="T250" s="2"/>
      <c r="U250" s="2"/>
      <c r="V250" s="2"/>
      <c r="W250" s="2"/>
      <c r="X250" s="2"/>
      <c r="Y250" s="2"/>
      <c r="Z250" s="2"/>
      <c r="AA250" s="2"/>
      <c r="AB250" s="2"/>
      <c r="AC250" s="2"/>
      <c r="AD250" s="2"/>
      <c r="AE250" s="2"/>
      <c r="AF250" s="104">
        <v>37165</v>
      </c>
      <c r="AG250" s="89">
        <v>389.85599999999999</v>
      </c>
      <c r="AH250" s="89">
        <v>506.536</v>
      </c>
      <c r="AI250" s="96">
        <v>365.72199999999998</v>
      </c>
      <c r="AJ250" s="112">
        <f t="shared" si="21"/>
        <v>1044.576</v>
      </c>
      <c r="AK250" s="112">
        <f t="shared" si="20"/>
        <v>1326.2033454545456</v>
      </c>
      <c r="AL250" s="113">
        <f t="shared" si="22"/>
        <v>957.5266909090908</v>
      </c>
      <c r="AM250" s="68"/>
      <c r="AN250" s="68"/>
      <c r="AO250" s="69"/>
      <c r="AP250" s="114">
        <f>AM252*AJ250/SUM(AJ250:AJ252)/(AJ250*10^3*10^3)</f>
        <v>11.935370983107742</v>
      </c>
      <c r="AQ250" s="115">
        <f>AN252*AK250/SUM(AK250:AK252)/(AK250*10^3*10^3)</f>
        <v>1.9437532495090211</v>
      </c>
      <c r="AR250" s="114">
        <f>AO252*AL250/SUM(AL250:AL252)/(AL250*10^3*10^3)</f>
        <v>0</v>
      </c>
      <c r="AS250" s="2"/>
      <c r="AT250" s="20"/>
      <c r="AU250" s="2"/>
      <c r="AV250" s="2"/>
      <c r="AW250" s="2"/>
      <c r="AX250" s="2"/>
      <c r="AY250" s="2"/>
      <c r="DU250" s="5"/>
      <c r="DV250" s="5"/>
      <c r="DW250" s="5"/>
      <c r="DX250" s="5"/>
      <c r="DZ250" s="3"/>
      <c r="EA250" s="3"/>
      <c r="EB250" s="3"/>
      <c r="EC250" s="3"/>
    </row>
    <row r="251" spans="1:133" ht="10.5" customHeight="1" x14ac:dyDescent="0.15">
      <c r="A251" s="23"/>
      <c r="B251" s="74">
        <v>2</v>
      </c>
      <c r="C251" s="71" t="s">
        <v>11</v>
      </c>
      <c r="D251" s="62" t="s">
        <v>88</v>
      </c>
      <c r="E251" s="63"/>
      <c r="F251" s="64"/>
      <c r="G251" s="62" t="s">
        <v>88</v>
      </c>
      <c r="H251" s="63"/>
      <c r="I251" s="64"/>
      <c r="J251" s="65" t="s">
        <v>88</v>
      </c>
      <c r="K251" s="66"/>
      <c r="L251" s="67"/>
      <c r="M251" s="68">
        <f>2.6*10^9</f>
        <v>2600000000</v>
      </c>
      <c r="N251" s="68"/>
      <c r="O251" s="69"/>
      <c r="Q251" s="2"/>
      <c r="R251" s="2"/>
      <c r="S251" s="2"/>
      <c r="T251" s="2"/>
      <c r="U251" s="2"/>
      <c r="V251" s="2"/>
      <c r="W251" s="2"/>
      <c r="X251" s="2"/>
      <c r="Y251" s="2"/>
      <c r="Z251" s="2"/>
      <c r="AA251" s="2"/>
      <c r="AB251" s="2"/>
      <c r="AC251" s="2"/>
      <c r="AD251" s="2"/>
      <c r="AE251" s="2"/>
      <c r="AF251" s="104">
        <v>37196</v>
      </c>
      <c r="AG251" s="89">
        <v>377.279</v>
      </c>
      <c r="AH251" s="89">
        <v>593.81100000000004</v>
      </c>
      <c r="AI251" s="96">
        <v>144.32400000000001</v>
      </c>
      <c r="AJ251" s="112">
        <f t="shared" si="21"/>
        <v>1010.8773206106871</v>
      </c>
      <c r="AK251" s="112">
        <f t="shared" si="20"/>
        <v>1554.7051636363637</v>
      </c>
      <c r="AL251" s="113">
        <f t="shared" si="22"/>
        <v>377.86647272727276</v>
      </c>
      <c r="AM251" s="68"/>
      <c r="AN251" s="68"/>
      <c r="AO251" s="69"/>
      <c r="AP251" s="114">
        <f>AM252*AJ251/SUM(AJ250:AJ252)/(AJ251*10^3*10^3)</f>
        <v>11.93537098310774</v>
      </c>
      <c r="AQ251" s="115">
        <f>AN252*AK251/SUM(AK250:AK252)/(AK251*10^3*10^3)</f>
        <v>1.9437532495090211</v>
      </c>
      <c r="AR251" s="114">
        <f>AO252*AL251/SUM(AL250:AL252)/(AL251*10^3*10^3)</f>
        <v>0</v>
      </c>
      <c r="AS251" s="2"/>
      <c r="AT251" s="20"/>
      <c r="AU251" s="2"/>
      <c r="AV251" s="2"/>
      <c r="AW251" s="2"/>
      <c r="AX251" s="2"/>
      <c r="AY251" s="2"/>
      <c r="DU251" s="5"/>
      <c r="DV251" s="5"/>
      <c r="DW251" s="5"/>
      <c r="DX251" s="5"/>
      <c r="DZ251" s="3"/>
      <c r="EA251" s="3"/>
      <c r="EB251" s="3"/>
      <c r="EC251" s="3"/>
    </row>
    <row r="252" spans="1:133" ht="10.5" customHeight="1" x14ac:dyDescent="0.15">
      <c r="A252" s="23"/>
      <c r="B252" s="74">
        <v>3</v>
      </c>
      <c r="C252" s="71" t="s">
        <v>13</v>
      </c>
      <c r="D252" s="62" t="s">
        <v>88</v>
      </c>
      <c r="E252" s="63"/>
      <c r="F252" s="64"/>
      <c r="G252" s="62" t="s">
        <v>88</v>
      </c>
      <c r="H252" s="63"/>
      <c r="I252" s="64"/>
      <c r="J252" s="65" t="s">
        <v>88</v>
      </c>
      <c r="K252" s="68"/>
      <c r="L252" s="67"/>
      <c r="M252" s="68">
        <f>2.7*10^10</f>
        <v>27000000000</v>
      </c>
      <c r="N252" s="68"/>
      <c r="O252" s="69"/>
      <c r="Q252" s="2"/>
      <c r="R252" s="2"/>
      <c r="S252" s="2"/>
      <c r="T252" s="2"/>
      <c r="U252" s="2"/>
      <c r="V252" s="2"/>
      <c r="W252" s="2"/>
      <c r="X252" s="2"/>
      <c r="Y252" s="2"/>
      <c r="Z252" s="2"/>
      <c r="AA252" s="2"/>
      <c r="AB252" s="2"/>
      <c r="AC252" s="2"/>
      <c r="AD252" s="2"/>
      <c r="AE252" s="2"/>
      <c r="AF252" s="104">
        <v>37226</v>
      </c>
      <c r="AG252" s="89">
        <v>389.85599999999999</v>
      </c>
      <c r="AH252" s="89">
        <v>393.041</v>
      </c>
      <c r="AI252" s="96">
        <v>209.27500000000001</v>
      </c>
      <c r="AJ252" s="112">
        <f t="shared" si="21"/>
        <v>1044.576</v>
      </c>
      <c r="AK252" s="112">
        <f t="shared" si="20"/>
        <v>1029.0527999999999</v>
      </c>
      <c r="AL252" s="113">
        <f t="shared" si="22"/>
        <v>547.91999999999996</v>
      </c>
      <c r="AM252" s="68">
        <v>37000000000</v>
      </c>
      <c r="AN252" s="68">
        <v>7600000000</v>
      </c>
      <c r="AO252" s="69" t="s">
        <v>88</v>
      </c>
      <c r="AP252" s="114">
        <f>AM252*AJ252/SUM(AJ250:AJ252)/(AJ252*10^3*10^3)</f>
        <v>11.935370983107742</v>
      </c>
      <c r="AQ252" s="115">
        <f>AN252*AK252/SUM(AK250:AK252)/(AK252*10^3*10^3)</f>
        <v>1.9437532495090208</v>
      </c>
      <c r="AR252" s="114">
        <f>AO252*AL252/SUM(AL250:AL252)/(AL252*10^3*10^3)</f>
        <v>0</v>
      </c>
      <c r="AS252" s="2"/>
      <c r="AT252" s="20"/>
      <c r="AU252" s="2"/>
      <c r="AV252" s="2"/>
      <c r="AW252" s="2"/>
      <c r="AX252" s="2"/>
      <c r="AY252" s="2"/>
      <c r="DU252" s="5"/>
      <c r="DV252" s="5"/>
      <c r="DW252" s="5"/>
      <c r="DX252" s="5"/>
      <c r="DZ252" s="3"/>
      <c r="EA252" s="3"/>
      <c r="EB252" s="3"/>
      <c r="EC252" s="3"/>
    </row>
    <row r="253" spans="1:133" ht="10.5" customHeight="1" x14ac:dyDescent="0.15">
      <c r="A253" s="24"/>
      <c r="B253" s="75">
        <v>4</v>
      </c>
      <c r="C253" s="19" t="s">
        <v>15</v>
      </c>
      <c r="D253" s="48" t="s">
        <v>88</v>
      </c>
      <c r="E253" s="49"/>
      <c r="F253" s="42"/>
      <c r="G253" s="48" t="s">
        <v>88</v>
      </c>
      <c r="H253" s="49"/>
      <c r="I253" s="42"/>
      <c r="J253" s="51" t="s">
        <v>88</v>
      </c>
      <c r="K253" s="50"/>
      <c r="L253" s="43"/>
      <c r="M253" s="52">
        <f>6.2*10^9</f>
        <v>6200000000</v>
      </c>
      <c r="N253" s="52"/>
      <c r="O253" s="53"/>
      <c r="Q253" s="2"/>
      <c r="R253" s="2"/>
      <c r="S253" s="2"/>
      <c r="T253" s="2"/>
      <c r="U253" s="2"/>
      <c r="V253" s="2"/>
      <c r="W253" s="2"/>
      <c r="X253" s="2"/>
      <c r="Y253" s="2"/>
      <c r="Z253" s="2"/>
      <c r="AA253" s="2"/>
      <c r="AB253" s="2"/>
      <c r="AC253" s="2"/>
      <c r="AD253" s="2"/>
      <c r="AE253" s="2"/>
      <c r="AF253" s="104">
        <v>37257</v>
      </c>
      <c r="AG253" s="89">
        <v>389.85599999999999</v>
      </c>
      <c r="AH253" s="89">
        <v>0</v>
      </c>
      <c r="AI253" s="96">
        <v>491.53800000000001</v>
      </c>
      <c r="AJ253" s="112">
        <f t="shared" si="21"/>
        <v>1044.576</v>
      </c>
      <c r="AK253" s="112">
        <f t="shared" si="20"/>
        <v>0</v>
      </c>
      <c r="AL253" s="113">
        <f t="shared" si="22"/>
        <v>1286.9358545454545</v>
      </c>
      <c r="AM253" s="68"/>
      <c r="AN253" s="68"/>
      <c r="AO253" s="69"/>
      <c r="AP253" s="114">
        <f>AM255*AJ253/SUM(AJ253:AJ255)/(AJ253*10^3*10^3)</f>
        <v>2.5390418908937424</v>
      </c>
      <c r="AQ253" s="115" t="e">
        <f>AN255*AK253/SUM(AK253:AK255)/(AK253*10^3*10^3)</f>
        <v>#DIV/0!</v>
      </c>
      <c r="AR253" s="114">
        <f>AO255*AL253/SUM(AL253:AL255)/(AL253*10^3*10^3)</f>
        <v>0</v>
      </c>
      <c r="AS253" s="2"/>
      <c r="AT253" s="20"/>
      <c r="AU253" s="2"/>
      <c r="AV253" s="2"/>
      <c r="AW253" s="2"/>
      <c r="AX253" s="2"/>
      <c r="AY253" s="2"/>
      <c r="DU253" s="5"/>
      <c r="DV253" s="5"/>
      <c r="DW253" s="5"/>
      <c r="DX253" s="5"/>
      <c r="DZ253" s="3"/>
      <c r="EA253" s="3"/>
      <c r="EB253" s="3"/>
      <c r="EC253" s="3"/>
    </row>
    <row r="254" spans="1:133" ht="10.5" customHeight="1" x14ac:dyDescent="0.15">
      <c r="A254" s="18" t="s">
        <v>123</v>
      </c>
      <c r="B254" s="73">
        <v>1</v>
      </c>
      <c r="C254" s="70" t="s">
        <v>10</v>
      </c>
      <c r="D254" s="54" t="s">
        <v>88</v>
      </c>
      <c r="E254" s="55"/>
      <c r="F254" s="56"/>
      <c r="G254" s="54" t="s">
        <v>88</v>
      </c>
      <c r="H254" s="55"/>
      <c r="I254" s="56"/>
      <c r="J254" s="57" t="s">
        <v>88</v>
      </c>
      <c r="K254" s="58"/>
      <c r="L254" s="59"/>
      <c r="M254" s="60">
        <f>1*10^10</f>
        <v>10000000000</v>
      </c>
      <c r="N254" s="60"/>
      <c r="O254" s="61"/>
      <c r="Q254" s="2"/>
      <c r="R254" s="2"/>
      <c r="S254" s="2"/>
      <c r="T254" s="2"/>
      <c r="U254" s="2"/>
      <c r="V254" s="2"/>
      <c r="W254" s="2"/>
      <c r="X254" s="2"/>
      <c r="Y254" s="2"/>
      <c r="Z254" s="2"/>
      <c r="AA254" s="2"/>
      <c r="AB254" s="2"/>
      <c r="AC254" s="2"/>
      <c r="AD254" s="2"/>
      <c r="AE254" s="2"/>
      <c r="AF254" s="104">
        <v>37288</v>
      </c>
      <c r="AG254" s="89">
        <v>352.12799999999999</v>
      </c>
      <c r="AH254" s="89">
        <v>0</v>
      </c>
      <c r="AI254" s="96">
        <v>554.4</v>
      </c>
      <c r="AJ254" s="112">
        <f t="shared" si="21"/>
        <v>943.48800000000006</v>
      </c>
      <c r="AK254" s="112">
        <f t="shared" si="20"/>
        <v>0</v>
      </c>
      <c r="AL254" s="113">
        <f t="shared" si="22"/>
        <v>1451.52</v>
      </c>
      <c r="AM254" s="68"/>
      <c r="AN254" s="68"/>
      <c r="AO254" s="69"/>
      <c r="AP254" s="114">
        <f>AM255*AJ254/SUM(AJ253:AJ255)/(AJ254*10^3*10^3)</f>
        <v>2.5390418908937424</v>
      </c>
      <c r="AQ254" s="115" t="e">
        <f>AN255*AK254/SUM(AK253:AK255)/(AK254*10^3*10^3)</f>
        <v>#DIV/0!</v>
      </c>
      <c r="AR254" s="114">
        <f>AO255*AL254/SUM(AL253:AL255)/(AL254*10^3*10^3)</f>
        <v>0</v>
      </c>
      <c r="AS254" s="2"/>
      <c r="AT254" s="20"/>
      <c r="AU254" s="2"/>
      <c r="AV254" s="2"/>
      <c r="AW254" s="2"/>
      <c r="AX254" s="2"/>
      <c r="AY254" s="2"/>
      <c r="DU254" s="5"/>
      <c r="DV254" s="5"/>
      <c r="DW254" s="5"/>
      <c r="DX254" s="5"/>
      <c r="DZ254" s="3"/>
      <c r="EA254" s="3"/>
      <c r="EB254" s="3"/>
      <c r="EC254" s="3"/>
    </row>
    <row r="255" spans="1:133" ht="10.5" customHeight="1" x14ac:dyDescent="0.15">
      <c r="A255" s="23"/>
      <c r="B255" s="74">
        <v>2</v>
      </c>
      <c r="C255" s="71" t="s">
        <v>11</v>
      </c>
      <c r="D255" s="62" t="s">
        <v>88</v>
      </c>
      <c r="E255" s="63"/>
      <c r="F255" s="64"/>
      <c r="G255" s="62" t="s">
        <v>88</v>
      </c>
      <c r="H255" s="63"/>
      <c r="I255" s="64"/>
      <c r="J255" s="65" t="s">
        <v>88</v>
      </c>
      <c r="K255" s="66"/>
      <c r="L255" s="67"/>
      <c r="M255" s="68">
        <f>3.5*10^10</f>
        <v>35000000000</v>
      </c>
      <c r="N255" s="68"/>
      <c r="O255" s="69"/>
      <c r="Q255" s="2"/>
      <c r="R255" s="2"/>
      <c r="S255" s="2"/>
      <c r="T255" s="2"/>
      <c r="U255" s="2"/>
      <c r="V255" s="2"/>
      <c r="W255" s="2"/>
      <c r="X255" s="2"/>
      <c r="Y255" s="2"/>
      <c r="Z255" s="2"/>
      <c r="AA255" s="2"/>
      <c r="AB255" s="2"/>
      <c r="AC255" s="2"/>
      <c r="AD255" s="2"/>
      <c r="AE255" s="2"/>
      <c r="AF255" s="104">
        <v>37316</v>
      </c>
      <c r="AG255" s="89">
        <v>389.85599999999999</v>
      </c>
      <c r="AH255" s="89">
        <v>0</v>
      </c>
      <c r="AI255" s="96">
        <v>613.72199999999998</v>
      </c>
      <c r="AJ255" s="112">
        <f t="shared" si="21"/>
        <v>1044.576</v>
      </c>
      <c r="AK255" s="112">
        <f t="shared" si="20"/>
        <v>0</v>
      </c>
      <c r="AL255" s="113">
        <f t="shared" si="22"/>
        <v>1606.8357818181817</v>
      </c>
      <c r="AM255" s="68">
        <v>7700000000</v>
      </c>
      <c r="AN255" s="68" t="s">
        <v>20</v>
      </c>
      <c r="AO255" s="69" t="s">
        <v>88</v>
      </c>
      <c r="AP255" s="114">
        <f>AM255*AJ255/SUM(AJ253:AJ255)/(AJ255*10^3*10^3)</f>
        <v>2.5390418908937424</v>
      </c>
      <c r="AQ255" s="115" t="e">
        <f>AN255*AK255/SUM(AK253:AK255)/(AK255*10^3*10^3)</f>
        <v>#DIV/0!</v>
      </c>
      <c r="AR255" s="114">
        <f>AO255*AL255/SUM(AL253:AL255)/(AL255*10^3*10^3)</f>
        <v>0</v>
      </c>
      <c r="AS255" s="2"/>
      <c r="AT255" s="20"/>
      <c r="AU255" s="2"/>
      <c r="AV255" s="2"/>
      <c r="AW255" s="2"/>
      <c r="AX255" s="2"/>
      <c r="AY255" s="2"/>
      <c r="DU255" s="5"/>
      <c r="DV255" s="5"/>
      <c r="DW255" s="5"/>
      <c r="DX255" s="5"/>
      <c r="DZ255" s="3"/>
      <c r="EA255" s="3"/>
      <c r="EB255" s="3"/>
      <c r="EC255" s="3"/>
    </row>
    <row r="256" spans="1:133" ht="10.5" customHeight="1" x14ac:dyDescent="0.15">
      <c r="A256" s="23"/>
      <c r="B256" s="74">
        <v>3</v>
      </c>
      <c r="C256" s="71" t="s">
        <v>13</v>
      </c>
      <c r="D256" s="62" t="s">
        <v>88</v>
      </c>
      <c r="E256" s="63"/>
      <c r="F256" s="64"/>
      <c r="G256" s="62" t="s">
        <v>88</v>
      </c>
      <c r="H256" s="63"/>
      <c r="I256" s="64"/>
      <c r="J256" s="65" t="s">
        <v>88</v>
      </c>
      <c r="K256" s="68"/>
      <c r="L256" s="67"/>
      <c r="M256" s="68">
        <f>2.1*10^10</f>
        <v>21000000000</v>
      </c>
      <c r="N256" s="68"/>
      <c r="O256" s="69"/>
      <c r="Q256" s="2"/>
      <c r="R256" s="2"/>
      <c r="S256" s="2"/>
      <c r="T256" s="2"/>
      <c r="U256" s="2"/>
      <c r="V256" s="2"/>
      <c r="W256" s="2"/>
      <c r="X256" s="2"/>
      <c r="Y256" s="2"/>
      <c r="Z256" s="2"/>
      <c r="AA256" s="2"/>
      <c r="AB256" s="2"/>
      <c r="AC256" s="2"/>
      <c r="AD256" s="2"/>
      <c r="AE256" s="2"/>
      <c r="AF256" s="105">
        <v>37347</v>
      </c>
      <c r="AG256" s="89">
        <v>377.28</v>
      </c>
      <c r="AH256" s="89">
        <v>559.69000000000005</v>
      </c>
      <c r="AI256" s="96">
        <v>594</v>
      </c>
      <c r="AJ256" s="112">
        <f t="shared" si="21"/>
        <v>1010.88</v>
      </c>
      <c r="AK256" s="112">
        <f t="shared" si="20"/>
        <v>1465.3701818181819</v>
      </c>
      <c r="AL256" s="113">
        <f t="shared" si="22"/>
        <v>1555.2</v>
      </c>
      <c r="AM256" s="68"/>
      <c r="AN256" s="68"/>
      <c r="AO256" s="69"/>
      <c r="AP256" s="115">
        <f>AM258*AJ256/SUM(AJ256:AJ258)/(AJ256*10^3*10^3)</f>
        <v>0.27394258163488933</v>
      </c>
      <c r="AQ256" s="114">
        <f>AN258*AK256/SUM(AK256:AK258)/(AK256*10^3*10^3)</f>
        <v>0</v>
      </c>
      <c r="AR256" s="115">
        <f>AO258*AL256/SUM(AL256:AL258)/(AL256*10^3*10^3)</f>
        <v>0</v>
      </c>
      <c r="AS256" s="2"/>
      <c r="AT256" s="20"/>
      <c r="AU256" s="2"/>
      <c r="AV256" s="2"/>
      <c r="AW256" s="2"/>
      <c r="AX256" s="2"/>
      <c r="AY256" s="2"/>
      <c r="DU256" s="5"/>
      <c r="DV256" s="5"/>
      <c r="DW256" s="5"/>
      <c r="DX256" s="5"/>
      <c r="DZ256" s="3"/>
      <c r="EA256" s="3"/>
      <c r="EB256" s="3"/>
      <c r="EC256" s="3"/>
    </row>
    <row r="257" spans="1:138" s="14" customFormat="1" ht="10.5" customHeight="1" x14ac:dyDescent="0.15">
      <c r="A257" s="24"/>
      <c r="B257" s="75">
        <v>4</v>
      </c>
      <c r="C257" s="19" t="s">
        <v>15</v>
      </c>
      <c r="D257" s="48" t="s">
        <v>88</v>
      </c>
      <c r="E257" s="49"/>
      <c r="F257" s="42"/>
      <c r="G257" s="48" t="s">
        <v>88</v>
      </c>
      <c r="H257" s="49"/>
      <c r="I257" s="42"/>
      <c r="J257" s="51" t="s">
        <v>88</v>
      </c>
      <c r="K257" s="50"/>
      <c r="L257" s="43"/>
      <c r="M257" s="52">
        <f>2.5*10^10</f>
        <v>25000000000</v>
      </c>
      <c r="N257" s="52"/>
      <c r="O257" s="53"/>
      <c r="P257" s="3"/>
      <c r="Q257" s="2"/>
      <c r="R257" s="2"/>
      <c r="S257" s="2"/>
      <c r="T257" s="2"/>
      <c r="U257" s="2"/>
      <c r="V257" s="2"/>
      <c r="W257" s="2"/>
      <c r="X257" s="2"/>
      <c r="Y257" s="2"/>
      <c r="Z257" s="2"/>
      <c r="AA257" s="2"/>
      <c r="AB257" s="2"/>
      <c r="AC257" s="2"/>
      <c r="AD257" s="2"/>
      <c r="AE257" s="2"/>
      <c r="AF257" s="105">
        <v>37377</v>
      </c>
      <c r="AG257" s="89">
        <v>389.85599999999999</v>
      </c>
      <c r="AH257" s="89">
        <v>613.79999999999995</v>
      </c>
      <c r="AI257" s="96">
        <v>613.79999999999995</v>
      </c>
      <c r="AJ257" s="112">
        <f t="shared" si="21"/>
        <v>1044.576</v>
      </c>
      <c r="AK257" s="112">
        <f t="shared" si="20"/>
        <v>1607.0399999999997</v>
      </c>
      <c r="AL257" s="113">
        <f t="shared" si="22"/>
        <v>1607.0399999999997</v>
      </c>
      <c r="AM257" s="68"/>
      <c r="AN257" s="68"/>
      <c r="AO257" s="69"/>
      <c r="AP257" s="115">
        <f>AM258*AJ257/SUM(AJ256:AJ258)/(AJ257*10^3*10^3)</f>
        <v>0.27394258163488933</v>
      </c>
      <c r="AQ257" s="114">
        <f>AN258*AK257/SUM(AK256:AK258)/(AK257*10^3*10^3)</f>
        <v>0</v>
      </c>
      <c r="AR257" s="115">
        <f>AO258*AL257/SUM(AL256:AL258)/(AL257*10^3*10^3)</f>
        <v>0</v>
      </c>
      <c r="AT257" s="15"/>
      <c r="AZ257" s="15"/>
      <c r="BA257" s="15"/>
      <c r="BB257" s="15"/>
      <c r="BC257" s="15"/>
      <c r="BD257" s="15"/>
      <c r="BE257" s="15"/>
      <c r="BF257" s="15"/>
      <c r="BG257" s="15"/>
      <c r="BH257" s="15"/>
      <c r="BI257" s="16"/>
      <c r="BJ257" s="17"/>
      <c r="BK257" s="17"/>
      <c r="BL257" s="17"/>
      <c r="BM257" s="17"/>
      <c r="BN257" s="17"/>
      <c r="BO257" s="17"/>
      <c r="BP257" s="17"/>
      <c r="BQ257" s="17"/>
      <c r="BR257" s="17"/>
      <c r="BS257" s="17"/>
      <c r="BT257" s="17"/>
      <c r="BU257" s="17"/>
      <c r="BV257" s="17"/>
      <c r="BW257" s="17"/>
      <c r="BX257" s="17"/>
      <c r="BY257" s="17"/>
      <c r="BZ257" s="17"/>
      <c r="CA257" s="17"/>
      <c r="CB257" s="17"/>
      <c r="CC257" s="17"/>
      <c r="CD257" s="17"/>
      <c r="CE257" s="17"/>
      <c r="CF257" s="17"/>
      <c r="CG257" s="17"/>
      <c r="CH257" s="17"/>
      <c r="CI257" s="17"/>
      <c r="CJ257" s="17"/>
      <c r="CL257" s="15"/>
      <c r="CM257" s="15"/>
      <c r="CN257" s="15"/>
      <c r="CO257" s="15"/>
      <c r="CP257" s="15"/>
      <c r="CQ257" s="15"/>
      <c r="CR257" s="15"/>
      <c r="CS257" s="15"/>
      <c r="CT257" s="15"/>
      <c r="CU257" s="15"/>
      <c r="CV257" s="15"/>
      <c r="CW257" s="15"/>
      <c r="CX257" s="16"/>
      <c r="CY257" s="17"/>
      <c r="CZ257" s="17"/>
      <c r="DA257" s="17"/>
      <c r="DB257" s="17"/>
      <c r="DC257" s="17"/>
      <c r="DD257" s="17"/>
      <c r="DE257" s="17"/>
      <c r="DF257" s="17"/>
      <c r="DG257" s="17"/>
      <c r="DH257" s="17"/>
      <c r="DI257" s="17"/>
      <c r="DJ257" s="17"/>
      <c r="DK257" s="17"/>
      <c r="DL257" s="17"/>
      <c r="DM257" s="17"/>
      <c r="DN257" s="17"/>
      <c r="DO257" s="17"/>
      <c r="DP257" s="17"/>
      <c r="DQ257" s="17"/>
      <c r="DR257" s="17"/>
      <c r="DS257" s="17"/>
      <c r="DT257" s="17"/>
      <c r="DU257" s="17"/>
      <c r="DV257" s="17"/>
      <c r="DW257" s="17"/>
      <c r="DX257" s="17"/>
      <c r="DY257" s="15"/>
      <c r="DZ257" s="15"/>
      <c r="EA257" s="15"/>
      <c r="EB257" s="15"/>
      <c r="EC257" s="15"/>
    </row>
    <row r="258" spans="1:138" ht="10.5" customHeight="1" x14ac:dyDescent="0.15">
      <c r="A258" s="18" t="s">
        <v>111</v>
      </c>
      <c r="B258" s="73">
        <v>1</v>
      </c>
      <c r="C258" s="70" t="s">
        <v>10</v>
      </c>
      <c r="D258" s="54" t="s">
        <v>88</v>
      </c>
      <c r="E258" s="55"/>
      <c r="F258" s="56"/>
      <c r="G258" s="54" t="s">
        <v>88</v>
      </c>
      <c r="H258" s="55"/>
      <c r="I258" s="56"/>
      <c r="J258" s="57" t="s">
        <v>88</v>
      </c>
      <c r="K258" s="58"/>
      <c r="L258" s="59"/>
      <c r="M258" s="60">
        <f>6*10^9</f>
        <v>6000000000</v>
      </c>
      <c r="N258" s="60"/>
      <c r="O258" s="61"/>
      <c r="Q258" s="2"/>
      <c r="R258" s="2"/>
      <c r="S258" s="2"/>
      <c r="T258" s="2"/>
      <c r="U258" s="2"/>
      <c r="V258" s="2"/>
      <c r="W258" s="2"/>
      <c r="X258" s="2"/>
      <c r="Y258" s="2"/>
      <c r="Z258" s="2"/>
      <c r="AA258" s="2"/>
      <c r="AB258" s="2"/>
      <c r="AC258" s="2"/>
      <c r="AD258" s="2"/>
      <c r="AE258" s="2"/>
      <c r="AF258" s="105">
        <v>37408</v>
      </c>
      <c r="AG258" s="89">
        <v>377.28</v>
      </c>
      <c r="AH258" s="89">
        <v>426.21899999999999</v>
      </c>
      <c r="AI258" s="96">
        <v>594</v>
      </c>
      <c r="AJ258" s="112">
        <f t="shared" si="21"/>
        <v>1010.88</v>
      </c>
      <c r="AK258" s="112">
        <f t="shared" si="20"/>
        <v>1115.9188363636365</v>
      </c>
      <c r="AL258" s="113">
        <f t="shared" si="22"/>
        <v>1555.2</v>
      </c>
      <c r="AM258" s="68">
        <v>840000000</v>
      </c>
      <c r="AN258" s="68" t="s">
        <v>20</v>
      </c>
      <c r="AO258" s="69" t="s">
        <v>88</v>
      </c>
      <c r="AP258" s="115">
        <f>AM258*AJ258/SUM(AJ256:AJ258)/(AJ258*10^3*10^3)</f>
        <v>0.27394258163488933</v>
      </c>
      <c r="AQ258" s="114">
        <f>AN258*AK258/SUM(AK256:AK258)/(AK258*10^3*10^3)</f>
        <v>0</v>
      </c>
      <c r="AR258" s="115">
        <f>AO258*AL258/SUM(AL256:AL258)/(AL258*10^3*10^3)</f>
        <v>0</v>
      </c>
      <c r="AS258" s="2"/>
      <c r="AU258" s="2"/>
      <c r="AV258" s="2"/>
      <c r="AW258" s="2"/>
      <c r="AX258" s="2"/>
      <c r="AY258" s="2"/>
      <c r="DU258" s="2"/>
    </row>
    <row r="259" spans="1:138" ht="10.5" customHeight="1" x14ac:dyDescent="0.15">
      <c r="A259" s="23"/>
      <c r="B259" s="74">
        <v>2</v>
      </c>
      <c r="C259" s="71" t="s">
        <v>11</v>
      </c>
      <c r="D259" s="62" t="s">
        <v>88</v>
      </c>
      <c r="E259" s="63"/>
      <c r="F259" s="64"/>
      <c r="G259" s="62" t="s">
        <v>88</v>
      </c>
      <c r="H259" s="63"/>
      <c r="I259" s="64"/>
      <c r="J259" s="65" t="s">
        <v>88</v>
      </c>
      <c r="K259" s="66"/>
      <c r="L259" s="67"/>
      <c r="M259" s="68">
        <f>5.2*10^9</f>
        <v>5200000000</v>
      </c>
      <c r="N259" s="68"/>
      <c r="O259" s="69"/>
      <c r="Q259" s="2"/>
      <c r="R259" s="2"/>
      <c r="S259" s="2"/>
      <c r="T259" s="2"/>
      <c r="U259" s="2"/>
      <c r="V259" s="2"/>
      <c r="W259" s="2"/>
      <c r="X259" s="2"/>
      <c r="Y259" s="2"/>
      <c r="Z259" s="2"/>
      <c r="AA259" s="2"/>
      <c r="AB259" s="2"/>
      <c r="AC259" s="2"/>
      <c r="AD259" s="2"/>
      <c r="AE259" s="2"/>
      <c r="AF259" s="105">
        <v>37438</v>
      </c>
      <c r="AG259" s="89">
        <v>389.75200000000001</v>
      </c>
      <c r="AH259" s="89">
        <v>613.79999999999995</v>
      </c>
      <c r="AI259" s="96">
        <v>613.79999999999995</v>
      </c>
      <c r="AJ259" s="112">
        <f t="shared" si="21"/>
        <v>1044.2973435114504</v>
      </c>
      <c r="AK259" s="112">
        <f t="shared" si="20"/>
        <v>1607.0399999999997</v>
      </c>
      <c r="AL259" s="113">
        <f t="shared" si="22"/>
        <v>1607.0399999999997</v>
      </c>
      <c r="AM259" s="68"/>
      <c r="AN259" s="68"/>
      <c r="AO259" s="69"/>
      <c r="AP259" s="115">
        <f>AM261*AJ259/SUM(AJ259:AJ261)/(AJ259*10^3*10^3)</f>
        <v>18.50637586536773</v>
      </c>
      <c r="AQ259" s="114">
        <f>AN261*AK259/SUM(AK259:AK261)/(AK259*10^3*10^3)</f>
        <v>1.0483762748255503</v>
      </c>
      <c r="AR259" s="115">
        <f>AO261*AL259/SUM(AL259:AL261)/(AL259*10^3*10^3)</f>
        <v>2.3064278046162102E-3</v>
      </c>
      <c r="AS259" s="2"/>
      <c r="AU259" s="2"/>
      <c r="AV259" s="2"/>
      <c r="AW259" s="2"/>
      <c r="AX259" s="2"/>
      <c r="AY259" s="2"/>
    </row>
    <row r="260" spans="1:138" ht="10.5" customHeight="1" x14ac:dyDescent="0.15">
      <c r="A260" s="23"/>
      <c r="B260" s="74">
        <v>3</v>
      </c>
      <c r="C260" s="71" t="s">
        <v>13</v>
      </c>
      <c r="D260" s="62" t="s">
        <v>88</v>
      </c>
      <c r="E260" s="63" t="s">
        <v>88</v>
      </c>
      <c r="F260" s="64"/>
      <c r="G260" s="62" t="s">
        <v>88</v>
      </c>
      <c r="H260" s="63" t="s">
        <v>88</v>
      </c>
      <c r="I260" s="64"/>
      <c r="J260" s="65" t="s">
        <v>88</v>
      </c>
      <c r="K260" s="68" t="s">
        <v>88</v>
      </c>
      <c r="L260" s="67"/>
      <c r="M260" s="68">
        <f>1.8*10^9</f>
        <v>1800000000</v>
      </c>
      <c r="N260" s="68" t="s">
        <v>88</v>
      </c>
      <c r="O260" s="69"/>
      <c r="Q260" s="2"/>
      <c r="R260" s="2"/>
      <c r="S260" s="2"/>
      <c r="T260" s="2"/>
      <c r="U260" s="2"/>
      <c r="V260" s="2"/>
      <c r="W260" s="2"/>
      <c r="X260" s="2"/>
      <c r="Y260" s="2"/>
      <c r="Z260" s="2"/>
      <c r="AA260" s="2"/>
      <c r="AB260" s="2"/>
      <c r="AC260" s="2"/>
      <c r="AD260" s="2"/>
      <c r="AE260" s="2"/>
      <c r="AF260" s="105">
        <v>37469</v>
      </c>
      <c r="AG260" s="89">
        <v>389.79300000000001</v>
      </c>
      <c r="AH260" s="89">
        <v>613.79999999999995</v>
      </c>
      <c r="AI260" s="96">
        <v>613.79999999999995</v>
      </c>
      <c r="AJ260" s="112">
        <f t="shared" si="21"/>
        <v>1044.4071984732825</v>
      </c>
      <c r="AK260" s="112">
        <f t="shared" si="20"/>
        <v>1607.0399999999997</v>
      </c>
      <c r="AL260" s="113">
        <f t="shared" si="22"/>
        <v>1607.0399999999997</v>
      </c>
      <c r="AM260" s="68"/>
      <c r="AN260" s="68"/>
      <c r="AO260" s="69"/>
      <c r="AP260" s="115">
        <f>AM261*AJ260/SUM(AJ259:AJ261)/(AJ260*10^3*10^3)</f>
        <v>18.50637586536773</v>
      </c>
      <c r="AQ260" s="114">
        <f>AN261*AK260/SUM(AK259:AK261)/(AK260*10^3*10^3)</f>
        <v>1.0483762748255503</v>
      </c>
      <c r="AR260" s="115">
        <f>AO261*AL260/SUM(AL259:AL261)/(AL260*10^3*10^3)</f>
        <v>2.3064278046162102E-3</v>
      </c>
      <c r="AS260" s="2"/>
      <c r="AU260" s="2"/>
      <c r="AV260" s="2"/>
      <c r="AW260" s="2"/>
      <c r="AX260" s="2"/>
      <c r="AY260" s="2"/>
    </row>
    <row r="261" spans="1:138" ht="10.5" customHeight="1" x14ac:dyDescent="0.15">
      <c r="A261" s="24"/>
      <c r="B261" s="75">
        <v>4</v>
      </c>
      <c r="C261" s="19" t="s">
        <v>15</v>
      </c>
      <c r="D261" s="48" t="s">
        <v>88</v>
      </c>
      <c r="E261" s="49" t="s">
        <v>88</v>
      </c>
      <c r="F261" s="42"/>
      <c r="G261" s="48" t="s">
        <v>88</v>
      </c>
      <c r="H261" s="49" t="s">
        <v>88</v>
      </c>
      <c r="I261" s="42"/>
      <c r="J261" s="51" t="s">
        <v>88</v>
      </c>
      <c r="K261" s="50" t="s">
        <v>20</v>
      </c>
      <c r="L261" s="43"/>
      <c r="M261" s="52">
        <f>1.8*10^9</f>
        <v>1800000000</v>
      </c>
      <c r="N261" s="52" t="s">
        <v>20</v>
      </c>
      <c r="O261" s="53"/>
      <c r="Q261" s="2"/>
      <c r="R261" s="2"/>
      <c r="S261" s="2"/>
      <c r="T261" s="2"/>
      <c r="U261" s="2"/>
      <c r="V261" s="2"/>
      <c r="W261" s="2"/>
      <c r="X261" s="2"/>
      <c r="Y261" s="2"/>
      <c r="Z261" s="2"/>
      <c r="AA261" s="2"/>
      <c r="AB261" s="2"/>
      <c r="AC261" s="2"/>
      <c r="AD261" s="2"/>
      <c r="AE261" s="2"/>
      <c r="AF261" s="105">
        <v>37500</v>
      </c>
      <c r="AG261" s="89">
        <v>87.638999999999996</v>
      </c>
      <c r="AH261" s="89">
        <v>594</v>
      </c>
      <c r="AI261" s="96">
        <v>594</v>
      </c>
      <c r="AJ261" s="112">
        <f t="shared" si="21"/>
        <v>234.81899999999999</v>
      </c>
      <c r="AK261" s="112">
        <f t="shared" si="20"/>
        <v>1555.2</v>
      </c>
      <c r="AL261" s="113">
        <f t="shared" si="22"/>
        <v>1555.2</v>
      </c>
      <c r="AM261" s="68">
        <v>43000000000</v>
      </c>
      <c r="AN261" s="68">
        <v>5000000000</v>
      </c>
      <c r="AO261" s="69">
        <v>11000000</v>
      </c>
      <c r="AP261" s="115">
        <f>AM261*AJ261/SUM(AJ259:AJ261)/(AJ261*10^3*10^3)</f>
        <v>18.506375865367733</v>
      </c>
      <c r="AQ261" s="114">
        <f>AN261*AK261/SUM(AK259:AK261)/(AK261*10^3*10^3)</f>
        <v>1.0483762748255503</v>
      </c>
      <c r="AR261" s="115">
        <f>AO261*AL261/SUM(AL259:AL261)/(AL261*10^3*10^3)</f>
        <v>2.3064278046162107E-3</v>
      </c>
      <c r="AS261" s="2"/>
      <c r="AU261" s="2"/>
      <c r="AV261" s="2"/>
      <c r="AW261" s="2"/>
      <c r="AX261" s="2"/>
      <c r="AY261" s="2"/>
    </row>
    <row r="262" spans="1:138" ht="10.5" customHeight="1" x14ac:dyDescent="0.15">
      <c r="A262" s="18" t="s">
        <v>112</v>
      </c>
      <c r="B262" s="73">
        <v>1</v>
      </c>
      <c r="C262" s="70" t="s">
        <v>10</v>
      </c>
      <c r="D262" s="54" t="s">
        <v>88</v>
      </c>
      <c r="E262" s="55" t="s">
        <v>88</v>
      </c>
      <c r="F262" s="56"/>
      <c r="G262" s="54" t="s">
        <v>88</v>
      </c>
      <c r="H262" s="55" t="s">
        <v>88</v>
      </c>
      <c r="I262" s="56"/>
      <c r="J262" s="57" t="s">
        <v>88</v>
      </c>
      <c r="K262" s="58" t="s">
        <v>88</v>
      </c>
      <c r="L262" s="59"/>
      <c r="M262" s="60">
        <f>3.2*10^9</f>
        <v>3200000000</v>
      </c>
      <c r="N262" s="60">
        <f>1.6*10^8</f>
        <v>160000000</v>
      </c>
      <c r="O262" s="61"/>
      <c r="Q262" s="2"/>
      <c r="R262" s="2"/>
      <c r="S262" s="2"/>
      <c r="T262" s="2"/>
      <c r="U262" s="2"/>
      <c r="V262" s="2"/>
      <c r="W262" s="2"/>
      <c r="X262" s="2"/>
      <c r="Y262" s="2"/>
      <c r="Z262" s="2"/>
      <c r="AA262" s="2"/>
      <c r="AB262" s="2"/>
      <c r="AC262" s="2"/>
      <c r="AD262" s="2"/>
      <c r="AE262" s="2"/>
      <c r="AF262" s="105">
        <v>37530</v>
      </c>
      <c r="AG262" s="89">
        <v>0</v>
      </c>
      <c r="AH262" s="89">
        <v>613.79999999999995</v>
      </c>
      <c r="AI262" s="96">
        <v>613.68299999999999</v>
      </c>
      <c r="AJ262" s="112">
        <f t="shared" si="21"/>
        <v>0</v>
      </c>
      <c r="AK262" s="112">
        <f t="shared" si="20"/>
        <v>1607.0399999999997</v>
      </c>
      <c r="AL262" s="113">
        <f t="shared" si="22"/>
        <v>1606.7336727272727</v>
      </c>
      <c r="AM262" s="68"/>
      <c r="AN262" s="68"/>
      <c r="AO262" s="69"/>
      <c r="AP262" s="115" t="e">
        <f>AM264*AJ262/SUM(AJ262:AJ264)/(AJ262*10^3*10^3)</f>
        <v>#DIV/0!</v>
      </c>
      <c r="AQ262" s="114">
        <f>AN264*AK262/SUM(AK262:AK264)/(AK262*10^3*10^3)</f>
        <v>1.1112788513150833</v>
      </c>
      <c r="AR262" s="115">
        <f>AO264*AL262/SUM(AL262:AL264)/(AL262*10^3*10^3)</f>
        <v>2.7260836071770099E-3</v>
      </c>
      <c r="AS262" s="2"/>
      <c r="AU262" s="2"/>
      <c r="AV262" s="2"/>
      <c r="AW262" s="2"/>
      <c r="AX262" s="2"/>
      <c r="AY262" s="2"/>
    </row>
    <row r="263" spans="1:138" ht="10.5" customHeight="1" x14ac:dyDescent="0.15">
      <c r="A263" s="23"/>
      <c r="B263" s="74">
        <v>2</v>
      </c>
      <c r="C263" s="71" t="s">
        <v>11</v>
      </c>
      <c r="D263" s="62" t="s">
        <v>88</v>
      </c>
      <c r="E263" s="63" t="s">
        <v>88</v>
      </c>
      <c r="F263" s="64"/>
      <c r="G263" s="62" t="s">
        <v>88</v>
      </c>
      <c r="H263" s="63" t="s">
        <v>88</v>
      </c>
      <c r="I263" s="64"/>
      <c r="J263" s="65" t="s">
        <v>88</v>
      </c>
      <c r="K263" s="66" t="s">
        <v>20</v>
      </c>
      <c r="L263" s="67"/>
      <c r="M263" s="68">
        <f>1.95*10^9</f>
        <v>1950000000</v>
      </c>
      <c r="N263" s="68" t="s">
        <v>20</v>
      </c>
      <c r="O263" s="69"/>
      <c r="Q263" s="2"/>
      <c r="R263" s="2"/>
      <c r="S263" s="2"/>
      <c r="T263" s="2"/>
      <c r="U263" s="2"/>
      <c r="V263" s="2"/>
      <c r="W263" s="2"/>
      <c r="X263" s="2"/>
      <c r="Y263" s="2"/>
      <c r="Z263" s="2"/>
      <c r="AA263" s="2"/>
      <c r="AB263" s="2"/>
      <c r="AC263" s="2"/>
      <c r="AD263" s="2"/>
      <c r="AE263" s="2"/>
      <c r="AF263" s="105">
        <v>37561</v>
      </c>
      <c r="AG263" s="89">
        <v>0</v>
      </c>
      <c r="AH263" s="89">
        <v>594</v>
      </c>
      <c r="AI263" s="96">
        <v>594</v>
      </c>
      <c r="AJ263" s="112">
        <f t="shared" si="21"/>
        <v>0</v>
      </c>
      <c r="AK263" s="112">
        <f t="shared" si="20"/>
        <v>1555.2</v>
      </c>
      <c r="AL263" s="113">
        <f t="shared" si="22"/>
        <v>1555.2</v>
      </c>
      <c r="AM263" s="68"/>
      <c r="AN263" s="68"/>
      <c r="AO263" s="69"/>
      <c r="AP263" s="115" t="e">
        <f>AM264*AJ263/SUM(AJ262:AJ264)/(AJ263*10^3*10^3)</f>
        <v>#DIV/0!</v>
      </c>
      <c r="AQ263" s="114">
        <f>AN264*AK263/SUM(AK262:AK264)/(AK263*10^3*10^3)</f>
        <v>1.1112788513150833</v>
      </c>
      <c r="AR263" s="115">
        <f>AO264*AL263/SUM(AL262:AL264)/(AL263*10^3*10^3)</f>
        <v>2.7260836071770103E-3</v>
      </c>
      <c r="AS263" s="2"/>
      <c r="AU263" s="2"/>
      <c r="AV263" s="2"/>
      <c r="AW263" s="2"/>
      <c r="AX263" s="2"/>
      <c r="AY263" s="2"/>
    </row>
    <row r="264" spans="1:138" ht="10.5" customHeight="1" x14ac:dyDescent="0.15">
      <c r="A264" s="23"/>
      <c r="B264" s="74">
        <v>3</v>
      </c>
      <c r="C264" s="71" t="s">
        <v>13</v>
      </c>
      <c r="D264" s="62" t="s">
        <v>88</v>
      </c>
      <c r="E264" s="63" t="s">
        <v>88</v>
      </c>
      <c r="F264" s="64"/>
      <c r="G264" s="62" t="s">
        <v>88</v>
      </c>
      <c r="H264" s="63" t="s">
        <v>88</v>
      </c>
      <c r="I264" s="64"/>
      <c r="J264" s="65" t="s">
        <v>88</v>
      </c>
      <c r="K264" s="68" t="s">
        <v>88</v>
      </c>
      <c r="L264" s="67"/>
      <c r="M264" s="68">
        <f>1.6*10^9</f>
        <v>1600000000</v>
      </c>
      <c r="N264" s="68">
        <f>6.2*10^8</f>
        <v>620000000</v>
      </c>
      <c r="O264" s="69"/>
      <c r="Q264" s="2"/>
      <c r="R264" s="2"/>
      <c r="S264" s="2"/>
      <c r="T264" s="2"/>
      <c r="U264" s="2"/>
      <c r="V264" s="2"/>
      <c r="W264" s="2"/>
      <c r="X264" s="2"/>
      <c r="Y264" s="2"/>
      <c r="Z264" s="2"/>
      <c r="AA264" s="2"/>
      <c r="AB264" s="2"/>
      <c r="AC264" s="2"/>
      <c r="AD264" s="2"/>
      <c r="AE264" s="2"/>
      <c r="AF264" s="105">
        <v>37591</v>
      </c>
      <c r="AG264" s="89">
        <v>0</v>
      </c>
      <c r="AH264" s="89">
        <v>613.79999999999995</v>
      </c>
      <c r="AI264" s="96">
        <v>613.71299999999997</v>
      </c>
      <c r="AJ264" s="112">
        <f t="shared" si="21"/>
        <v>0</v>
      </c>
      <c r="AK264" s="112">
        <f t="shared" si="20"/>
        <v>1607.0399999999997</v>
      </c>
      <c r="AL264" s="113">
        <f t="shared" si="22"/>
        <v>1606.812218181818</v>
      </c>
      <c r="AM264" s="68" t="s">
        <v>20</v>
      </c>
      <c r="AN264" s="68">
        <v>5300000000</v>
      </c>
      <c r="AO264" s="69">
        <v>13000000</v>
      </c>
      <c r="AP264" s="115" t="e">
        <f>AM264*AJ264/SUM(AJ262:AJ264)/(AJ264*10^3*10^3)</f>
        <v>#DIV/0!</v>
      </c>
      <c r="AQ264" s="114">
        <f>AN264*AK264/SUM(AK262:AK264)/(AK264*10^3*10^3)</f>
        <v>1.1112788513150833</v>
      </c>
      <c r="AR264" s="115">
        <f>AO264*AL264/SUM(AL262:AL264)/(AL264*10^3*10^3)</f>
        <v>2.7260836071770103E-3</v>
      </c>
      <c r="AS264" s="2"/>
      <c r="AU264" s="2"/>
      <c r="AV264" s="2"/>
      <c r="AW264" s="2"/>
      <c r="AX264" s="2"/>
      <c r="AY264" s="2"/>
    </row>
    <row r="265" spans="1:138" ht="10.5" customHeight="1" x14ac:dyDescent="0.15">
      <c r="A265" s="24"/>
      <c r="B265" s="75">
        <v>4</v>
      </c>
      <c r="C265" s="19" t="s">
        <v>15</v>
      </c>
      <c r="D265" s="48" t="s">
        <v>88</v>
      </c>
      <c r="E265" s="49" t="s">
        <v>88</v>
      </c>
      <c r="F265" s="42"/>
      <c r="G265" s="48" t="s">
        <v>88</v>
      </c>
      <c r="H265" s="49" t="s">
        <v>88</v>
      </c>
      <c r="I265" s="42"/>
      <c r="J265" s="51" t="s">
        <v>88</v>
      </c>
      <c r="K265" s="50" t="s">
        <v>20</v>
      </c>
      <c r="L265" s="43"/>
      <c r="M265" s="52">
        <f>9.8*10^8</f>
        <v>980000000.00000012</v>
      </c>
      <c r="N265" s="52" t="s">
        <v>20</v>
      </c>
      <c r="O265" s="53"/>
      <c r="Q265" s="2"/>
      <c r="R265" s="2"/>
      <c r="S265" s="2"/>
      <c r="T265" s="2"/>
      <c r="U265" s="2"/>
      <c r="V265" s="2"/>
      <c r="W265" s="2"/>
      <c r="X265" s="2"/>
      <c r="Y265" s="2"/>
      <c r="Z265" s="2"/>
      <c r="AA265" s="2"/>
      <c r="AB265" s="2"/>
      <c r="AC265" s="2"/>
      <c r="AD265" s="2"/>
      <c r="AE265" s="2"/>
      <c r="AF265" s="105">
        <v>37622</v>
      </c>
      <c r="AG265" s="89">
        <v>0</v>
      </c>
      <c r="AH265" s="89">
        <v>613.79999999999995</v>
      </c>
      <c r="AI265" s="96">
        <v>613.42700000000002</v>
      </c>
      <c r="AJ265" s="112">
        <f t="shared" si="21"/>
        <v>0</v>
      </c>
      <c r="AK265" s="112">
        <f t="shared" si="20"/>
        <v>1607.0399999999997</v>
      </c>
      <c r="AL265" s="113">
        <f t="shared" si="22"/>
        <v>1606.0634181818182</v>
      </c>
      <c r="AM265" s="68"/>
      <c r="AN265" s="68"/>
      <c r="AO265" s="69"/>
      <c r="AP265" s="115" t="e">
        <f>AM267*AJ265/SUM(AJ265:AJ267)/(AJ265*10^3*10^3)</f>
        <v>#DIV/0!</v>
      </c>
      <c r="AQ265" s="114">
        <f>AN267*AK265/SUM(AK265:AK267)/(AK265*10^3*10^3)</f>
        <v>1.1359745743715659</v>
      </c>
      <c r="AR265" s="115">
        <f>AO267*AL265/SUM(AL265:AL267)/(AL265*10^3*10^3)</f>
        <v>0</v>
      </c>
      <c r="AS265" s="2"/>
      <c r="AU265" s="2"/>
      <c r="AV265" s="2"/>
      <c r="AW265" s="2"/>
      <c r="AX265" s="2"/>
      <c r="AY265" s="2"/>
    </row>
    <row r="266" spans="1:138" ht="10.5" customHeight="1" x14ac:dyDescent="0.15">
      <c r="A266" s="18" t="s">
        <v>113</v>
      </c>
      <c r="B266" s="73">
        <v>1</v>
      </c>
      <c r="C266" s="70" t="s">
        <v>10</v>
      </c>
      <c r="D266" s="54" t="s">
        <v>88</v>
      </c>
      <c r="E266" s="55" t="s">
        <v>88</v>
      </c>
      <c r="F266" s="56"/>
      <c r="G266" s="54" t="s">
        <v>88</v>
      </c>
      <c r="H266" s="55" t="s">
        <v>88</v>
      </c>
      <c r="I266" s="56"/>
      <c r="J266" s="57" t="s">
        <v>88</v>
      </c>
      <c r="K266" s="58" t="s">
        <v>88</v>
      </c>
      <c r="L266" s="59"/>
      <c r="M266" s="60">
        <f>1.2*10^10</f>
        <v>12000000000</v>
      </c>
      <c r="N266" s="60" t="s">
        <v>20</v>
      </c>
      <c r="O266" s="61"/>
      <c r="Q266" s="2"/>
      <c r="R266" s="2"/>
      <c r="S266" s="2"/>
      <c r="T266" s="2"/>
      <c r="U266" s="2"/>
      <c r="V266" s="2"/>
      <c r="W266" s="2"/>
      <c r="X266" s="2"/>
      <c r="Y266" s="2"/>
      <c r="Z266" s="2"/>
      <c r="AA266" s="2"/>
      <c r="AB266" s="2"/>
      <c r="AC266" s="2"/>
      <c r="AD266" s="2"/>
      <c r="AE266" s="2"/>
      <c r="AF266" s="105">
        <v>37653</v>
      </c>
      <c r="AG266" s="89">
        <v>0</v>
      </c>
      <c r="AH266" s="89">
        <v>554.4</v>
      </c>
      <c r="AI266" s="96">
        <v>452.57100000000003</v>
      </c>
      <c r="AJ266" s="112">
        <f t="shared" si="21"/>
        <v>0</v>
      </c>
      <c r="AK266" s="112">
        <f t="shared" si="20"/>
        <v>1451.52</v>
      </c>
      <c r="AL266" s="113">
        <f t="shared" si="22"/>
        <v>1184.9131636363636</v>
      </c>
      <c r="AM266" s="68"/>
      <c r="AN266" s="68"/>
      <c r="AO266" s="69"/>
      <c r="AP266" s="115" t="e">
        <f>AM267*AJ266/SUM(AJ265:AJ267)/(AJ266*10^3*10^3)</f>
        <v>#DIV/0!</v>
      </c>
      <c r="AQ266" s="114">
        <f>AN267*AK266/SUM(AK265:AK267)/(AK266*10^3*10^3)</f>
        <v>1.1359745743715657</v>
      </c>
      <c r="AR266" s="115">
        <f>AO267*AL266/SUM(AL265:AL267)/(AL266*10^3*10^3)</f>
        <v>0</v>
      </c>
      <c r="AS266" s="2"/>
      <c r="AU266" s="2"/>
      <c r="AV266" s="2"/>
      <c r="AW266" s="2"/>
      <c r="AX266" s="2"/>
      <c r="AY266" s="2"/>
    </row>
    <row r="267" spans="1:138" ht="10.5" customHeight="1" x14ac:dyDescent="0.15">
      <c r="A267" s="23"/>
      <c r="B267" s="74">
        <v>2</v>
      </c>
      <c r="C267" s="71" t="s">
        <v>11</v>
      </c>
      <c r="D267" s="62" t="s">
        <v>88</v>
      </c>
      <c r="E267" s="63" t="s">
        <v>88</v>
      </c>
      <c r="F267" s="64"/>
      <c r="G267" s="62" t="s">
        <v>88</v>
      </c>
      <c r="H267" s="63" t="s">
        <v>88</v>
      </c>
      <c r="I267" s="64"/>
      <c r="J267" s="65" t="s">
        <v>88</v>
      </c>
      <c r="K267" s="66" t="s">
        <v>20</v>
      </c>
      <c r="L267" s="67"/>
      <c r="M267" s="68">
        <f>4.8*10^9</f>
        <v>4800000000</v>
      </c>
      <c r="N267" s="68" t="s">
        <v>20</v>
      </c>
      <c r="O267" s="69"/>
      <c r="Q267" s="2"/>
      <c r="R267" s="2"/>
      <c r="S267" s="2"/>
      <c r="T267" s="2"/>
      <c r="U267" s="2"/>
      <c r="V267" s="2"/>
      <c r="W267" s="2"/>
      <c r="X267" s="2"/>
      <c r="Y267" s="2"/>
      <c r="Z267" s="2"/>
      <c r="AA267" s="2"/>
      <c r="AB267" s="2"/>
      <c r="AC267" s="2"/>
      <c r="AD267" s="2"/>
      <c r="AE267" s="2"/>
      <c r="AF267" s="105">
        <v>37681</v>
      </c>
      <c r="AG267" s="89">
        <v>0</v>
      </c>
      <c r="AH267" s="89">
        <v>613.79899999999998</v>
      </c>
      <c r="AI267" s="96">
        <v>0</v>
      </c>
      <c r="AJ267" s="112">
        <f t="shared" si="21"/>
        <v>0</v>
      </c>
      <c r="AK267" s="112">
        <f t="shared" si="20"/>
        <v>1607.0373818181818</v>
      </c>
      <c r="AL267" s="113">
        <f t="shared" si="22"/>
        <v>0</v>
      </c>
      <c r="AM267" s="68">
        <v>20000000000</v>
      </c>
      <c r="AN267" s="68">
        <v>5300000000</v>
      </c>
      <c r="AO267" s="69" t="s">
        <v>88</v>
      </c>
      <c r="AP267" s="115" t="e">
        <f>AM267*AJ267/SUM(AJ265:AJ267)/(AJ267*10^3*10^3)</f>
        <v>#DIV/0!</v>
      </c>
      <c r="AQ267" s="114">
        <f>AN267*AK267/SUM(AK265:AK267)/(AK267*10^3*10^3)</f>
        <v>1.1359745743715659</v>
      </c>
      <c r="AR267" s="115" t="e">
        <f>AO267*AL267/SUM(AL265:AL267)/(AL267*10^3*10^3)</f>
        <v>#DIV/0!</v>
      </c>
      <c r="AS267" s="2"/>
      <c r="AT267" s="3"/>
      <c r="AU267" s="2"/>
      <c r="AV267" s="2"/>
      <c r="AW267" s="2"/>
      <c r="AX267" s="2"/>
      <c r="AY267" s="2"/>
      <c r="AZ267" s="3"/>
      <c r="BA267" s="3"/>
      <c r="BB267" s="3"/>
      <c r="BC267" s="3"/>
      <c r="BD267" s="3"/>
      <c r="BE267" s="4"/>
      <c r="CG267" s="2"/>
      <c r="CH267" s="3"/>
      <c r="CI267" s="3"/>
      <c r="CJ267" s="3"/>
      <c r="CK267" s="3"/>
      <c r="CL267" s="3"/>
      <c r="CM267" s="3"/>
      <c r="CN267" s="3"/>
      <c r="CO267" s="3"/>
      <c r="CP267" s="3"/>
      <c r="CQ267" s="3"/>
      <c r="CR267" s="3"/>
      <c r="CS267" s="3"/>
      <c r="CT267" s="4"/>
    </row>
    <row r="268" spans="1:138" ht="10.5" customHeight="1" x14ac:dyDescent="0.15">
      <c r="A268" s="23"/>
      <c r="B268" s="74">
        <v>3</v>
      </c>
      <c r="C268" s="71" t="s">
        <v>13</v>
      </c>
      <c r="D268" s="62" t="s">
        <v>88</v>
      </c>
      <c r="E268" s="63" t="s">
        <v>88</v>
      </c>
      <c r="F268" s="64"/>
      <c r="G268" s="62" t="s">
        <v>88</v>
      </c>
      <c r="H268" s="63" t="s">
        <v>88</v>
      </c>
      <c r="I268" s="64"/>
      <c r="J268" s="65" t="s">
        <v>88</v>
      </c>
      <c r="K268" s="68" t="s">
        <v>20</v>
      </c>
      <c r="L268" s="67"/>
      <c r="M268" s="68">
        <f>4.5*10^9</f>
        <v>4500000000</v>
      </c>
      <c r="N268" s="68" t="s">
        <v>20</v>
      </c>
      <c r="O268" s="69"/>
      <c r="Q268" s="2"/>
      <c r="R268" s="2"/>
      <c r="S268" s="2"/>
      <c r="T268" s="2"/>
      <c r="U268" s="2"/>
      <c r="V268" s="2"/>
      <c r="W268" s="2"/>
      <c r="X268" s="2"/>
      <c r="Y268" s="2"/>
      <c r="Z268" s="2"/>
      <c r="AA268" s="2"/>
      <c r="AB268" s="2"/>
      <c r="AC268" s="2"/>
      <c r="AD268" s="2"/>
      <c r="AE268" s="2"/>
      <c r="AF268" s="104">
        <v>37712</v>
      </c>
      <c r="AG268" s="89">
        <v>0</v>
      </c>
      <c r="AH268" s="89">
        <v>593.67399999999998</v>
      </c>
      <c r="AI268" s="96">
        <v>197.57</v>
      </c>
      <c r="AJ268" s="112">
        <f t="shared" si="21"/>
        <v>0</v>
      </c>
      <c r="AK268" s="112">
        <f t="shared" si="20"/>
        <v>1554.3464727272726</v>
      </c>
      <c r="AL268" s="113">
        <f t="shared" si="22"/>
        <v>517.27418181818177</v>
      </c>
      <c r="AM268" s="68"/>
      <c r="AN268" s="68"/>
      <c r="AO268" s="69"/>
      <c r="AP268" s="114" t="e">
        <f>AM270*AJ268/SUM(AJ268:AJ270)/(AJ268*10^3*10^3)</f>
        <v>#DIV/0!</v>
      </c>
      <c r="AQ268" s="115">
        <f>AN270*AK268/SUM(AK268:AK270)/(AK268*10^3*10^3)</f>
        <v>0</v>
      </c>
      <c r="AR268" s="114">
        <f>AO270*AL268/SUM(AL268:AL270)/(AL268*10^3*10^3)</f>
        <v>0</v>
      </c>
      <c r="AS268" s="2"/>
      <c r="AT268" s="3"/>
      <c r="AU268" s="2"/>
      <c r="AV268" s="2"/>
      <c r="AW268" s="2"/>
      <c r="AX268" s="2"/>
      <c r="AY268" s="2"/>
      <c r="AZ268" s="3"/>
      <c r="BA268" s="3"/>
      <c r="BB268" s="3"/>
      <c r="BC268" s="3"/>
      <c r="BD268" s="3"/>
      <c r="BE268" s="4"/>
      <c r="CG268" s="2"/>
      <c r="CH268" s="3"/>
      <c r="CI268" s="3"/>
      <c r="CJ268" s="3"/>
      <c r="CK268" s="3"/>
      <c r="CL268" s="3"/>
      <c r="CM268" s="3"/>
      <c r="CN268" s="3"/>
      <c r="CO268" s="3"/>
      <c r="CP268" s="3"/>
      <c r="CQ268" s="3"/>
      <c r="CR268" s="3"/>
      <c r="CS268" s="3"/>
      <c r="CT268" s="4"/>
    </row>
    <row r="269" spans="1:138" ht="10.5" customHeight="1" x14ac:dyDescent="0.15">
      <c r="A269" s="24"/>
      <c r="B269" s="75">
        <v>4</v>
      </c>
      <c r="C269" s="19" t="s">
        <v>15</v>
      </c>
      <c r="D269" s="48" t="s">
        <v>88</v>
      </c>
      <c r="E269" s="49" t="s">
        <v>88</v>
      </c>
      <c r="F269" s="42"/>
      <c r="G269" s="48" t="s">
        <v>88</v>
      </c>
      <c r="H269" s="49" t="s">
        <v>88</v>
      </c>
      <c r="I269" s="42"/>
      <c r="J269" s="51" t="s">
        <v>20</v>
      </c>
      <c r="K269" s="50" t="s">
        <v>20</v>
      </c>
      <c r="L269" s="43"/>
      <c r="M269" s="52" t="s">
        <v>20</v>
      </c>
      <c r="N269" s="52" t="s">
        <v>48</v>
      </c>
      <c r="O269" s="53"/>
      <c r="Q269" s="2"/>
      <c r="R269" s="2"/>
      <c r="S269" s="2"/>
      <c r="T269" s="2"/>
      <c r="U269" s="2"/>
      <c r="V269" s="2"/>
      <c r="W269" s="2"/>
      <c r="X269" s="2"/>
      <c r="Y269" s="2"/>
      <c r="Z269" s="2"/>
      <c r="AA269" s="2"/>
      <c r="AB269" s="2"/>
      <c r="AC269" s="2"/>
      <c r="AD269" s="2"/>
      <c r="AE269" s="2"/>
      <c r="AF269" s="104">
        <v>37742</v>
      </c>
      <c r="AG269" s="89">
        <v>0</v>
      </c>
      <c r="AH269" s="89">
        <v>405.99700000000001</v>
      </c>
      <c r="AI269" s="96">
        <v>561.77700000000004</v>
      </c>
      <c r="AJ269" s="112">
        <f t="shared" si="21"/>
        <v>0</v>
      </c>
      <c r="AK269" s="112">
        <f t="shared" si="20"/>
        <v>1062.9739636363636</v>
      </c>
      <c r="AL269" s="113">
        <f t="shared" si="22"/>
        <v>1470.8343272727275</v>
      </c>
      <c r="AM269" s="68"/>
      <c r="AN269" s="68"/>
      <c r="AO269" s="69"/>
      <c r="AP269" s="114" t="e">
        <f>AM270*AJ269/SUM(AJ268:AJ270)/(AJ269*10^3*10^3)</f>
        <v>#DIV/0!</v>
      </c>
      <c r="AQ269" s="115">
        <f>AN270*AK269/SUM(AK268:AK270)/(AK269*10^3*10^3)</f>
        <v>0</v>
      </c>
      <c r="AR269" s="114">
        <f>AO270*AL269/SUM(AL268:AL270)/(AL269*10^3*10^3)</f>
        <v>0</v>
      </c>
      <c r="AS269" s="2"/>
      <c r="AT269" s="3"/>
      <c r="AU269" s="2"/>
      <c r="AV269" s="2"/>
      <c r="AW269" s="2"/>
      <c r="AX269" s="2"/>
      <c r="AY269" s="2"/>
      <c r="DU269" s="5"/>
      <c r="DV269" s="5"/>
      <c r="DW269" s="5"/>
      <c r="DX269" s="5"/>
      <c r="DY269" s="5"/>
      <c r="DZ269" s="5"/>
      <c r="EA269" s="5"/>
      <c r="EB269" s="3"/>
      <c r="EC269" s="3"/>
      <c r="ED269" s="3"/>
      <c r="EE269" s="3"/>
      <c r="EF269" s="3"/>
    </row>
    <row r="270" spans="1:138" ht="10.5" customHeight="1" x14ac:dyDescent="0.15">
      <c r="A270" s="18" t="s">
        <v>114</v>
      </c>
      <c r="B270" s="73">
        <v>1</v>
      </c>
      <c r="C270" s="70" t="s">
        <v>10</v>
      </c>
      <c r="D270" s="54" t="s">
        <v>88</v>
      </c>
      <c r="E270" s="55" t="s">
        <v>88</v>
      </c>
      <c r="F270" s="56"/>
      <c r="G270" s="54" t="s">
        <v>88</v>
      </c>
      <c r="H270" s="55" t="s">
        <v>88</v>
      </c>
      <c r="I270" s="56"/>
      <c r="J270" s="57" t="s">
        <v>88</v>
      </c>
      <c r="K270" s="58" t="s">
        <v>88</v>
      </c>
      <c r="L270" s="59"/>
      <c r="M270" s="60">
        <f>7.4*10^9</f>
        <v>7400000000</v>
      </c>
      <c r="N270" s="60">
        <f>3.5*10^9</f>
        <v>3500000000</v>
      </c>
      <c r="O270" s="61"/>
      <c r="Q270" s="2"/>
      <c r="R270" s="2"/>
      <c r="S270" s="2"/>
      <c r="T270" s="2"/>
      <c r="U270" s="2"/>
      <c r="V270" s="2"/>
      <c r="W270" s="2"/>
      <c r="X270" s="2"/>
      <c r="Y270" s="2"/>
      <c r="Z270" s="2"/>
      <c r="AA270" s="2"/>
      <c r="AB270" s="2"/>
      <c r="AC270" s="2"/>
      <c r="AD270" s="2"/>
      <c r="AE270" s="2"/>
      <c r="AF270" s="104">
        <v>37773</v>
      </c>
      <c r="AG270" s="89">
        <v>0</v>
      </c>
      <c r="AH270" s="89">
        <v>0</v>
      </c>
      <c r="AI270" s="96">
        <v>612.029</v>
      </c>
      <c r="AJ270" s="112">
        <f t="shared" si="21"/>
        <v>0</v>
      </c>
      <c r="AK270" s="112">
        <f t="shared" si="20"/>
        <v>0</v>
      </c>
      <c r="AL270" s="113">
        <f t="shared" si="22"/>
        <v>1602.4032</v>
      </c>
      <c r="AM270" s="68">
        <v>4400000000</v>
      </c>
      <c r="AN270" s="68" t="s">
        <v>20</v>
      </c>
      <c r="AO270" s="69" t="s">
        <v>88</v>
      </c>
      <c r="AP270" s="114" t="e">
        <f>AM270*AJ270/SUM(AJ268:AJ270)/(AJ270*10^3*10^3)</f>
        <v>#DIV/0!</v>
      </c>
      <c r="AQ270" s="115" t="e">
        <f>AN270*AK270/SUM(AK268:AK270)/(AK270*10^3*10^3)</f>
        <v>#DIV/0!</v>
      </c>
      <c r="AR270" s="114">
        <f>AO270*AL270/SUM(AL268:AL270)/(AL270*10^3*10^3)</f>
        <v>0</v>
      </c>
      <c r="AS270" s="2"/>
      <c r="AT270" s="3"/>
      <c r="AU270" s="2"/>
      <c r="AV270" s="2"/>
      <c r="AW270" s="2"/>
      <c r="AX270" s="2"/>
      <c r="AY270" s="2"/>
      <c r="DU270" s="5"/>
      <c r="DV270" s="5"/>
      <c r="DW270" s="5"/>
      <c r="DX270" s="5"/>
      <c r="DY270" s="5"/>
      <c r="DZ270" s="5"/>
      <c r="EA270" s="5"/>
      <c r="EB270" s="5"/>
      <c r="EC270" s="3"/>
      <c r="ED270" s="3"/>
      <c r="EE270" s="3"/>
      <c r="EF270" s="3"/>
      <c r="EG270" s="3"/>
    </row>
    <row r="271" spans="1:138" ht="10.5" customHeight="1" x14ac:dyDescent="0.15">
      <c r="A271" s="23"/>
      <c r="B271" s="74">
        <v>2</v>
      </c>
      <c r="C271" s="71" t="s">
        <v>11</v>
      </c>
      <c r="D271" s="62" t="s">
        <v>88</v>
      </c>
      <c r="E271" s="63" t="s">
        <v>88</v>
      </c>
      <c r="F271" s="64"/>
      <c r="G271" s="62" t="s">
        <v>88</v>
      </c>
      <c r="H271" s="63" t="s">
        <v>88</v>
      </c>
      <c r="I271" s="64"/>
      <c r="J271" s="65" t="s">
        <v>88</v>
      </c>
      <c r="K271" s="66" t="s">
        <v>88</v>
      </c>
      <c r="L271" s="67"/>
      <c r="M271" s="68">
        <f>2.2*10^9</f>
        <v>2200000000</v>
      </c>
      <c r="N271" s="68">
        <f>7.8*10^8</f>
        <v>780000000</v>
      </c>
      <c r="O271" s="69"/>
      <c r="Q271" s="2"/>
      <c r="R271" s="2"/>
      <c r="S271" s="2"/>
      <c r="T271" s="2"/>
      <c r="U271" s="2"/>
      <c r="V271" s="2"/>
      <c r="W271" s="2"/>
      <c r="X271" s="2"/>
      <c r="Y271" s="2"/>
      <c r="Z271" s="2"/>
      <c r="AA271" s="2"/>
      <c r="AB271" s="2"/>
      <c r="AC271" s="2"/>
      <c r="AD271" s="2"/>
      <c r="AE271" s="2"/>
      <c r="AF271" s="104">
        <v>37803</v>
      </c>
      <c r="AG271" s="89">
        <v>29.300999999999998</v>
      </c>
      <c r="AH271" s="89">
        <v>0</v>
      </c>
      <c r="AI271" s="96">
        <v>634.25400000000002</v>
      </c>
      <c r="AJ271" s="112">
        <f t="shared" si="21"/>
        <v>78.508786259541992</v>
      </c>
      <c r="AK271" s="112">
        <f t="shared" si="20"/>
        <v>0</v>
      </c>
      <c r="AL271" s="113">
        <f t="shared" si="22"/>
        <v>1660.5922909090907</v>
      </c>
      <c r="AM271" s="68"/>
      <c r="AN271" s="68"/>
      <c r="AO271" s="69"/>
      <c r="AP271" s="114">
        <f>AM273*AJ271/SUM(AJ271:AJ273)/(AJ271*10^3*10^3)</f>
        <v>0.44753039713038212</v>
      </c>
      <c r="AQ271" s="115" t="e">
        <f>AN273*AK271/SUM(AK271:AK273)/(AK271*10^3*10^3)</f>
        <v>#DIV/0!</v>
      </c>
      <c r="AR271" s="114">
        <f>AO273*AL271/SUM(AL271:AL273)/(AL271*10^3*10^3)</f>
        <v>0</v>
      </c>
      <c r="AS271" s="2"/>
      <c r="AT271" s="3"/>
      <c r="AU271" s="2"/>
      <c r="AV271" s="2"/>
      <c r="AW271" s="2"/>
      <c r="AX271" s="2"/>
      <c r="AY271" s="2"/>
      <c r="AZ271" s="3"/>
      <c r="DU271" s="5"/>
      <c r="DV271" s="5"/>
      <c r="DW271" s="5"/>
      <c r="DX271" s="5"/>
      <c r="DY271" s="5"/>
      <c r="DZ271" s="5"/>
      <c r="EA271" s="5"/>
      <c r="EB271" s="5"/>
      <c r="EC271" s="5"/>
      <c r="ED271" s="3"/>
      <c r="EE271" s="3"/>
      <c r="EF271" s="3"/>
      <c r="EG271" s="3"/>
      <c r="EH271" s="3"/>
    </row>
    <row r="272" spans="1:138" ht="10.5" customHeight="1" x14ac:dyDescent="0.15">
      <c r="A272" s="23"/>
      <c r="B272" s="74">
        <v>3</v>
      </c>
      <c r="C272" s="71" t="s">
        <v>13</v>
      </c>
      <c r="D272" s="62" t="s">
        <v>88</v>
      </c>
      <c r="E272" s="63" t="s">
        <v>88</v>
      </c>
      <c r="F272" s="64"/>
      <c r="G272" s="62" t="s">
        <v>88</v>
      </c>
      <c r="H272" s="63" t="s">
        <v>88</v>
      </c>
      <c r="I272" s="64"/>
      <c r="J272" s="65" t="s">
        <v>88</v>
      </c>
      <c r="K272" s="68" t="s">
        <v>20</v>
      </c>
      <c r="L272" s="67"/>
      <c r="M272" s="68">
        <f>2.3*10^10</f>
        <v>23000000000</v>
      </c>
      <c r="N272" s="68" t="s">
        <v>20</v>
      </c>
      <c r="O272" s="69"/>
      <c r="Q272" s="2"/>
      <c r="R272" s="2"/>
      <c r="S272" s="2"/>
      <c r="T272" s="2"/>
      <c r="U272" s="2"/>
      <c r="V272" s="2"/>
      <c r="W272" s="2"/>
      <c r="X272" s="2"/>
      <c r="Y272" s="2"/>
      <c r="Z272" s="2"/>
      <c r="AA272" s="2"/>
      <c r="AB272" s="2"/>
      <c r="AC272" s="2"/>
      <c r="AD272" s="2"/>
      <c r="AE272" s="2"/>
      <c r="AF272" s="104">
        <v>37834</v>
      </c>
      <c r="AG272" s="89">
        <v>392.02199999999999</v>
      </c>
      <c r="AH272" s="89">
        <v>0</v>
      </c>
      <c r="AI272" s="96">
        <v>633.62699999999995</v>
      </c>
      <c r="AJ272" s="112">
        <f t="shared" si="21"/>
        <v>1050.3795572519084</v>
      </c>
      <c r="AK272" s="112">
        <f t="shared" si="20"/>
        <v>0</v>
      </c>
      <c r="AL272" s="113">
        <f t="shared" si="22"/>
        <v>1658.9506909090908</v>
      </c>
      <c r="AM272" s="68"/>
      <c r="AN272" s="68"/>
      <c r="AO272" s="69"/>
      <c r="AP272" s="114">
        <f>AM273*AJ272/SUM(AJ271:AJ273)/(AJ272*10^3*10^3)</f>
        <v>0.44753039713038217</v>
      </c>
      <c r="AQ272" s="115" t="e">
        <f>AN273*AK272/SUM(AK271:AK273)/(AK272*10^3*10^3)</f>
        <v>#DIV/0!</v>
      </c>
      <c r="AR272" s="114">
        <f>AO273*AL272/SUM(AL271:AL273)/(AL272*10^3*10^3)</f>
        <v>0</v>
      </c>
      <c r="AS272" s="2"/>
      <c r="AT272" s="2"/>
      <c r="AU272" s="2"/>
      <c r="AV272" s="2"/>
      <c r="AW272" s="2"/>
      <c r="AX272" s="2"/>
      <c r="AY272" s="2"/>
      <c r="AZ272" s="2"/>
      <c r="DU272" s="5"/>
      <c r="DV272" s="5"/>
      <c r="DW272" s="5"/>
      <c r="DX272" s="5"/>
      <c r="DY272" s="5"/>
      <c r="DZ272" s="5"/>
      <c r="EA272" s="5"/>
      <c r="EB272" s="5"/>
      <c r="EC272" s="5"/>
      <c r="ED272" s="3"/>
      <c r="EE272" s="3"/>
      <c r="EF272" s="3"/>
      <c r="EG272" s="3"/>
      <c r="EH272" s="3"/>
    </row>
    <row r="273" spans="1:138" ht="10.5" customHeight="1" x14ac:dyDescent="0.15">
      <c r="A273" s="24"/>
      <c r="B273" s="75">
        <v>4</v>
      </c>
      <c r="C273" s="19" t="s">
        <v>15</v>
      </c>
      <c r="D273" s="48" t="s">
        <v>88</v>
      </c>
      <c r="E273" s="49" t="s">
        <v>88</v>
      </c>
      <c r="F273" s="42"/>
      <c r="G273" s="48" t="s">
        <v>88</v>
      </c>
      <c r="H273" s="49" t="s">
        <v>88</v>
      </c>
      <c r="I273" s="42"/>
      <c r="J273" s="51" t="s">
        <v>88</v>
      </c>
      <c r="K273" s="50" t="s">
        <v>20</v>
      </c>
      <c r="L273" s="43"/>
      <c r="M273" s="52">
        <f>7.1*10^9</f>
        <v>7100000000</v>
      </c>
      <c r="N273" s="52" t="s">
        <v>20</v>
      </c>
      <c r="O273" s="53"/>
      <c r="Q273" s="2"/>
      <c r="R273" s="2"/>
      <c r="S273" s="2"/>
      <c r="T273" s="2"/>
      <c r="U273" s="2"/>
      <c r="V273" s="2"/>
      <c r="W273" s="2"/>
      <c r="X273" s="2"/>
      <c r="Y273" s="2"/>
      <c r="Z273" s="2"/>
      <c r="AA273" s="2"/>
      <c r="AB273" s="2"/>
      <c r="AC273" s="2"/>
      <c r="AD273" s="2"/>
      <c r="AE273" s="2"/>
      <c r="AF273" s="104">
        <v>37865</v>
      </c>
      <c r="AG273" s="89">
        <v>379.27199999999999</v>
      </c>
      <c r="AH273" s="89">
        <v>0</v>
      </c>
      <c r="AI273" s="96">
        <v>613.53399999999999</v>
      </c>
      <c r="AJ273" s="112">
        <f t="shared" si="21"/>
        <v>1016.2173435114506</v>
      </c>
      <c r="AK273" s="112">
        <f t="shared" si="20"/>
        <v>0</v>
      </c>
      <c r="AL273" s="113">
        <f t="shared" si="22"/>
        <v>1606.3435636363638</v>
      </c>
      <c r="AM273" s="68">
        <v>960000000</v>
      </c>
      <c r="AN273" s="68" t="s">
        <v>20</v>
      </c>
      <c r="AO273" s="69" t="s">
        <v>88</v>
      </c>
      <c r="AP273" s="114">
        <f>AM273*AJ273/SUM(AJ271:AJ273)/(AJ273*10^3*10^3)</f>
        <v>0.44753039713038217</v>
      </c>
      <c r="AQ273" s="115" t="e">
        <f>AN273*AK273/SUM(AK271:AK273)/(AK273*10^3*10^3)</f>
        <v>#DIV/0!</v>
      </c>
      <c r="AR273" s="114">
        <f>AO273*AL273/SUM(AL271:AL273)/(AL273*10^3*10^3)</f>
        <v>0</v>
      </c>
      <c r="AS273" s="2"/>
      <c r="AT273" s="2"/>
      <c r="AU273" s="2"/>
      <c r="AV273" s="2"/>
      <c r="AW273" s="2"/>
      <c r="AX273" s="2"/>
      <c r="AY273" s="2"/>
      <c r="AZ273" s="2"/>
      <c r="DU273" s="5"/>
      <c r="DV273" s="5"/>
      <c r="DW273" s="5"/>
      <c r="DX273" s="5"/>
      <c r="DY273" s="5"/>
      <c r="DZ273" s="5"/>
      <c r="EA273" s="5"/>
      <c r="EB273" s="5"/>
      <c r="EC273" s="5"/>
      <c r="ED273" s="3"/>
      <c r="EE273" s="3"/>
      <c r="EF273" s="3"/>
      <c r="EG273" s="3"/>
      <c r="EH273" s="3"/>
    </row>
    <row r="274" spans="1:138" ht="10.5" customHeight="1" x14ac:dyDescent="0.15">
      <c r="A274" s="18" t="s">
        <v>19</v>
      </c>
      <c r="B274" s="73">
        <v>1</v>
      </c>
      <c r="C274" s="70" t="s">
        <v>10</v>
      </c>
      <c r="D274" s="54" t="s">
        <v>88</v>
      </c>
      <c r="E274" s="55" t="s">
        <v>88</v>
      </c>
      <c r="F274" s="56"/>
      <c r="G274" s="54" t="s">
        <v>88</v>
      </c>
      <c r="H274" s="55" t="s">
        <v>88</v>
      </c>
      <c r="I274" s="56"/>
      <c r="J274" s="57" t="s">
        <v>88</v>
      </c>
      <c r="K274" s="58" t="s">
        <v>88</v>
      </c>
      <c r="L274" s="59"/>
      <c r="M274" s="60">
        <f>3.1*10^9</f>
        <v>3100000000</v>
      </c>
      <c r="N274" s="60" t="s">
        <v>20</v>
      </c>
      <c r="O274" s="61"/>
      <c r="Q274" s="2"/>
      <c r="R274" s="2"/>
      <c r="S274" s="2"/>
      <c r="T274" s="2"/>
      <c r="U274" s="2"/>
      <c r="V274" s="2"/>
      <c r="W274" s="2"/>
      <c r="X274" s="2"/>
      <c r="Y274" s="2"/>
      <c r="Z274" s="2"/>
      <c r="AA274" s="2"/>
      <c r="AB274" s="2"/>
      <c r="AC274" s="2"/>
      <c r="AD274" s="2"/>
      <c r="AE274" s="2"/>
      <c r="AF274" s="104">
        <v>37895</v>
      </c>
      <c r="AG274" s="89">
        <v>392.315</v>
      </c>
      <c r="AH274" s="89">
        <v>0</v>
      </c>
      <c r="AI274" s="96">
        <v>635.471</v>
      </c>
      <c r="AJ274" s="112">
        <f t="shared" si="21"/>
        <v>1051.1646183206105</v>
      </c>
      <c r="AK274" s="112">
        <f t="shared" si="20"/>
        <v>0</v>
      </c>
      <c r="AL274" s="113">
        <f t="shared" si="22"/>
        <v>1663.7786181818183</v>
      </c>
      <c r="AM274" s="68"/>
      <c r="AN274" s="68"/>
      <c r="AO274" s="69"/>
      <c r="AP274" s="114">
        <f>AM276*AJ274/SUM(AJ274:AJ276)/(AJ274*10^3*10^3)</f>
        <v>0</v>
      </c>
      <c r="AQ274" s="115" t="e">
        <f>AN276*AK274/SUM(AK274:AK276)/(AK274*10^3*10^3)</f>
        <v>#DIV/0!</v>
      </c>
      <c r="AR274" s="114">
        <f>AO276*AL274/SUM(AL274:AL276)/(AL274*10^3*10^3)</f>
        <v>0</v>
      </c>
      <c r="AS274" s="2"/>
      <c r="AT274" s="2"/>
      <c r="AU274" s="2"/>
      <c r="AV274" s="2"/>
      <c r="AW274" s="2"/>
      <c r="AX274" s="2"/>
      <c r="AY274" s="2"/>
      <c r="AZ274" s="2"/>
      <c r="DU274" s="5"/>
      <c r="DV274" s="5"/>
      <c r="DW274" s="5"/>
      <c r="DX274" s="5"/>
      <c r="DY274" s="5"/>
      <c r="DZ274" s="5"/>
      <c r="EA274" s="5"/>
      <c r="EB274" s="5"/>
      <c r="EC274" s="5"/>
      <c r="ED274" s="3"/>
      <c r="EE274" s="3"/>
      <c r="EF274" s="3"/>
      <c r="EG274" s="3"/>
      <c r="EH274" s="3"/>
    </row>
    <row r="275" spans="1:138" ht="10.5" customHeight="1" x14ac:dyDescent="0.15">
      <c r="A275" s="23"/>
      <c r="B275" s="74">
        <v>2</v>
      </c>
      <c r="C275" s="71" t="s">
        <v>11</v>
      </c>
      <c r="D275" s="62" t="s">
        <v>88</v>
      </c>
      <c r="E275" s="63" t="s">
        <v>88</v>
      </c>
      <c r="F275" s="64"/>
      <c r="G275" s="62" t="s">
        <v>88</v>
      </c>
      <c r="H275" s="63" t="s">
        <v>88</v>
      </c>
      <c r="I275" s="64"/>
      <c r="J275" s="65" t="s">
        <v>88</v>
      </c>
      <c r="K275" s="66" t="s">
        <v>20</v>
      </c>
      <c r="L275" s="67"/>
      <c r="M275" s="68">
        <f>5.1*10^9</f>
        <v>5100000000</v>
      </c>
      <c r="N275" s="68" t="s">
        <v>20</v>
      </c>
      <c r="O275" s="69"/>
      <c r="Q275" s="2"/>
      <c r="R275" s="2"/>
      <c r="S275" s="2"/>
      <c r="T275" s="2"/>
      <c r="U275" s="2"/>
      <c r="V275" s="2"/>
      <c r="W275" s="2"/>
      <c r="X275" s="2"/>
      <c r="Y275" s="2"/>
      <c r="Z275" s="2"/>
      <c r="AA275" s="2"/>
      <c r="AB275" s="2"/>
      <c r="AC275" s="2"/>
      <c r="AD275" s="2"/>
      <c r="AE275" s="2"/>
      <c r="AF275" s="104">
        <v>37926</v>
      </c>
      <c r="AG275" s="89">
        <v>379.59</v>
      </c>
      <c r="AH275" s="89">
        <v>13.278</v>
      </c>
      <c r="AI275" s="96">
        <v>615.28700000000003</v>
      </c>
      <c r="AJ275" s="112">
        <f t="shared" si="21"/>
        <v>1017.0693893129773</v>
      </c>
      <c r="AK275" s="112">
        <f t="shared" si="20"/>
        <v>34.764218181818187</v>
      </c>
      <c r="AL275" s="113">
        <f t="shared" si="22"/>
        <v>1610.9332363636363</v>
      </c>
      <c r="AM275" s="68"/>
      <c r="AN275" s="68"/>
      <c r="AO275" s="69"/>
      <c r="AP275" s="114">
        <f>AM276*AJ275/SUM(AJ274:AJ276)/(AJ275*10^3*10^3)</f>
        <v>0</v>
      </c>
      <c r="AQ275" s="115">
        <f>AN276*AK275/SUM(AK274:AK276)/(AK275*10^3*10^3)</f>
        <v>0</v>
      </c>
      <c r="AR275" s="114">
        <f>AO276*AL275/SUM(AL274:AL276)/(AL275*10^3*10^3)</f>
        <v>0</v>
      </c>
      <c r="AS275" s="2"/>
      <c r="AT275" s="2"/>
      <c r="AU275" s="2"/>
      <c r="AV275" s="2"/>
      <c r="AW275" s="2"/>
      <c r="AX275" s="2"/>
      <c r="AY275" s="2"/>
      <c r="AZ275" s="2"/>
      <c r="DU275" s="5"/>
      <c r="DV275" s="5"/>
      <c r="DW275" s="5"/>
      <c r="DX275" s="5"/>
      <c r="DY275" s="5"/>
      <c r="DZ275" s="5"/>
      <c r="EA275" s="5"/>
      <c r="EB275" s="5"/>
      <c r="EC275" s="5"/>
      <c r="ED275" s="3"/>
      <c r="EE275" s="3"/>
      <c r="EF275" s="3"/>
      <c r="EG275" s="3"/>
      <c r="EH275" s="3"/>
    </row>
    <row r="276" spans="1:138" ht="10.5" customHeight="1" x14ac:dyDescent="0.15">
      <c r="A276" s="23"/>
      <c r="B276" s="74">
        <v>3</v>
      </c>
      <c r="C276" s="71" t="s">
        <v>13</v>
      </c>
      <c r="D276" s="62" t="s">
        <v>88</v>
      </c>
      <c r="E276" s="63" t="s">
        <v>88</v>
      </c>
      <c r="F276" s="64"/>
      <c r="G276" s="62" t="s">
        <v>88</v>
      </c>
      <c r="H276" s="63" t="s">
        <v>88</v>
      </c>
      <c r="I276" s="64"/>
      <c r="J276" s="65" t="s">
        <v>88</v>
      </c>
      <c r="K276" s="68" t="s">
        <v>88</v>
      </c>
      <c r="L276" s="67"/>
      <c r="M276" s="68">
        <f>2.3*10^9</f>
        <v>2300000000</v>
      </c>
      <c r="N276" s="68">
        <f>2.5*10^9</f>
        <v>2500000000</v>
      </c>
      <c r="O276" s="69"/>
      <c r="Q276" s="2"/>
      <c r="R276" s="2"/>
      <c r="S276" s="2"/>
      <c r="T276" s="2"/>
      <c r="U276" s="2"/>
      <c r="V276" s="2"/>
      <c r="W276" s="2"/>
      <c r="X276" s="2"/>
      <c r="Y276" s="2"/>
      <c r="Z276" s="2"/>
      <c r="AA276" s="2"/>
      <c r="AB276" s="2"/>
      <c r="AC276" s="2"/>
      <c r="AD276" s="2"/>
      <c r="AE276" s="2"/>
      <c r="AF276" s="104">
        <v>37956</v>
      </c>
      <c r="AG276" s="89">
        <v>392.28800000000001</v>
      </c>
      <c r="AH276" s="89">
        <v>615.74800000000005</v>
      </c>
      <c r="AI276" s="96">
        <v>635.87400000000002</v>
      </c>
      <c r="AJ276" s="112">
        <f t="shared" si="21"/>
        <v>1051.0922748091605</v>
      </c>
      <c r="AK276" s="112">
        <f t="shared" si="20"/>
        <v>1612.1402181818182</v>
      </c>
      <c r="AL276" s="113">
        <f t="shared" si="22"/>
        <v>1664.8337454545454</v>
      </c>
      <c r="AM276" s="68" t="s">
        <v>20</v>
      </c>
      <c r="AN276" s="68" t="s">
        <v>20</v>
      </c>
      <c r="AO276" s="69" t="s">
        <v>88</v>
      </c>
      <c r="AP276" s="114">
        <f>AM276*AJ276/SUM(AJ274:AJ276)/(AJ276*10^3*10^3)</f>
        <v>0</v>
      </c>
      <c r="AQ276" s="115">
        <f>AN276*AK276/SUM(AK274:AK276)/(AK276*10^3*10^3)</f>
        <v>0</v>
      </c>
      <c r="AR276" s="114">
        <f>AO276*AL276/SUM(AL274:AL276)/(AL276*10^3*10^3)</f>
        <v>0</v>
      </c>
      <c r="AS276" s="2"/>
      <c r="AT276" s="2"/>
      <c r="AU276" s="2"/>
      <c r="AV276" s="2"/>
      <c r="AW276" s="2"/>
      <c r="AX276" s="2"/>
      <c r="AY276" s="2"/>
      <c r="AZ276" s="2"/>
      <c r="DU276" s="5"/>
      <c r="DV276" s="5"/>
      <c r="DW276" s="5"/>
      <c r="DX276" s="5"/>
      <c r="DY276" s="5"/>
      <c r="DZ276" s="5"/>
      <c r="EA276" s="5"/>
      <c r="EB276" s="5"/>
      <c r="EC276" s="5"/>
      <c r="ED276" s="3"/>
      <c r="EE276" s="3"/>
      <c r="EF276" s="3"/>
      <c r="EG276" s="3"/>
      <c r="EH276" s="3"/>
    </row>
    <row r="277" spans="1:138" ht="10.5" customHeight="1" x14ac:dyDescent="0.15">
      <c r="A277" s="24"/>
      <c r="B277" s="75">
        <v>4</v>
      </c>
      <c r="C277" s="19" t="s">
        <v>15</v>
      </c>
      <c r="D277" s="48" t="s">
        <v>88</v>
      </c>
      <c r="E277" s="49" t="s">
        <v>88</v>
      </c>
      <c r="F277" s="42"/>
      <c r="G277" s="48" t="s">
        <v>88</v>
      </c>
      <c r="H277" s="49" t="s">
        <v>88</v>
      </c>
      <c r="I277" s="42"/>
      <c r="J277" s="51" t="s">
        <v>88</v>
      </c>
      <c r="K277" s="50" t="s">
        <v>20</v>
      </c>
      <c r="L277" s="43"/>
      <c r="M277" s="52">
        <f>1.2*10^9</f>
        <v>1200000000</v>
      </c>
      <c r="N277" s="52" t="s">
        <v>20</v>
      </c>
      <c r="O277" s="53"/>
      <c r="Q277" s="2"/>
      <c r="R277" s="2"/>
      <c r="S277" s="2"/>
      <c r="T277" s="2"/>
      <c r="U277" s="2"/>
      <c r="V277" s="2"/>
      <c r="W277" s="2"/>
      <c r="X277" s="2"/>
      <c r="Y277" s="2"/>
      <c r="Z277" s="2"/>
      <c r="AA277" s="2"/>
      <c r="AB277" s="2"/>
      <c r="AC277" s="2"/>
      <c r="AD277" s="2"/>
      <c r="AE277" s="2"/>
      <c r="AF277" s="104">
        <v>37987</v>
      </c>
      <c r="AG277" s="89">
        <v>391.83800000000002</v>
      </c>
      <c r="AH277" s="89">
        <v>622.57399999999996</v>
      </c>
      <c r="AI277" s="96">
        <v>636.06100000000004</v>
      </c>
      <c r="AJ277" s="112">
        <f t="shared" si="21"/>
        <v>1049.8865496183207</v>
      </c>
      <c r="AK277" s="112">
        <f t="shared" si="20"/>
        <v>1630.0119272727272</v>
      </c>
      <c r="AL277" s="113">
        <f t="shared" si="22"/>
        <v>1665.3233454545455</v>
      </c>
      <c r="AM277" s="68"/>
      <c r="AN277" s="68"/>
      <c r="AO277" s="69"/>
      <c r="AP277" s="114">
        <f>AM279*AJ277/SUM(AJ277:AJ279)/(AJ277*10^3*10^3)</f>
        <v>0.10048070528597171</v>
      </c>
      <c r="AQ277" s="115">
        <f>AN279*AK277/SUM(AK277:AK279)/(AK277*10^3*10^3)</f>
        <v>0</v>
      </c>
      <c r="AR277" s="114">
        <f>AO279*AL277/SUM(AL277:AL279)/(AL277*10^3*10^3)</f>
        <v>0</v>
      </c>
      <c r="AS277" s="2"/>
      <c r="AT277" s="2"/>
      <c r="AU277" s="2"/>
      <c r="AV277" s="2"/>
      <c r="AW277" s="2"/>
      <c r="AX277" s="2"/>
      <c r="AY277" s="2"/>
      <c r="AZ277" s="2"/>
      <c r="DU277" s="5"/>
      <c r="DV277" s="5"/>
      <c r="DW277" s="5"/>
      <c r="DX277" s="5"/>
      <c r="DY277" s="5"/>
      <c r="DZ277" s="5"/>
      <c r="EA277" s="5"/>
      <c r="EB277" s="5"/>
      <c r="EC277" s="5"/>
      <c r="ED277" s="3"/>
      <c r="EE277" s="3"/>
      <c r="EF277" s="3"/>
      <c r="EG277" s="3"/>
      <c r="EH277" s="3"/>
    </row>
    <row r="278" spans="1:138" ht="10.5" customHeight="1" x14ac:dyDescent="0.15">
      <c r="A278" s="18" t="s">
        <v>21</v>
      </c>
      <c r="B278" s="73">
        <v>1</v>
      </c>
      <c r="C278" s="70" t="s">
        <v>10</v>
      </c>
      <c r="D278" s="54" t="s">
        <v>88</v>
      </c>
      <c r="E278" s="55" t="s">
        <v>88</v>
      </c>
      <c r="F278" s="56"/>
      <c r="G278" s="54" t="s">
        <v>88</v>
      </c>
      <c r="H278" s="55" t="s">
        <v>88</v>
      </c>
      <c r="I278" s="56"/>
      <c r="J278" s="57" t="s">
        <v>88</v>
      </c>
      <c r="K278" s="58" t="s">
        <v>20</v>
      </c>
      <c r="L278" s="59"/>
      <c r="M278" s="60">
        <f>4.1*10^10</f>
        <v>41000000000</v>
      </c>
      <c r="N278" s="60" t="s">
        <v>20</v>
      </c>
      <c r="O278" s="61"/>
      <c r="Q278" s="2"/>
      <c r="R278" s="2"/>
      <c r="S278" s="2"/>
      <c r="T278" s="2"/>
      <c r="U278" s="2"/>
      <c r="V278" s="2"/>
      <c r="W278" s="2"/>
      <c r="X278" s="2"/>
      <c r="Y278" s="2"/>
      <c r="Z278" s="2"/>
      <c r="AA278" s="2"/>
      <c r="AB278" s="2"/>
      <c r="AC278" s="2"/>
      <c r="AD278" s="2"/>
      <c r="AE278" s="2"/>
      <c r="AF278" s="104">
        <v>38018</v>
      </c>
      <c r="AG278" s="89">
        <v>366.64299999999997</v>
      </c>
      <c r="AH278" s="89">
        <v>582.35199999999998</v>
      </c>
      <c r="AI278" s="96">
        <v>594.84699999999998</v>
      </c>
      <c r="AJ278" s="112">
        <f t="shared" si="21"/>
        <v>982.37933587786267</v>
      </c>
      <c r="AK278" s="112">
        <f t="shared" si="20"/>
        <v>1524.7034181818181</v>
      </c>
      <c r="AL278" s="113">
        <f t="shared" si="22"/>
        <v>1557.4175999999998</v>
      </c>
      <c r="AM278" s="68"/>
      <c r="AN278" s="68"/>
      <c r="AO278" s="69"/>
      <c r="AP278" s="114">
        <f>AM279*AJ278/SUM(AJ277:AJ279)/(AJ278*10^3*10^3)</f>
        <v>0.10048070528597171</v>
      </c>
      <c r="AQ278" s="115">
        <f>AN279*AK278/SUM(AK277:AK279)/(AK278*10^3*10^3)</f>
        <v>0</v>
      </c>
      <c r="AR278" s="114">
        <f>AO279*AL278/SUM(AL277:AL279)/(AL278*10^3*10^3)</f>
        <v>0</v>
      </c>
      <c r="AS278" s="2"/>
      <c r="AT278" s="2"/>
      <c r="AU278" s="2"/>
      <c r="AV278" s="2"/>
      <c r="AW278" s="2"/>
      <c r="AX278" s="2"/>
      <c r="AY278" s="2"/>
      <c r="AZ278" s="2"/>
      <c r="DU278" s="5"/>
      <c r="DV278" s="5"/>
      <c r="DW278" s="5"/>
      <c r="DX278" s="5"/>
      <c r="DY278" s="5"/>
      <c r="DZ278" s="5"/>
      <c r="EA278" s="5"/>
      <c r="EB278" s="5"/>
      <c r="EC278" s="5"/>
      <c r="ED278" s="3"/>
      <c r="EE278" s="3"/>
      <c r="EF278" s="3"/>
      <c r="EG278" s="3"/>
      <c r="EH278" s="3"/>
    </row>
    <row r="279" spans="1:138" ht="10.5" customHeight="1" x14ac:dyDescent="0.15">
      <c r="A279" s="23"/>
      <c r="B279" s="74">
        <v>2</v>
      </c>
      <c r="C279" s="71" t="s">
        <v>11</v>
      </c>
      <c r="D279" s="62" t="s">
        <v>88</v>
      </c>
      <c r="E279" s="63" t="s">
        <v>88</v>
      </c>
      <c r="F279" s="64"/>
      <c r="G279" s="62" t="s">
        <v>88</v>
      </c>
      <c r="H279" s="63" t="s">
        <v>88</v>
      </c>
      <c r="I279" s="64"/>
      <c r="J279" s="65" t="s">
        <v>88</v>
      </c>
      <c r="K279" s="66" t="s">
        <v>20</v>
      </c>
      <c r="L279" s="67"/>
      <c r="M279" s="68">
        <f>9.8*10^8</f>
        <v>980000000.00000012</v>
      </c>
      <c r="N279" s="68" t="s">
        <v>20</v>
      </c>
      <c r="O279" s="69"/>
      <c r="Q279" s="2"/>
      <c r="R279" s="2"/>
      <c r="S279" s="2"/>
      <c r="T279" s="2"/>
      <c r="U279" s="2"/>
      <c r="V279" s="2"/>
      <c r="W279" s="2"/>
      <c r="X279" s="2"/>
      <c r="Y279" s="2"/>
      <c r="Z279" s="2"/>
      <c r="AA279" s="2"/>
      <c r="AB279" s="2"/>
      <c r="AC279" s="2"/>
      <c r="AD279" s="2"/>
      <c r="AE279" s="2"/>
      <c r="AF279" s="104">
        <v>38047</v>
      </c>
      <c r="AG279" s="89">
        <v>392.964</v>
      </c>
      <c r="AH279" s="89">
        <v>622.29200000000003</v>
      </c>
      <c r="AI279" s="96">
        <v>635.41300000000001</v>
      </c>
      <c r="AJ279" s="112">
        <f t="shared" si="21"/>
        <v>1052.9035419847328</v>
      </c>
      <c r="AK279" s="112">
        <f t="shared" si="20"/>
        <v>1629.2736</v>
      </c>
      <c r="AL279" s="113">
        <f t="shared" si="22"/>
        <v>1663.6267636363634</v>
      </c>
      <c r="AM279" s="68">
        <v>310000000</v>
      </c>
      <c r="AN279" s="68" t="s">
        <v>20</v>
      </c>
      <c r="AO279" s="69" t="s">
        <v>88</v>
      </c>
      <c r="AP279" s="114">
        <f>AM279*AJ279/SUM(AJ277:AJ279)/(AJ279*10^3*10^3)</f>
        <v>0.10048070528597171</v>
      </c>
      <c r="AQ279" s="115">
        <f>AN279*AK279/SUM(AK277:AK279)/(AK279*10^3*10^3)</f>
        <v>0</v>
      </c>
      <c r="AR279" s="114">
        <f>AO279*AL279/SUM(AL277:AL279)/(AL279*10^3*10^3)</f>
        <v>0</v>
      </c>
      <c r="AS279" s="2"/>
      <c r="AT279" s="2"/>
      <c r="AU279" s="2"/>
      <c r="AV279" s="2"/>
      <c r="AW279" s="2"/>
      <c r="AX279" s="2"/>
      <c r="AY279" s="2"/>
      <c r="AZ279" s="2"/>
      <c r="DU279" s="5"/>
      <c r="DV279" s="5"/>
      <c r="DW279" s="5"/>
      <c r="DX279" s="5"/>
      <c r="DY279" s="5"/>
      <c r="DZ279" s="5"/>
      <c r="EA279" s="5"/>
      <c r="EB279" s="5"/>
      <c r="EC279" s="5"/>
      <c r="ED279" s="3"/>
      <c r="EE279" s="3"/>
      <c r="EF279" s="3"/>
      <c r="EG279" s="3"/>
      <c r="EH279" s="3"/>
    </row>
    <row r="280" spans="1:138" ht="10.5" customHeight="1" x14ac:dyDescent="0.15">
      <c r="A280" s="23"/>
      <c r="B280" s="74">
        <v>3</v>
      </c>
      <c r="C280" s="71" t="s">
        <v>13</v>
      </c>
      <c r="D280" s="62" t="s">
        <v>88</v>
      </c>
      <c r="E280" s="63" t="s">
        <v>88</v>
      </c>
      <c r="F280" s="64"/>
      <c r="G280" s="62" t="s">
        <v>88</v>
      </c>
      <c r="H280" s="63" t="s">
        <v>88</v>
      </c>
      <c r="I280" s="64"/>
      <c r="J280" s="65" t="s">
        <v>88</v>
      </c>
      <c r="K280" s="68" t="s">
        <v>20</v>
      </c>
      <c r="L280" s="67"/>
      <c r="M280" s="68">
        <f>1.1*10^10</f>
        <v>11000000000</v>
      </c>
      <c r="N280" s="68" t="s">
        <v>20</v>
      </c>
      <c r="O280" s="69"/>
      <c r="Q280" s="2"/>
      <c r="R280" s="2"/>
      <c r="S280" s="2"/>
      <c r="T280" s="2"/>
      <c r="U280" s="2"/>
      <c r="V280" s="2"/>
      <c r="W280" s="2"/>
      <c r="X280" s="2"/>
      <c r="Y280" s="2"/>
      <c r="Z280" s="2"/>
      <c r="AA280" s="2"/>
      <c r="AB280" s="2"/>
      <c r="AC280" s="2"/>
      <c r="AD280" s="2"/>
      <c r="AE280" s="2"/>
      <c r="AF280" s="105">
        <v>38078</v>
      </c>
      <c r="AG280" s="89">
        <v>380.58199999999999</v>
      </c>
      <c r="AH280" s="89">
        <v>602.303</v>
      </c>
      <c r="AI280" s="96">
        <v>615.221</v>
      </c>
      <c r="AJ280" s="112">
        <f t="shared" si="21"/>
        <v>1019.7273435114505</v>
      </c>
      <c r="AK280" s="112">
        <f t="shared" si="20"/>
        <v>1576.9387636363638</v>
      </c>
      <c r="AL280" s="113">
        <f t="shared" si="22"/>
        <v>1610.7604363636362</v>
      </c>
      <c r="AM280" s="68"/>
      <c r="AN280" s="68"/>
      <c r="AO280" s="69"/>
      <c r="AP280" s="115">
        <f>AM282*AJ280/SUM(AJ280:AJ282)/(AJ280*10^3*10^3)</f>
        <v>0</v>
      </c>
      <c r="AQ280" s="114">
        <f>AN282*AK280/SUM(AK280:AK282)/(AK280*10^3*10^3)</f>
        <v>0</v>
      </c>
      <c r="AR280" s="115">
        <f>AO282*AL280/SUM(AL280:AL282)/(AL280*10^3*10^3)</f>
        <v>0</v>
      </c>
      <c r="AS280" s="2"/>
      <c r="AT280" s="2"/>
      <c r="AU280" s="2"/>
      <c r="AV280" s="2"/>
      <c r="AW280" s="2"/>
      <c r="AX280" s="2"/>
      <c r="AY280" s="2"/>
      <c r="AZ280" s="2"/>
      <c r="DU280" s="5"/>
      <c r="DV280" s="5"/>
      <c r="DW280" s="5"/>
      <c r="DX280" s="5"/>
      <c r="DY280" s="5"/>
      <c r="DZ280" s="5"/>
      <c r="EA280" s="5"/>
      <c r="EB280" s="5"/>
      <c r="EC280" s="5"/>
      <c r="ED280" s="3"/>
      <c r="EE280" s="3"/>
      <c r="EF280" s="3"/>
      <c r="EG280" s="3"/>
      <c r="EH280" s="3"/>
    </row>
    <row r="281" spans="1:138" ht="10.5" customHeight="1" x14ac:dyDescent="0.15">
      <c r="A281" s="24"/>
      <c r="B281" s="75">
        <v>4</v>
      </c>
      <c r="C281" s="19" t="s">
        <v>15</v>
      </c>
      <c r="D281" s="48" t="s">
        <v>88</v>
      </c>
      <c r="E281" s="49" t="s">
        <v>88</v>
      </c>
      <c r="F281" s="42"/>
      <c r="G281" s="48" t="s">
        <v>88</v>
      </c>
      <c r="H281" s="49" t="s">
        <v>88</v>
      </c>
      <c r="I281" s="42"/>
      <c r="J281" s="51" t="s">
        <v>88</v>
      </c>
      <c r="K281" s="50" t="s">
        <v>88</v>
      </c>
      <c r="L281" s="43"/>
      <c r="M281" s="52">
        <f>4.7*10^9</f>
        <v>4700000000</v>
      </c>
      <c r="N281" s="52">
        <f>3.5*10^9</f>
        <v>3500000000</v>
      </c>
      <c r="O281" s="53"/>
      <c r="Q281" s="2"/>
      <c r="R281" s="2"/>
      <c r="S281" s="2"/>
      <c r="T281" s="2"/>
      <c r="U281" s="2"/>
      <c r="V281" s="2"/>
      <c r="W281" s="2"/>
      <c r="X281" s="2"/>
      <c r="Y281" s="2"/>
      <c r="Z281" s="2"/>
      <c r="AA281" s="2"/>
      <c r="AB281" s="2"/>
      <c r="AC281" s="2"/>
      <c r="AD281" s="2"/>
      <c r="AE281" s="2"/>
      <c r="AF281" s="105">
        <v>38108</v>
      </c>
      <c r="AG281" s="89">
        <v>393.23</v>
      </c>
      <c r="AH281" s="89">
        <v>622.01400000000001</v>
      </c>
      <c r="AI281" s="96">
        <v>625.78800000000001</v>
      </c>
      <c r="AJ281" s="112">
        <f t="shared" si="21"/>
        <v>1053.6162595419848</v>
      </c>
      <c r="AK281" s="112">
        <f t="shared" si="20"/>
        <v>1628.5457454545453</v>
      </c>
      <c r="AL281" s="113">
        <f t="shared" si="22"/>
        <v>1638.4267636363636</v>
      </c>
      <c r="AM281" s="68"/>
      <c r="AN281" s="68"/>
      <c r="AO281" s="69"/>
      <c r="AP281" s="115">
        <f>AM282*AJ281/SUM(AJ280:AJ282)/(AJ281*10^3*10^3)</f>
        <v>0</v>
      </c>
      <c r="AQ281" s="114">
        <f>AN282*AK281/SUM(AK280:AK282)/(AK281*10^3*10^3)</f>
        <v>0</v>
      </c>
      <c r="AR281" s="115">
        <f>AO282*AL281/SUM(AL280:AL282)/(AL281*10^3*10^3)</f>
        <v>0</v>
      </c>
      <c r="AS281" s="2"/>
      <c r="AT281" s="2"/>
      <c r="AU281" s="2"/>
      <c r="AV281" s="2"/>
      <c r="AW281" s="2"/>
      <c r="AX281" s="2"/>
      <c r="AY281" s="2"/>
      <c r="AZ281" s="2"/>
      <c r="DU281" s="5"/>
      <c r="DV281" s="5"/>
      <c r="DW281" s="5"/>
      <c r="DX281" s="5"/>
      <c r="DY281" s="5"/>
      <c r="DZ281" s="5"/>
      <c r="EA281" s="5"/>
      <c r="EB281" s="5"/>
      <c r="EC281" s="5"/>
      <c r="ED281" s="3"/>
      <c r="EE281" s="3"/>
      <c r="EF281" s="3"/>
      <c r="EG281" s="3"/>
      <c r="EH281" s="3"/>
    </row>
    <row r="282" spans="1:138" ht="10.5" customHeight="1" x14ac:dyDescent="0.15">
      <c r="A282" s="18" t="s">
        <v>22</v>
      </c>
      <c r="B282" s="73">
        <v>1</v>
      </c>
      <c r="C282" s="70" t="s">
        <v>10</v>
      </c>
      <c r="D282" s="54" t="s">
        <v>88</v>
      </c>
      <c r="E282" s="55" t="s">
        <v>88</v>
      </c>
      <c r="F282" s="56"/>
      <c r="G282" s="54" t="s">
        <v>88</v>
      </c>
      <c r="H282" s="55" t="s">
        <v>88</v>
      </c>
      <c r="I282" s="56"/>
      <c r="J282" s="57" t="s">
        <v>88</v>
      </c>
      <c r="K282" s="58" t="s">
        <v>88</v>
      </c>
      <c r="L282" s="59"/>
      <c r="M282" s="60">
        <f>5.4*10^10</f>
        <v>54000000000</v>
      </c>
      <c r="N282" s="60" t="s">
        <v>20</v>
      </c>
      <c r="O282" s="61"/>
      <c r="P282" s="44"/>
      <c r="Q282" s="2"/>
      <c r="R282" s="2"/>
      <c r="S282" s="2"/>
      <c r="T282" s="2"/>
      <c r="U282" s="2"/>
      <c r="V282" s="2"/>
      <c r="W282" s="2"/>
      <c r="X282" s="2"/>
      <c r="Y282" s="2"/>
      <c r="Z282" s="2"/>
      <c r="AA282" s="2"/>
      <c r="AB282" s="2"/>
      <c r="AC282" s="2"/>
      <c r="AD282" s="2"/>
      <c r="AE282" s="2"/>
      <c r="AF282" s="105">
        <v>38139</v>
      </c>
      <c r="AG282" s="89">
        <v>380.37</v>
      </c>
      <c r="AH282" s="92">
        <v>601.63400000000001</v>
      </c>
      <c r="AI282" s="97">
        <v>166.321</v>
      </c>
      <c r="AJ282" s="112">
        <f t="shared" si="21"/>
        <v>1019.1593129770994</v>
      </c>
      <c r="AK282" s="112">
        <f t="shared" si="20"/>
        <v>1575.1871999999998</v>
      </c>
      <c r="AL282" s="113">
        <f t="shared" si="22"/>
        <v>435.45861818181817</v>
      </c>
      <c r="AM282" s="68" t="s">
        <v>20</v>
      </c>
      <c r="AN282" s="68" t="s">
        <v>20</v>
      </c>
      <c r="AO282" s="125" t="s">
        <v>88</v>
      </c>
      <c r="AP282" s="115">
        <f>AM282*AJ282/SUM(AJ280:AJ282)/(AJ282*10^3*10^3)</f>
        <v>0</v>
      </c>
      <c r="AQ282" s="114">
        <f>AN282*AK282/SUM(AK280:AK282)/(AK282*10^3*10^3)</f>
        <v>0</v>
      </c>
      <c r="AR282" s="115">
        <f>AO282*AL282/SUM(AL280:AL282)/(AL282*10^3*10^3)</f>
        <v>0</v>
      </c>
      <c r="AS282" s="2"/>
      <c r="AT282" s="2"/>
      <c r="AU282" s="2"/>
      <c r="AV282" s="2"/>
      <c r="AW282" s="2"/>
      <c r="AX282" s="2"/>
      <c r="AY282" s="2"/>
      <c r="AZ282" s="2"/>
      <c r="DU282" s="5"/>
      <c r="DV282" s="5"/>
      <c r="DW282" s="5"/>
      <c r="DX282" s="5"/>
      <c r="DY282" s="5"/>
      <c r="DZ282" s="5"/>
      <c r="EA282" s="5"/>
      <c r="EB282" s="5"/>
      <c r="EC282" s="5"/>
      <c r="ED282" s="3"/>
      <c r="EE282" s="3"/>
      <c r="EF282" s="3"/>
      <c r="EG282" s="3"/>
      <c r="EH282" s="3"/>
    </row>
    <row r="283" spans="1:138" ht="10.5" customHeight="1" x14ac:dyDescent="0.15">
      <c r="A283" s="23"/>
      <c r="B283" s="74">
        <v>2</v>
      </c>
      <c r="C283" s="71" t="s">
        <v>11</v>
      </c>
      <c r="D283" s="62" t="s">
        <v>88</v>
      </c>
      <c r="E283" s="63" t="s">
        <v>88</v>
      </c>
      <c r="F283" s="64"/>
      <c r="G283" s="62" t="s">
        <v>88</v>
      </c>
      <c r="H283" s="63" t="s">
        <v>88</v>
      </c>
      <c r="I283" s="64"/>
      <c r="J283" s="65" t="s">
        <v>88</v>
      </c>
      <c r="K283" s="66" t="s">
        <v>20</v>
      </c>
      <c r="L283" s="67"/>
      <c r="M283" s="68">
        <f>3.1*10^9</f>
        <v>3100000000</v>
      </c>
      <c r="N283" s="68" t="s">
        <v>20</v>
      </c>
      <c r="O283" s="69"/>
      <c r="P283" s="44"/>
      <c r="Q283" s="2"/>
      <c r="R283" s="2"/>
      <c r="S283" s="2"/>
      <c r="T283" s="2"/>
      <c r="U283" s="2"/>
      <c r="V283" s="2"/>
      <c r="W283" s="2"/>
      <c r="X283" s="2"/>
      <c r="Y283" s="2"/>
      <c r="Z283" s="2"/>
      <c r="AA283" s="2"/>
      <c r="AB283" s="2"/>
      <c r="AC283" s="2"/>
      <c r="AD283" s="2"/>
      <c r="AE283" s="2"/>
      <c r="AF283" s="105">
        <v>38169</v>
      </c>
      <c r="AG283" s="89">
        <v>392.834</v>
      </c>
      <c r="AH283" s="89">
        <v>620.94200000000001</v>
      </c>
      <c r="AI283" s="96">
        <v>0</v>
      </c>
      <c r="AJ283" s="112">
        <f t="shared" si="21"/>
        <v>1052.5552213740459</v>
      </c>
      <c r="AK283" s="112">
        <f t="shared" si="20"/>
        <v>1625.7390545454543</v>
      </c>
      <c r="AL283" s="113">
        <f t="shared" si="22"/>
        <v>0</v>
      </c>
      <c r="AM283" s="68"/>
      <c r="AN283" s="68"/>
      <c r="AO283" s="69"/>
      <c r="AP283" s="115">
        <f>AM285*AJ283/SUM(AJ283:AJ285)/(AJ283*10^3*10^3)</f>
        <v>0.33455394446123593</v>
      </c>
      <c r="AQ283" s="114">
        <f>AN285*AK283/SUM(AK283:AK285)/(AK283*10^3*10^3)</f>
        <v>0</v>
      </c>
      <c r="AR283" s="115" t="e">
        <f>AO285*AL283/SUM(AL283:AL285)/(AL283*10^3*10^3)</f>
        <v>#DIV/0!</v>
      </c>
      <c r="AS283" s="2"/>
      <c r="AT283" s="2"/>
      <c r="AU283" s="2"/>
      <c r="AV283" s="2"/>
      <c r="AW283" s="2"/>
      <c r="AX283" s="2"/>
      <c r="AY283" s="2"/>
      <c r="AZ283" s="2"/>
      <c r="DU283" s="5"/>
      <c r="DV283" s="5"/>
      <c r="DW283" s="5"/>
      <c r="DX283" s="5"/>
      <c r="DY283" s="5"/>
      <c r="DZ283" s="5"/>
      <c r="EA283" s="5"/>
      <c r="EB283" s="5"/>
      <c r="EC283" s="5"/>
      <c r="ED283" s="3"/>
      <c r="EE283" s="3"/>
      <c r="EF283" s="3"/>
      <c r="EG283" s="3"/>
      <c r="EH283" s="3"/>
    </row>
    <row r="284" spans="1:138" ht="10.5" customHeight="1" x14ac:dyDescent="0.15">
      <c r="A284" s="23"/>
      <c r="B284" s="74">
        <v>3</v>
      </c>
      <c r="C284" s="71" t="s">
        <v>13</v>
      </c>
      <c r="D284" s="62" t="s">
        <v>88</v>
      </c>
      <c r="E284" s="63" t="s">
        <v>88</v>
      </c>
      <c r="F284" s="64"/>
      <c r="G284" s="62" t="s">
        <v>88</v>
      </c>
      <c r="H284" s="63" t="s">
        <v>88</v>
      </c>
      <c r="I284" s="64"/>
      <c r="J284" s="65" t="s">
        <v>88</v>
      </c>
      <c r="K284" s="68" t="s">
        <v>20</v>
      </c>
      <c r="L284" s="67"/>
      <c r="M284" s="68">
        <f>2.5*10^10</f>
        <v>25000000000</v>
      </c>
      <c r="N284" s="68" t="s">
        <v>20</v>
      </c>
      <c r="O284" s="69"/>
      <c r="P284" s="44"/>
      <c r="Q284" s="2"/>
      <c r="R284" s="2"/>
      <c r="S284" s="2"/>
      <c r="T284" s="2"/>
      <c r="U284" s="2"/>
      <c r="V284" s="2"/>
      <c r="W284" s="2"/>
      <c r="X284" s="2"/>
      <c r="Y284" s="2"/>
      <c r="Z284" s="2"/>
      <c r="AA284" s="2"/>
      <c r="AB284" s="2"/>
      <c r="AC284" s="2"/>
      <c r="AD284" s="2"/>
      <c r="AE284" s="2"/>
      <c r="AF284" s="105">
        <v>38200</v>
      </c>
      <c r="AG284" s="89">
        <v>391.73099999999999</v>
      </c>
      <c r="AH284" s="89">
        <v>619.673</v>
      </c>
      <c r="AI284" s="96">
        <v>0.98099999999999998</v>
      </c>
      <c r="AJ284" s="112">
        <f t="shared" si="21"/>
        <v>1049.5998549618321</v>
      </c>
      <c r="AK284" s="112">
        <f t="shared" si="20"/>
        <v>1622.4165818181818</v>
      </c>
      <c r="AL284" s="113">
        <f t="shared" si="22"/>
        <v>2.5684363636363639</v>
      </c>
      <c r="AM284" s="68"/>
      <c r="AN284" s="68"/>
      <c r="AO284" s="69"/>
      <c r="AP284" s="115">
        <f>AM285*AJ284/SUM(AJ283:AJ285)/(AJ284*10^3*10^3)</f>
        <v>0.33455394446123593</v>
      </c>
      <c r="AQ284" s="114">
        <f>AN285*AK284/SUM(AK283:AK285)/(AK284*10^3*10^3)</f>
        <v>0</v>
      </c>
      <c r="AR284" s="115">
        <f>AO285*AL284/SUM(AL283:AL285)/(AL284*10^3*10^3)</f>
        <v>0</v>
      </c>
      <c r="AS284" s="2"/>
      <c r="AT284" s="2"/>
      <c r="AU284" s="2"/>
      <c r="AV284" s="2"/>
      <c r="AW284" s="2"/>
      <c r="AX284" s="2"/>
      <c r="AY284" s="2"/>
      <c r="AZ284" s="2"/>
      <c r="DU284" s="5"/>
      <c r="DV284" s="5"/>
      <c r="DW284" s="5"/>
      <c r="DX284" s="5"/>
      <c r="DY284" s="5"/>
      <c r="DZ284" s="5"/>
      <c r="EA284" s="5"/>
      <c r="EB284" s="5"/>
      <c r="EC284" s="5"/>
      <c r="ED284" s="3"/>
      <c r="EE284" s="3"/>
      <c r="EF284" s="3"/>
      <c r="EG284" s="3"/>
      <c r="EH284" s="3"/>
    </row>
    <row r="285" spans="1:138" ht="10.5" customHeight="1" x14ac:dyDescent="0.15">
      <c r="A285" s="24"/>
      <c r="B285" s="75">
        <v>4</v>
      </c>
      <c r="C285" s="19" t="s">
        <v>15</v>
      </c>
      <c r="D285" s="48" t="s">
        <v>88</v>
      </c>
      <c r="E285" s="49" t="s">
        <v>88</v>
      </c>
      <c r="F285" s="42"/>
      <c r="G285" s="48" t="s">
        <v>88</v>
      </c>
      <c r="H285" s="49" t="s">
        <v>88</v>
      </c>
      <c r="I285" s="42"/>
      <c r="J285" s="51" t="s">
        <v>88</v>
      </c>
      <c r="K285" s="50" t="s">
        <v>20</v>
      </c>
      <c r="L285" s="43"/>
      <c r="M285" s="52">
        <f>7.8*10^9</f>
        <v>7800000000</v>
      </c>
      <c r="N285" s="52" t="s">
        <v>48</v>
      </c>
      <c r="O285" s="53"/>
      <c r="P285" s="44"/>
      <c r="Q285" s="2"/>
      <c r="R285" s="2"/>
      <c r="S285" s="2"/>
      <c r="T285" s="2"/>
      <c r="U285" s="2"/>
      <c r="V285" s="2"/>
      <c r="W285" s="2"/>
      <c r="X285" s="2"/>
      <c r="Y285" s="2"/>
      <c r="Z285" s="2"/>
      <c r="AA285" s="2"/>
      <c r="AB285" s="2"/>
      <c r="AC285" s="2"/>
      <c r="AD285" s="2"/>
      <c r="AE285" s="2"/>
      <c r="AF285" s="105">
        <v>38231</v>
      </c>
      <c r="AG285" s="89">
        <v>85.581999999999994</v>
      </c>
      <c r="AH285" s="89">
        <v>599.601</v>
      </c>
      <c r="AI285" s="96">
        <v>402.91500000000002</v>
      </c>
      <c r="AJ285" s="112">
        <f t="shared" si="21"/>
        <v>229.30749618320613</v>
      </c>
      <c r="AK285" s="112">
        <f t="shared" si="20"/>
        <v>1569.8644363636363</v>
      </c>
      <c r="AL285" s="113">
        <f t="shared" si="22"/>
        <v>1054.9047272727273</v>
      </c>
      <c r="AM285" s="68">
        <v>780000000</v>
      </c>
      <c r="AN285" s="68" t="s">
        <v>20</v>
      </c>
      <c r="AO285" s="69" t="s">
        <v>88</v>
      </c>
      <c r="AP285" s="115">
        <f>AM285*AJ285/SUM(AJ283:AJ285)/(AJ285*10^3*10^3)</f>
        <v>0.33455394446123599</v>
      </c>
      <c r="AQ285" s="114">
        <f>AN285*AK285/SUM(AK283:AK285)/(AK285*10^3*10^3)</f>
        <v>0</v>
      </c>
      <c r="AR285" s="115">
        <f>AO285*AL285/SUM(AL283:AL285)/(AL285*10^3*10^3)</f>
        <v>0</v>
      </c>
      <c r="AS285" s="2"/>
      <c r="AT285" s="2"/>
      <c r="AU285" s="2"/>
      <c r="AV285" s="2"/>
      <c r="AW285" s="2"/>
      <c r="AX285" s="2"/>
      <c r="AY285" s="2"/>
      <c r="AZ285" s="2"/>
      <c r="DU285" s="5"/>
      <c r="DV285" s="5"/>
      <c r="DW285" s="5"/>
      <c r="DX285" s="5"/>
      <c r="DY285" s="5"/>
      <c r="DZ285" s="5"/>
      <c r="EA285" s="5"/>
      <c r="EB285" s="5"/>
      <c r="EC285" s="5"/>
      <c r="ED285" s="3"/>
      <c r="EE285" s="3"/>
      <c r="EF285" s="3"/>
      <c r="EG285" s="3"/>
      <c r="EH285" s="3"/>
    </row>
    <row r="286" spans="1:138" ht="10.5" customHeight="1" x14ac:dyDescent="0.15">
      <c r="A286" s="18" t="s">
        <v>23</v>
      </c>
      <c r="B286" s="73">
        <v>1</v>
      </c>
      <c r="C286" s="70" t="s">
        <v>10</v>
      </c>
      <c r="D286" s="54" t="s">
        <v>88</v>
      </c>
      <c r="E286" s="55" t="s">
        <v>88</v>
      </c>
      <c r="F286" s="56" t="s">
        <v>88</v>
      </c>
      <c r="G286" s="54" t="s">
        <v>88</v>
      </c>
      <c r="H286" s="55" t="s">
        <v>88</v>
      </c>
      <c r="I286" s="56" t="s">
        <v>88</v>
      </c>
      <c r="J286" s="57" t="s">
        <v>88</v>
      </c>
      <c r="K286" s="58" t="s">
        <v>88</v>
      </c>
      <c r="L286" s="59" t="s">
        <v>48</v>
      </c>
      <c r="M286" s="60">
        <f>2.5*10^9</f>
        <v>2500000000</v>
      </c>
      <c r="N286" s="60">
        <f>4.3*10^9</f>
        <v>4300000000</v>
      </c>
      <c r="O286" s="61" t="s">
        <v>20</v>
      </c>
      <c r="P286" s="44"/>
      <c r="Q286" s="2"/>
      <c r="R286" s="2"/>
      <c r="S286" s="2"/>
      <c r="T286" s="2"/>
      <c r="U286" s="2"/>
      <c r="V286" s="2"/>
      <c r="W286" s="2"/>
      <c r="X286" s="2"/>
      <c r="Y286" s="2"/>
      <c r="Z286" s="2"/>
      <c r="AA286" s="2"/>
      <c r="AB286" s="2"/>
      <c r="AC286" s="2"/>
      <c r="AD286" s="2"/>
      <c r="AE286" s="2"/>
      <c r="AF286" s="105">
        <v>38261</v>
      </c>
      <c r="AG286" s="89">
        <v>0</v>
      </c>
      <c r="AH286" s="89">
        <v>620.20299999999997</v>
      </c>
      <c r="AI286" s="96">
        <v>634.04</v>
      </c>
      <c r="AJ286" s="112">
        <f t="shared" si="21"/>
        <v>0</v>
      </c>
      <c r="AK286" s="112">
        <f t="shared" si="20"/>
        <v>1623.804218181818</v>
      </c>
      <c r="AL286" s="113">
        <f t="shared" si="22"/>
        <v>1660.0319999999999</v>
      </c>
      <c r="AM286" s="68"/>
      <c r="AN286" s="68"/>
      <c r="AO286" s="69"/>
      <c r="AP286" s="115" t="e">
        <f>AM288*AJ286/SUM(AJ286:AJ288)/(AJ286*10^3*10^3)</f>
        <v>#DIV/0!</v>
      </c>
      <c r="AQ286" s="114">
        <f>AN288*AK286/SUM(AK286:AK288)/(AK286*10^3*10^3)</f>
        <v>0</v>
      </c>
      <c r="AR286" s="115">
        <f>AO288*AL286/SUM(AL286:AL288)/(AL286*10^3*10^3)</f>
        <v>5.0695861347681967E-3</v>
      </c>
      <c r="AS286" s="2"/>
      <c r="AT286" s="2"/>
      <c r="AU286" s="2"/>
      <c r="AV286" s="2"/>
      <c r="AW286" s="2"/>
      <c r="AX286" s="2"/>
      <c r="AY286" s="2"/>
      <c r="AZ286" s="2"/>
      <c r="DU286" s="5"/>
      <c r="DV286" s="5"/>
      <c r="DW286" s="5"/>
      <c r="DX286" s="5"/>
      <c r="DY286" s="5"/>
      <c r="DZ286" s="5"/>
      <c r="EA286" s="5"/>
      <c r="EB286" s="5"/>
      <c r="EC286" s="5"/>
      <c r="ED286" s="3"/>
      <c r="EE286" s="3"/>
      <c r="EF286" s="3"/>
      <c r="EG286" s="3"/>
      <c r="EH286" s="3"/>
    </row>
    <row r="287" spans="1:138" ht="10.5" customHeight="1" x14ac:dyDescent="0.15">
      <c r="A287" s="23"/>
      <c r="B287" s="74">
        <v>2</v>
      </c>
      <c r="C287" s="71" t="s">
        <v>11</v>
      </c>
      <c r="D287" s="62" t="s">
        <v>88</v>
      </c>
      <c r="E287" s="63" t="s">
        <v>88</v>
      </c>
      <c r="F287" s="64" t="s">
        <v>88</v>
      </c>
      <c r="G287" s="62" t="s">
        <v>88</v>
      </c>
      <c r="H287" s="63" t="s">
        <v>88</v>
      </c>
      <c r="I287" s="64" t="s">
        <v>88</v>
      </c>
      <c r="J287" s="65" t="s">
        <v>88</v>
      </c>
      <c r="K287" s="66" t="s">
        <v>88</v>
      </c>
      <c r="L287" s="67" t="s">
        <v>88</v>
      </c>
      <c r="M287" s="68">
        <f>1.5*10^9</f>
        <v>1500000000</v>
      </c>
      <c r="N287" s="68">
        <f>2.5*10^8</f>
        <v>250000000</v>
      </c>
      <c r="O287" s="69" t="s">
        <v>88</v>
      </c>
      <c r="P287" s="44"/>
      <c r="Q287" s="2"/>
      <c r="R287" s="2"/>
      <c r="S287" s="2"/>
      <c r="T287" s="2"/>
      <c r="U287" s="2"/>
      <c r="V287" s="2"/>
      <c r="W287" s="2"/>
      <c r="X287" s="2"/>
      <c r="Y287" s="2"/>
      <c r="Z287" s="2"/>
      <c r="AA287" s="2"/>
      <c r="AB287" s="2"/>
      <c r="AC287" s="2"/>
      <c r="AD287" s="2"/>
      <c r="AE287" s="2"/>
      <c r="AF287" s="105">
        <v>38292</v>
      </c>
      <c r="AG287" s="89">
        <v>0</v>
      </c>
      <c r="AH287" s="89">
        <v>600.47699999999998</v>
      </c>
      <c r="AI287" s="96">
        <v>613.95799999999997</v>
      </c>
      <c r="AJ287" s="112">
        <f t="shared" si="21"/>
        <v>0</v>
      </c>
      <c r="AK287" s="112">
        <f t="shared" si="20"/>
        <v>1572.1579636363635</v>
      </c>
      <c r="AL287" s="113">
        <f t="shared" si="22"/>
        <v>1607.4536727272725</v>
      </c>
      <c r="AM287" s="68"/>
      <c r="AN287" s="68"/>
      <c r="AO287" s="69"/>
      <c r="AP287" s="115" t="e">
        <f>AM288*AJ287/SUM(AJ286:AJ288)/(AJ287*10^3*10^3)</f>
        <v>#DIV/0!</v>
      </c>
      <c r="AQ287" s="114">
        <f>AN288*AK287/SUM(AK286:AK288)/(AK287*10^3*10^3)</f>
        <v>0</v>
      </c>
      <c r="AR287" s="115">
        <f>AO288*AL287/SUM(AL286:AL288)/(AL287*10^3*10^3)</f>
        <v>5.0695861347681967E-3</v>
      </c>
      <c r="AS287" s="2"/>
      <c r="AT287" s="2"/>
      <c r="AU287" s="2"/>
      <c r="AV287" s="2"/>
      <c r="AW287" s="2"/>
      <c r="AX287" s="2"/>
      <c r="AY287" s="2"/>
      <c r="AZ287" s="2"/>
      <c r="DU287" s="5"/>
      <c r="DV287" s="5"/>
      <c r="DW287" s="5"/>
      <c r="DX287" s="5"/>
      <c r="DY287" s="5"/>
      <c r="DZ287" s="5"/>
      <c r="EA287" s="5"/>
      <c r="EB287" s="5"/>
      <c r="EC287" s="5"/>
      <c r="ED287" s="3"/>
      <c r="EE287" s="3"/>
      <c r="EF287" s="3"/>
      <c r="EG287" s="3"/>
      <c r="EH287" s="3"/>
    </row>
    <row r="288" spans="1:138" ht="10.5" customHeight="1" x14ac:dyDescent="0.15">
      <c r="A288" s="23"/>
      <c r="B288" s="74">
        <v>3</v>
      </c>
      <c r="C288" s="71" t="s">
        <v>13</v>
      </c>
      <c r="D288" s="62" t="s">
        <v>88</v>
      </c>
      <c r="E288" s="63" t="s">
        <v>88</v>
      </c>
      <c r="F288" s="64" t="s">
        <v>88</v>
      </c>
      <c r="G288" s="62" t="s">
        <v>88</v>
      </c>
      <c r="H288" s="63" t="s">
        <v>88</v>
      </c>
      <c r="I288" s="64" t="s">
        <v>88</v>
      </c>
      <c r="J288" s="65" t="s">
        <v>88</v>
      </c>
      <c r="K288" s="68" t="s">
        <v>88</v>
      </c>
      <c r="L288" s="67" t="s">
        <v>88</v>
      </c>
      <c r="M288" s="68">
        <f>3.7*10^10</f>
        <v>37000000000</v>
      </c>
      <c r="N288" s="68">
        <f>7.6*10^9</f>
        <v>7600000000</v>
      </c>
      <c r="O288" s="69" t="s">
        <v>88</v>
      </c>
      <c r="P288" s="44"/>
      <c r="Q288" s="2"/>
      <c r="R288" s="2"/>
      <c r="S288" s="2"/>
      <c r="T288" s="2"/>
      <c r="U288" s="2"/>
      <c r="V288" s="2"/>
      <c r="W288" s="2"/>
      <c r="X288" s="2"/>
      <c r="Y288" s="2"/>
      <c r="Z288" s="2"/>
      <c r="AA288" s="2"/>
      <c r="AB288" s="2"/>
      <c r="AC288" s="2"/>
      <c r="AD288" s="2"/>
      <c r="AE288" s="2"/>
      <c r="AF288" s="105">
        <v>38322</v>
      </c>
      <c r="AG288" s="89">
        <v>0</v>
      </c>
      <c r="AH288" s="89">
        <v>621.09699999999998</v>
      </c>
      <c r="AI288" s="96">
        <v>635.51099999999997</v>
      </c>
      <c r="AJ288" s="112">
        <f t="shared" si="21"/>
        <v>0</v>
      </c>
      <c r="AK288" s="112">
        <f t="shared" si="20"/>
        <v>1626.1448727272727</v>
      </c>
      <c r="AL288" s="113">
        <f t="shared" si="22"/>
        <v>1663.8833454545454</v>
      </c>
      <c r="AM288" s="68" t="s">
        <v>20</v>
      </c>
      <c r="AN288" s="68" t="s">
        <v>20</v>
      </c>
      <c r="AO288" s="69">
        <v>25000000</v>
      </c>
      <c r="AP288" s="115" t="e">
        <f>AM288*AJ288/SUM(AJ286:AJ288)/(AJ288*10^3*10^3)</f>
        <v>#DIV/0!</v>
      </c>
      <c r="AQ288" s="114">
        <f>AN288*AK288/SUM(AK286:AK288)/(AK288*10^3*10^3)</f>
        <v>0</v>
      </c>
      <c r="AR288" s="115">
        <f>AO288*AL288/SUM(AL286:AL288)/(AL288*10^3*10^3)</f>
        <v>5.0695861347681958E-3</v>
      </c>
      <c r="AS288" s="2"/>
      <c r="AT288" s="2"/>
      <c r="AU288" s="2"/>
      <c r="AV288" s="2"/>
      <c r="AW288" s="2"/>
      <c r="AX288" s="2"/>
      <c r="AY288" s="2"/>
      <c r="AZ288" s="2"/>
      <c r="DU288" s="5"/>
      <c r="DV288" s="5"/>
      <c r="DW288" s="5"/>
      <c r="DX288" s="5"/>
      <c r="DY288" s="5"/>
      <c r="DZ288" s="5"/>
      <c r="EA288" s="5"/>
      <c r="EB288" s="5"/>
      <c r="EC288" s="5"/>
      <c r="ED288" s="3"/>
      <c r="EE288" s="3"/>
      <c r="EF288" s="3"/>
      <c r="EG288" s="3"/>
      <c r="EH288" s="3"/>
    </row>
    <row r="289" spans="1:138" ht="10.5" customHeight="1" x14ac:dyDescent="0.15">
      <c r="A289" s="24"/>
      <c r="B289" s="75">
        <v>4</v>
      </c>
      <c r="C289" s="19" t="s">
        <v>15</v>
      </c>
      <c r="D289" s="48" t="s">
        <v>88</v>
      </c>
      <c r="E289" s="49" t="s">
        <v>88</v>
      </c>
      <c r="F289" s="42" t="s">
        <v>88</v>
      </c>
      <c r="G289" s="48" t="s">
        <v>88</v>
      </c>
      <c r="H289" s="49" t="s">
        <v>88</v>
      </c>
      <c r="I289" s="42" t="s">
        <v>88</v>
      </c>
      <c r="J289" s="51" t="s">
        <v>88</v>
      </c>
      <c r="K289" s="50" t="s">
        <v>88</v>
      </c>
      <c r="L289" s="43" t="s">
        <v>88</v>
      </c>
      <c r="M289" s="52">
        <f>7.7*10^9</f>
        <v>7700000000</v>
      </c>
      <c r="N289" s="52" t="s">
        <v>20</v>
      </c>
      <c r="O289" s="53" t="s">
        <v>88</v>
      </c>
      <c r="P289" s="44"/>
      <c r="Q289" s="2"/>
      <c r="R289" s="2"/>
      <c r="S289" s="2"/>
      <c r="T289" s="2"/>
      <c r="U289" s="2"/>
      <c r="V289" s="2"/>
      <c r="W289" s="2"/>
      <c r="X289" s="2"/>
      <c r="Y289" s="2"/>
      <c r="Z289" s="2"/>
      <c r="AA289" s="2"/>
      <c r="AB289" s="2"/>
      <c r="AC289" s="2"/>
      <c r="AD289" s="2"/>
      <c r="AE289" s="2"/>
      <c r="AF289" s="105">
        <v>38353</v>
      </c>
      <c r="AG289" s="89">
        <v>156.79400000000001</v>
      </c>
      <c r="AH289" s="89">
        <v>416.24</v>
      </c>
      <c r="AI289" s="96">
        <v>635.44500000000005</v>
      </c>
      <c r="AJ289" s="112">
        <f t="shared" si="21"/>
        <v>420.11216793893141</v>
      </c>
      <c r="AK289" s="112">
        <f t="shared" ref="AK289:AK345" si="23">60*60*60/(82.5*10^6)*AH289*10^6/10^3</f>
        <v>1089.7919999999999</v>
      </c>
      <c r="AL289" s="113">
        <f t="shared" si="22"/>
        <v>1663.7105454545456</v>
      </c>
      <c r="AM289" s="68"/>
      <c r="AN289" s="68"/>
      <c r="AO289" s="69"/>
      <c r="AP289" s="115">
        <f>AM291*AJ289/SUM(AJ289:AJ291)/(AJ289*10^3*10^3)</f>
        <v>0</v>
      </c>
      <c r="AQ289" s="114">
        <f>AN291*AK289/SUM(AK289:AK291)/(AK289*10^3*10^3)</f>
        <v>0</v>
      </c>
      <c r="AR289" s="115">
        <f>AO291*AL289/SUM(AL289:AL291)/(AL289*10^3*10^3)</f>
        <v>0</v>
      </c>
      <c r="AS289" s="2"/>
      <c r="AT289" s="2"/>
      <c r="AU289" s="2"/>
      <c r="AV289" s="2"/>
      <c r="AW289" s="2"/>
      <c r="AX289" s="2"/>
      <c r="AY289" s="2"/>
      <c r="AZ289" s="2"/>
      <c r="DU289" s="5"/>
      <c r="DV289" s="5"/>
      <c r="DW289" s="5"/>
      <c r="DX289" s="5"/>
      <c r="DY289" s="5"/>
      <c r="DZ289" s="5"/>
      <c r="EA289" s="5"/>
      <c r="EB289" s="5"/>
      <c r="EC289" s="5"/>
      <c r="ED289" s="3"/>
      <c r="EE289" s="3"/>
      <c r="EF289" s="3"/>
      <c r="EG289" s="3"/>
      <c r="EH289" s="3"/>
    </row>
    <row r="290" spans="1:138" ht="10.5" customHeight="1" x14ac:dyDescent="0.15">
      <c r="A290" s="18" t="s">
        <v>24</v>
      </c>
      <c r="B290" s="73">
        <v>1</v>
      </c>
      <c r="C290" s="70" t="s">
        <v>10</v>
      </c>
      <c r="D290" s="54" t="s">
        <v>88</v>
      </c>
      <c r="E290" s="55" t="s">
        <v>88</v>
      </c>
      <c r="F290" s="56" t="s">
        <v>88</v>
      </c>
      <c r="G290" s="54" t="s">
        <v>88</v>
      </c>
      <c r="H290" s="55" t="s">
        <v>88</v>
      </c>
      <c r="I290" s="56" t="s">
        <v>88</v>
      </c>
      <c r="J290" s="57" t="s">
        <v>88</v>
      </c>
      <c r="K290" s="58" t="s">
        <v>20</v>
      </c>
      <c r="L290" s="59" t="s">
        <v>88</v>
      </c>
      <c r="M290" s="60">
        <f>8.4*10^8</f>
        <v>840000000</v>
      </c>
      <c r="N290" s="60" t="s">
        <v>20</v>
      </c>
      <c r="O290" s="61" t="s">
        <v>88</v>
      </c>
      <c r="P290" s="44"/>
      <c r="Q290" s="2"/>
      <c r="R290" s="2"/>
      <c r="S290" s="2"/>
      <c r="T290" s="2"/>
      <c r="U290" s="2"/>
      <c r="V290" s="2"/>
      <c r="W290" s="2"/>
      <c r="X290" s="2"/>
      <c r="Y290" s="2"/>
      <c r="Z290" s="2"/>
      <c r="AA290" s="2"/>
      <c r="AB290" s="2"/>
      <c r="AC290" s="2"/>
      <c r="AD290" s="2"/>
      <c r="AE290" s="2"/>
      <c r="AF290" s="105">
        <v>38384</v>
      </c>
      <c r="AG290" s="89">
        <v>308.93200000000002</v>
      </c>
      <c r="AH290" s="89">
        <v>0</v>
      </c>
      <c r="AI290" s="96">
        <v>573.673</v>
      </c>
      <c r="AJ290" s="112">
        <f t="shared" si="21"/>
        <v>827.74909923664131</v>
      </c>
      <c r="AK290" s="112">
        <f t="shared" si="23"/>
        <v>0</v>
      </c>
      <c r="AL290" s="113">
        <f t="shared" si="22"/>
        <v>1501.9802181818179</v>
      </c>
      <c r="AM290" s="68"/>
      <c r="AN290" s="68"/>
      <c r="AO290" s="69"/>
      <c r="AP290" s="115">
        <f>AM291*AJ290/SUM(AJ289:AJ291)/(AJ290*10^3*10^3)</f>
        <v>0</v>
      </c>
      <c r="AQ290" s="114" t="e">
        <f>AN291*AK290/SUM(AK289:AK291)/(AK290*10^3*10^3)</f>
        <v>#DIV/0!</v>
      </c>
      <c r="AR290" s="115">
        <f>AO291*AL290/SUM(AL289:AL291)/(AL290*10^3*10^3)</f>
        <v>0</v>
      </c>
      <c r="AS290" s="2"/>
      <c r="AT290" s="2"/>
      <c r="AU290" s="2"/>
      <c r="AV290" s="2"/>
      <c r="AW290" s="2"/>
      <c r="AX290" s="2"/>
      <c r="AY290" s="2"/>
      <c r="AZ290" s="2"/>
      <c r="DU290" s="5"/>
      <c r="DV290" s="5"/>
      <c r="DW290" s="5"/>
      <c r="DX290" s="5"/>
      <c r="DY290" s="5"/>
      <c r="DZ290" s="5"/>
      <c r="EA290" s="5"/>
      <c r="EB290" s="5"/>
      <c r="EC290" s="5"/>
      <c r="ED290" s="3"/>
      <c r="EE290" s="3"/>
      <c r="EF290" s="3"/>
      <c r="EG290" s="3"/>
      <c r="EH290" s="3"/>
    </row>
    <row r="291" spans="1:138" ht="10.5" customHeight="1" x14ac:dyDescent="0.15">
      <c r="A291" s="23"/>
      <c r="B291" s="74">
        <v>2</v>
      </c>
      <c r="C291" s="71" t="s">
        <v>11</v>
      </c>
      <c r="D291" s="62" t="s">
        <v>88</v>
      </c>
      <c r="E291" s="63" t="s">
        <v>88</v>
      </c>
      <c r="F291" s="64" t="s">
        <v>88</v>
      </c>
      <c r="G291" s="62" t="s">
        <v>88</v>
      </c>
      <c r="H291" s="63" t="s">
        <v>88</v>
      </c>
      <c r="I291" s="64" t="s">
        <v>88</v>
      </c>
      <c r="J291" s="65" t="s">
        <v>88</v>
      </c>
      <c r="K291" s="66" t="s">
        <v>88</v>
      </c>
      <c r="L291" s="67" t="s">
        <v>88</v>
      </c>
      <c r="M291" s="68">
        <f>4.3*10^10</f>
        <v>43000000000</v>
      </c>
      <c r="N291" s="68">
        <f>5*10^9</f>
        <v>5000000000</v>
      </c>
      <c r="O291" s="69">
        <f>1.1*10^7</f>
        <v>11000000</v>
      </c>
      <c r="P291" s="44"/>
      <c r="Q291" s="2"/>
      <c r="R291" s="2"/>
      <c r="S291" s="2"/>
      <c r="T291" s="2"/>
      <c r="U291" s="2"/>
      <c r="V291" s="2"/>
      <c r="W291" s="2"/>
      <c r="X291" s="2"/>
      <c r="Y291" s="2"/>
      <c r="Z291" s="2"/>
      <c r="AA291" s="2"/>
      <c r="AB291" s="2"/>
      <c r="AC291" s="2"/>
      <c r="AD291" s="2"/>
      <c r="AE291" s="2"/>
      <c r="AF291" s="105">
        <v>38412</v>
      </c>
      <c r="AG291" s="89">
        <v>0</v>
      </c>
      <c r="AH291" s="89">
        <v>0</v>
      </c>
      <c r="AI291" s="96">
        <v>635.18799999999999</v>
      </c>
      <c r="AJ291" s="112">
        <f t="shared" ref="AJ291:AJ345" si="24">39*60*60/(52.4*10^6)*AG291*10^6/10^3</f>
        <v>0</v>
      </c>
      <c r="AK291" s="112">
        <f t="shared" si="23"/>
        <v>0</v>
      </c>
      <c r="AL291" s="113">
        <f t="shared" si="22"/>
        <v>1663.0376727272726</v>
      </c>
      <c r="AM291" s="68" t="s">
        <v>20</v>
      </c>
      <c r="AN291" s="68" t="s">
        <v>20</v>
      </c>
      <c r="AO291" s="69" t="s">
        <v>88</v>
      </c>
      <c r="AP291" s="115" t="e">
        <f>AM291*AJ291/SUM(AJ289:AJ291)/(AJ291*10^3*10^3)</f>
        <v>#DIV/0!</v>
      </c>
      <c r="AQ291" s="114" t="e">
        <f>AN291*AK291/SUM(AK289:AK291)/(AK291*10^3*10^3)</f>
        <v>#DIV/0!</v>
      </c>
      <c r="AR291" s="115">
        <f>AO291*AL291/SUM(AL289:AL291)/(AL291*10^3*10^3)</f>
        <v>0</v>
      </c>
      <c r="AS291" s="2"/>
      <c r="AT291" s="2"/>
      <c r="AU291" s="2"/>
      <c r="AV291" s="2"/>
      <c r="AW291" s="2"/>
      <c r="AX291" s="2"/>
      <c r="AY291" s="2"/>
      <c r="AZ291" s="2"/>
      <c r="DU291" s="5"/>
      <c r="DV291" s="5"/>
      <c r="DW291" s="5"/>
      <c r="DX291" s="5"/>
      <c r="DY291" s="5"/>
      <c r="DZ291" s="5"/>
      <c r="EA291" s="5"/>
      <c r="EB291" s="5"/>
      <c r="EC291" s="5"/>
      <c r="ED291" s="3"/>
      <c r="EE291" s="3"/>
      <c r="EF291" s="3"/>
      <c r="EG291" s="3"/>
      <c r="EH291" s="3"/>
    </row>
    <row r="292" spans="1:138" ht="10.5" customHeight="1" x14ac:dyDescent="0.15">
      <c r="A292" s="23"/>
      <c r="B292" s="74">
        <v>3</v>
      </c>
      <c r="C292" s="71" t="s">
        <v>13</v>
      </c>
      <c r="D292" s="62" t="s">
        <v>88</v>
      </c>
      <c r="E292" s="63" t="s">
        <v>88</v>
      </c>
      <c r="F292" s="64" t="s">
        <v>88</v>
      </c>
      <c r="G292" s="62" t="s">
        <v>88</v>
      </c>
      <c r="H292" s="63" t="s">
        <v>88</v>
      </c>
      <c r="I292" s="64" t="s">
        <v>88</v>
      </c>
      <c r="J292" s="65" t="s">
        <v>20</v>
      </c>
      <c r="K292" s="68" t="s">
        <v>88</v>
      </c>
      <c r="L292" s="67" t="s">
        <v>88</v>
      </c>
      <c r="M292" s="68" t="s">
        <v>20</v>
      </c>
      <c r="N292" s="68">
        <f>5.3*10^9</f>
        <v>5300000000</v>
      </c>
      <c r="O292" s="69">
        <f>1.3*10^7</f>
        <v>13000000</v>
      </c>
      <c r="P292" s="44"/>
      <c r="Q292" s="2"/>
      <c r="R292" s="2"/>
      <c r="S292" s="2"/>
      <c r="T292" s="2"/>
      <c r="U292" s="2"/>
      <c r="V292" s="2"/>
      <c r="W292" s="2"/>
      <c r="X292" s="2"/>
      <c r="Y292" s="2"/>
      <c r="Z292" s="2"/>
      <c r="AA292" s="2"/>
      <c r="AB292" s="2"/>
      <c r="AC292" s="2"/>
      <c r="AD292" s="2"/>
      <c r="AE292" s="2"/>
      <c r="AF292" s="104">
        <v>38443</v>
      </c>
      <c r="AG292" s="89">
        <v>171.876</v>
      </c>
      <c r="AH292" s="89">
        <v>0</v>
      </c>
      <c r="AI292" s="96">
        <v>614.60400000000004</v>
      </c>
      <c r="AJ292" s="112">
        <f t="shared" si="24"/>
        <v>460.52271755725189</v>
      </c>
      <c r="AK292" s="112">
        <f t="shared" si="23"/>
        <v>0</v>
      </c>
      <c r="AL292" s="113">
        <f t="shared" si="22"/>
        <v>1609.1450181818184</v>
      </c>
      <c r="AM292" s="68"/>
      <c r="AN292" s="68"/>
      <c r="AO292" s="69"/>
      <c r="AP292" s="114">
        <f>AM294*AJ292/SUM(AJ292:AJ294)/(AJ292*10^3*10^3)</f>
        <v>0.24317670696492732</v>
      </c>
      <c r="AQ292" s="115" t="e">
        <f>AN294*AK292/SUM(AK292:AK294)/(AK292*10^3*10^3)</f>
        <v>#DIV/0!</v>
      </c>
      <c r="AR292" s="114">
        <f>AO294*AL292/SUM(AL292:AL294)/(AL292*10^3*10^3)</f>
        <v>3.0734355743529114E-3</v>
      </c>
      <c r="AS292" s="2"/>
      <c r="AT292" s="2"/>
      <c r="AU292" s="2"/>
      <c r="AV292" s="2"/>
      <c r="AW292" s="2"/>
      <c r="AX292" s="2"/>
      <c r="AY292" s="2"/>
      <c r="AZ292" s="2"/>
      <c r="DU292" s="5"/>
      <c r="DV292" s="5"/>
      <c r="DW292" s="5"/>
      <c r="DX292" s="5"/>
      <c r="DY292" s="5"/>
      <c r="DZ292" s="5"/>
      <c r="EA292" s="5"/>
      <c r="EB292" s="5"/>
      <c r="EC292" s="5"/>
      <c r="ED292" s="3"/>
      <c r="EE292" s="3"/>
      <c r="EF292" s="3"/>
      <c r="EG292" s="3"/>
      <c r="EH292" s="3"/>
    </row>
    <row r="293" spans="1:138" ht="10.5" customHeight="1" x14ac:dyDescent="0.15">
      <c r="A293" s="24"/>
      <c r="B293" s="75">
        <v>4</v>
      </c>
      <c r="C293" s="19" t="s">
        <v>15</v>
      </c>
      <c r="D293" s="48" t="s">
        <v>88</v>
      </c>
      <c r="E293" s="49" t="s">
        <v>88</v>
      </c>
      <c r="F293" s="42" t="s">
        <v>88</v>
      </c>
      <c r="G293" s="48" t="s">
        <v>88</v>
      </c>
      <c r="H293" s="49" t="s">
        <v>88</v>
      </c>
      <c r="I293" s="42" t="s">
        <v>88</v>
      </c>
      <c r="J293" s="51" t="s">
        <v>88</v>
      </c>
      <c r="K293" s="50" t="s">
        <v>88</v>
      </c>
      <c r="L293" s="43" t="s">
        <v>88</v>
      </c>
      <c r="M293" s="52">
        <f>2*10^10</f>
        <v>20000000000</v>
      </c>
      <c r="N293" s="52">
        <f>5.3*10^9</f>
        <v>5300000000</v>
      </c>
      <c r="O293" s="53" t="s">
        <v>88</v>
      </c>
      <c r="P293" s="44"/>
      <c r="Q293" s="2"/>
      <c r="R293" s="2"/>
      <c r="S293" s="2"/>
      <c r="T293" s="2"/>
      <c r="U293" s="2"/>
      <c r="V293" s="2"/>
      <c r="W293" s="2"/>
      <c r="X293" s="2"/>
      <c r="Y293" s="2"/>
      <c r="Z293" s="2"/>
      <c r="AA293" s="2"/>
      <c r="AB293" s="2"/>
      <c r="AC293" s="2"/>
      <c r="AD293" s="2"/>
      <c r="AE293" s="2"/>
      <c r="AF293" s="104">
        <v>38473</v>
      </c>
      <c r="AG293" s="89">
        <v>396.29399999999998</v>
      </c>
      <c r="AH293" s="89">
        <v>12.798</v>
      </c>
      <c r="AI293" s="96">
        <v>635.28800000000001</v>
      </c>
      <c r="AJ293" s="112">
        <f t="shared" si="24"/>
        <v>1061.8259083969465</v>
      </c>
      <c r="AK293" s="112">
        <f t="shared" si="23"/>
        <v>33.507490909090905</v>
      </c>
      <c r="AL293" s="113">
        <f t="shared" si="22"/>
        <v>1663.2994909090908</v>
      </c>
      <c r="AM293" s="68"/>
      <c r="AN293" s="68"/>
      <c r="AO293" s="69"/>
      <c r="AP293" s="114">
        <f>AM294*AJ293/SUM(AJ292:AJ294)/(AJ293*10^3*10^3)</f>
        <v>0.24317670696492732</v>
      </c>
      <c r="AQ293" s="115">
        <f>AN294*AK293/SUM(AK292:AK294)/(AK293*10^3*10^3)</f>
        <v>0</v>
      </c>
      <c r="AR293" s="114">
        <f>AO294*AL293/SUM(AL292:AL294)/(AL293*10^3*10^3)</f>
        <v>3.0734355743529105E-3</v>
      </c>
      <c r="AS293" s="2"/>
      <c r="AT293" s="2"/>
      <c r="AU293" s="2"/>
      <c r="AV293" s="2"/>
      <c r="AW293" s="2"/>
      <c r="AX293" s="2"/>
      <c r="AY293" s="2"/>
      <c r="AZ293" s="2"/>
      <c r="DU293" s="5"/>
      <c r="DV293" s="5"/>
      <c r="DW293" s="5"/>
      <c r="DX293" s="5"/>
      <c r="DY293" s="5"/>
      <c r="DZ293" s="5"/>
      <c r="EA293" s="5"/>
      <c r="EB293" s="5"/>
      <c r="EC293" s="5"/>
      <c r="ED293" s="3"/>
      <c r="EE293" s="3"/>
      <c r="EF293" s="3"/>
      <c r="EG293" s="3"/>
      <c r="EH293" s="3"/>
    </row>
    <row r="294" spans="1:138" ht="10.5" customHeight="1" x14ac:dyDescent="0.15">
      <c r="A294" s="18" t="s">
        <v>25</v>
      </c>
      <c r="B294" s="73">
        <v>1</v>
      </c>
      <c r="C294" s="70" t="s">
        <v>10</v>
      </c>
      <c r="D294" s="54" t="s">
        <v>88</v>
      </c>
      <c r="E294" s="55" t="s">
        <v>88</v>
      </c>
      <c r="F294" s="56" t="s">
        <v>88</v>
      </c>
      <c r="G294" s="54" t="s">
        <v>88</v>
      </c>
      <c r="H294" s="55" t="s">
        <v>88</v>
      </c>
      <c r="I294" s="56" t="s">
        <v>88</v>
      </c>
      <c r="J294" s="57" t="s">
        <v>88</v>
      </c>
      <c r="K294" s="58" t="s">
        <v>20</v>
      </c>
      <c r="L294" s="59" t="s">
        <v>88</v>
      </c>
      <c r="M294" s="60">
        <f>4.4*10^9</f>
        <v>4400000000</v>
      </c>
      <c r="N294" s="60" t="s">
        <v>20</v>
      </c>
      <c r="O294" s="61" t="s">
        <v>88</v>
      </c>
      <c r="P294" s="44"/>
      <c r="Q294" s="2"/>
      <c r="R294" s="2"/>
      <c r="S294" s="2"/>
      <c r="T294" s="2"/>
      <c r="U294" s="2"/>
      <c r="V294" s="2"/>
      <c r="W294" s="2"/>
      <c r="X294" s="2"/>
      <c r="Y294" s="2"/>
      <c r="Z294" s="2"/>
      <c r="AA294" s="2"/>
      <c r="AB294" s="2"/>
      <c r="AC294" s="2"/>
      <c r="AD294" s="2"/>
      <c r="AE294" s="2"/>
      <c r="AF294" s="104">
        <v>38504</v>
      </c>
      <c r="AG294" s="89">
        <v>383.38499999999999</v>
      </c>
      <c r="AH294" s="89">
        <v>597.78200000000004</v>
      </c>
      <c r="AI294" s="96">
        <v>614.20000000000005</v>
      </c>
      <c r="AJ294" s="112">
        <f t="shared" si="24"/>
        <v>1027.2376717557252</v>
      </c>
      <c r="AK294" s="112">
        <f t="shared" si="23"/>
        <v>1565.1019636363637</v>
      </c>
      <c r="AL294" s="113">
        <f t="shared" si="22"/>
        <v>1608.0872727272726</v>
      </c>
      <c r="AM294" s="68">
        <v>620000000</v>
      </c>
      <c r="AN294" s="68" t="s">
        <v>20</v>
      </c>
      <c r="AO294" s="69">
        <v>15000000</v>
      </c>
      <c r="AP294" s="114">
        <f>AM294*AJ294/SUM(AJ292:AJ294)/(AJ294*10^3*10^3)</f>
        <v>0.24317670696492732</v>
      </c>
      <c r="AQ294" s="115">
        <f>AN294*AK294/SUM(AK292:AK294)/(AK294*10^3*10^3)</f>
        <v>0</v>
      </c>
      <c r="AR294" s="114">
        <f>AO294*AL294/SUM(AL292:AL294)/(AL294*10^3*10^3)</f>
        <v>3.0734355743529105E-3</v>
      </c>
      <c r="AS294" s="2"/>
      <c r="AT294" s="2"/>
      <c r="AU294" s="2"/>
      <c r="AV294" s="2"/>
      <c r="AW294" s="2"/>
      <c r="AX294" s="2"/>
      <c r="AY294" s="2"/>
      <c r="AZ294" s="2"/>
      <c r="DU294" s="5"/>
      <c r="DV294" s="5"/>
      <c r="DW294" s="5"/>
      <c r="DX294" s="5"/>
      <c r="DY294" s="5"/>
      <c r="DZ294" s="5"/>
      <c r="EA294" s="5"/>
      <c r="EB294" s="5"/>
      <c r="EC294" s="5"/>
      <c r="ED294" s="3"/>
      <c r="EE294" s="3"/>
      <c r="EF294" s="3"/>
      <c r="EG294" s="3"/>
      <c r="EH294" s="3"/>
    </row>
    <row r="295" spans="1:138" ht="10.5" customHeight="1" x14ac:dyDescent="0.15">
      <c r="A295" s="23"/>
      <c r="B295" s="74">
        <v>2</v>
      </c>
      <c r="C295" s="71" t="s">
        <v>11</v>
      </c>
      <c r="D295" s="62" t="s">
        <v>88</v>
      </c>
      <c r="E295" s="63" t="s">
        <v>88</v>
      </c>
      <c r="F295" s="64" t="s">
        <v>88</v>
      </c>
      <c r="G295" s="62" t="s">
        <v>88</v>
      </c>
      <c r="H295" s="63" t="s">
        <v>88</v>
      </c>
      <c r="I295" s="64" t="s">
        <v>88</v>
      </c>
      <c r="J295" s="65" t="s">
        <v>88</v>
      </c>
      <c r="K295" s="66" t="s">
        <v>20</v>
      </c>
      <c r="L295" s="67" t="s">
        <v>88</v>
      </c>
      <c r="M295" s="68">
        <f>9.6*10^8</f>
        <v>960000000</v>
      </c>
      <c r="N295" s="68" t="s">
        <v>20</v>
      </c>
      <c r="O295" s="69" t="s">
        <v>88</v>
      </c>
      <c r="P295" s="44"/>
      <c r="Q295" s="2"/>
      <c r="R295" s="2"/>
      <c r="S295" s="2"/>
      <c r="T295" s="2"/>
      <c r="U295" s="2"/>
      <c r="V295" s="2"/>
      <c r="W295" s="2"/>
      <c r="X295" s="2"/>
      <c r="Y295" s="2"/>
      <c r="Z295" s="2"/>
      <c r="AA295" s="2"/>
      <c r="AB295" s="2"/>
      <c r="AC295" s="2"/>
      <c r="AD295" s="2"/>
      <c r="AE295" s="2"/>
      <c r="AF295" s="104">
        <v>38534</v>
      </c>
      <c r="AG295" s="89">
        <v>395.54599999999999</v>
      </c>
      <c r="AH295" s="89">
        <v>621.60599999999999</v>
      </c>
      <c r="AI295" s="96">
        <v>540.78</v>
      </c>
      <c r="AJ295" s="112">
        <f t="shared" si="24"/>
        <v>1059.8217251908397</v>
      </c>
      <c r="AK295" s="112">
        <f t="shared" si="23"/>
        <v>1627.4775272727272</v>
      </c>
      <c r="AL295" s="113">
        <f t="shared" si="22"/>
        <v>1415.8603636363634</v>
      </c>
      <c r="AM295" s="68"/>
      <c r="AN295" s="68"/>
      <c r="AO295" s="69"/>
      <c r="AP295" s="114">
        <f>AM297*AJ295/SUM(AJ295:AJ297)/(AJ295*10^3*10^3)</f>
        <v>0</v>
      </c>
      <c r="AQ295" s="115">
        <f>AN297*AK295/SUM(AK295:AK297)/(AK295*10^3*10^3)</f>
        <v>0</v>
      </c>
      <c r="AR295" s="114">
        <f>AO297*AL295/SUM(AL295:AL297)/(AL295*10^3*10^3)</f>
        <v>1.3076197091001149E-3</v>
      </c>
      <c r="AS295" s="2"/>
      <c r="AT295" s="2"/>
      <c r="AU295" s="2"/>
      <c r="AV295" s="2"/>
      <c r="AW295" s="2"/>
      <c r="AX295" s="2"/>
      <c r="AY295" s="2"/>
      <c r="AZ295" s="2"/>
      <c r="DU295" s="5"/>
      <c r="DV295" s="5"/>
      <c r="DW295" s="5"/>
      <c r="DX295" s="5"/>
      <c r="DY295" s="5"/>
      <c r="DZ295" s="5"/>
      <c r="EA295" s="5"/>
      <c r="EB295" s="5"/>
      <c r="EC295" s="5"/>
      <c r="ED295" s="3"/>
      <c r="EE295" s="3"/>
      <c r="EF295" s="3"/>
      <c r="EG295" s="3"/>
      <c r="EH295" s="3"/>
    </row>
    <row r="296" spans="1:138" ht="10.5" customHeight="1" x14ac:dyDescent="0.15">
      <c r="A296" s="41"/>
      <c r="B296" s="74">
        <v>3</v>
      </c>
      <c r="C296" s="71" t="s">
        <v>13</v>
      </c>
      <c r="D296" s="62" t="s">
        <v>88</v>
      </c>
      <c r="E296" s="63" t="s">
        <v>88</v>
      </c>
      <c r="F296" s="64" t="s">
        <v>88</v>
      </c>
      <c r="G296" s="62" t="s">
        <v>88</v>
      </c>
      <c r="H296" s="63" t="s">
        <v>88</v>
      </c>
      <c r="I296" s="64" t="s">
        <v>88</v>
      </c>
      <c r="J296" s="65" t="s">
        <v>20</v>
      </c>
      <c r="K296" s="68" t="s">
        <v>20</v>
      </c>
      <c r="L296" s="67" t="s">
        <v>88</v>
      </c>
      <c r="M296" s="68" t="s">
        <v>20</v>
      </c>
      <c r="N296" s="68" t="s">
        <v>20</v>
      </c>
      <c r="O296" s="69" t="s">
        <v>88</v>
      </c>
      <c r="P296" s="44"/>
      <c r="Q296" s="2"/>
      <c r="R296" s="2"/>
      <c r="S296" s="2"/>
      <c r="T296" s="2"/>
      <c r="U296" s="2"/>
      <c r="V296" s="2"/>
      <c r="W296" s="2"/>
      <c r="X296" s="2"/>
      <c r="Y296" s="2"/>
      <c r="Z296" s="2"/>
      <c r="AA296" s="2"/>
      <c r="AB296" s="2"/>
      <c r="AC296" s="2"/>
      <c r="AD296" s="2"/>
      <c r="AE296" s="20"/>
      <c r="AF296" s="104">
        <v>38565</v>
      </c>
      <c r="AG296" s="89">
        <v>197.197</v>
      </c>
      <c r="AH296" s="89">
        <v>310.29500000000002</v>
      </c>
      <c r="AI296" s="96">
        <v>306.28500000000003</v>
      </c>
      <c r="AJ296" s="112">
        <f t="shared" si="24"/>
        <v>528.36753435114508</v>
      </c>
      <c r="AK296" s="112">
        <f t="shared" si="23"/>
        <v>812.40872727272733</v>
      </c>
      <c r="AL296" s="113">
        <f t="shared" si="22"/>
        <v>801.9098181818182</v>
      </c>
      <c r="AM296" s="68"/>
      <c r="AN296" s="68"/>
      <c r="AO296" s="69"/>
      <c r="AP296" s="114">
        <f>AM297*AJ296/SUM(AJ295:AJ297)/(AJ296*10^3*10^3)</f>
        <v>0</v>
      </c>
      <c r="AQ296" s="115">
        <f>AN297*AK296/SUM(AK295:AK297)/(AK296*10^3*10^3)</f>
        <v>0</v>
      </c>
      <c r="AR296" s="114">
        <f>AO297*AL296/SUM(AL295:AL297)/(AL296*10^3*10^3)</f>
        <v>1.3076197091001151E-3</v>
      </c>
      <c r="AS296" s="2"/>
      <c r="AT296" s="2"/>
      <c r="AU296" s="2"/>
      <c r="AV296" s="2"/>
      <c r="AW296" s="2"/>
      <c r="AX296" s="2"/>
      <c r="AY296" s="2"/>
      <c r="AZ296" s="2"/>
      <c r="DU296" s="5"/>
      <c r="DV296" s="5"/>
      <c r="DW296" s="5"/>
      <c r="DX296" s="5"/>
      <c r="DY296" s="5"/>
      <c r="DZ296" s="5"/>
      <c r="EA296" s="5"/>
      <c r="EB296" s="5"/>
      <c r="EC296" s="5"/>
      <c r="ED296" s="3"/>
      <c r="EE296" s="3"/>
      <c r="EF296" s="3"/>
      <c r="EG296" s="3"/>
      <c r="EH296" s="3"/>
    </row>
    <row r="297" spans="1:138" ht="10.5" customHeight="1" x14ac:dyDescent="0.15">
      <c r="A297" s="45"/>
      <c r="B297" s="75">
        <v>4</v>
      </c>
      <c r="C297" s="19" t="s">
        <v>15</v>
      </c>
      <c r="D297" s="48" t="s">
        <v>88</v>
      </c>
      <c r="E297" s="49" t="s">
        <v>88</v>
      </c>
      <c r="F297" s="42" t="s">
        <v>88</v>
      </c>
      <c r="G297" s="48" t="s">
        <v>88</v>
      </c>
      <c r="H297" s="49" t="s">
        <v>88</v>
      </c>
      <c r="I297" s="42" t="s">
        <v>88</v>
      </c>
      <c r="J297" s="51" t="s">
        <v>88</v>
      </c>
      <c r="K297" s="50" t="s">
        <v>20</v>
      </c>
      <c r="L297" s="43" t="s">
        <v>88</v>
      </c>
      <c r="M297" s="52">
        <f>3.1*10^8</f>
        <v>310000000</v>
      </c>
      <c r="N297" s="52" t="s">
        <v>20</v>
      </c>
      <c r="O297" s="53" t="s">
        <v>88</v>
      </c>
      <c r="P297" s="44"/>
      <c r="Q297" s="2"/>
      <c r="R297" s="2"/>
      <c r="S297" s="2"/>
      <c r="T297" s="2"/>
      <c r="U297" s="2"/>
      <c r="V297" s="2"/>
      <c r="W297" s="2"/>
      <c r="X297" s="2"/>
      <c r="Y297" s="2"/>
      <c r="Z297" s="2"/>
      <c r="AA297" s="2"/>
      <c r="AB297" s="2"/>
      <c r="AC297" s="2"/>
      <c r="AD297" s="2"/>
      <c r="AF297" s="104">
        <v>38596</v>
      </c>
      <c r="AG297" s="89">
        <v>0</v>
      </c>
      <c r="AH297" s="92">
        <v>0</v>
      </c>
      <c r="AI297" s="96">
        <v>0</v>
      </c>
      <c r="AJ297" s="112">
        <f t="shared" si="24"/>
        <v>0</v>
      </c>
      <c r="AK297" s="112">
        <f t="shared" si="23"/>
        <v>0</v>
      </c>
      <c r="AL297" s="113">
        <f t="shared" si="22"/>
        <v>0</v>
      </c>
      <c r="AM297" s="68" t="s">
        <v>20</v>
      </c>
      <c r="AN297" s="68" t="s">
        <v>20</v>
      </c>
      <c r="AO297" s="69">
        <v>2900000</v>
      </c>
      <c r="AP297" s="114" t="e">
        <f>AM297*AJ297/SUM(AJ295:AJ297)/(AJ297*10^3*10^3)</f>
        <v>#DIV/0!</v>
      </c>
      <c r="AQ297" s="115" t="e">
        <f>AN297*AK297/SUM(AK295:AK297)/(AK297*10^3*10^3)</f>
        <v>#DIV/0!</v>
      </c>
      <c r="AR297" s="114" t="e">
        <f>AO297*AL297/SUM(AL295:AL297)/(AL297*10^3*10^3)</f>
        <v>#DIV/0!</v>
      </c>
      <c r="AS297" s="2"/>
      <c r="AT297" s="2"/>
      <c r="AU297" s="2"/>
      <c r="AV297" s="2"/>
      <c r="AW297" s="2"/>
      <c r="AX297" s="2"/>
      <c r="AY297" s="2"/>
      <c r="AZ297" s="2"/>
      <c r="DU297" s="5"/>
      <c r="DV297" s="5"/>
      <c r="DW297" s="5"/>
      <c r="DX297" s="5"/>
      <c r="DY297" s="5"/>
      <c r="DZ297" s="5"/>
      <c r="EA297" s="5"/>
      <c r="EB297" s="5"/>
      <c r="EC297" s="5"/>
      <c r="ED297" s="3"/>
      <c r="EE297" s="3"/>
      <c r="EF297" s="3"/>
      <c r="EG297" s="3"/>
      <c r="EH297" s="3"/>
    </row>
    <row r="298" spans="1:138" ht="10.5" customHeight="1" x14ac:dyDescent="0.15">
      <c r="A298" s="46" t="s">
        <v>26</v>
      </c>
      <c r="B298" s="73">
        <v>1</v>
      </c>
      <c r="C298" s="70" t="s">
        <v>10</v>
      </c>
      <c r="D298" s="54" t="s">
        <v>88</v>
      </c>
      <c r="E298" s="55" t="s">
        <v>88</v>
      </c>
      <c r="F298" s="56" t="s">
        <v>88</v>
      </c>
      <c r="G298" s="54" t="s">
        <v>88</v>
      </c>
      <c r="H298" s="55" t="s">
        <v>88</v>
      </c>
      <c r="I298" s="56" t="s">
        <v>88</v>
      </c>
      <c r="J298" s="57" t="s">
        <v>20</v>
      </c>
      <c r="K298" s="58" t="s">
        <v>20</v>
      </c>
      <c r="L298" s="59" t="s">
        <v>88</v>
      </c>
      <c r="M298" s="60" t="s">
        <v>20</v>
      </c>
      <c r="N298" s="60" t="s">
        <v>20</v>
      </c>
      <c r="O298" s="61" t="s">
        <v>88</v>
      </c>
      <c r="P298" s="44"/>
      <c r="Q298" s="2"/>
      <c r="R298" s="2"/>
      <c r="S298" s="2"/>
      <c r="T298" s="2"/>
      <c r="U298" s="2"/>
      <c r="V298" s="2"/>
      <c r="W298" s="2"/>
      <c r="X298" s="2"/>
      <c r="Y298" s="2"/>
      <c r="Z298" s="2"/>
      <c r="AA298" s="2"/>
      <c r="AB298" s="2"/>
      <c r="AC298" s="2"/>
      <c r="AD298" s="2"/>
      <c r="AF298" s="104">
        <v>38626</v>
      </c>
      <c r="AG298" s="89">
        <v>0</v>
      </c>
      <c r="AH298" s="92">
        <v>0</v>
      </c>
      <c r="AI298" s="96">
        <v>0</v>
      </c>
      <c r="AJ298" s="112">
        <f t="shared" si="24"/>
        <v>0</v>
      </c>
      <c r="AK298" s="112">
        <f t="shared" si="23"/>
        <v>0</v>
      </c>
      <c r="AL298" s="113">
        <f t="shared" si="22"/>
        <v>0</v>
      </c>
      <c r="AM298" s="68"/>
      <c r="AN298" s="68"/>
      <c r="AO298" s="69"/>
      <c r="AP298" s="114" t="e">
        <f>AM300*AJ298/SUM(AJ298:AJ300)/(AJ298*10^3*10^3)</f>
        <v>#DIV/0!</v>
      </c>
      <c r="AQ298" s="115" t="e">
        <f>AN300*AK298/SUM(AK298:AK300)/(AK298*10^3*10^3)</f>
        <v>#DIV/0!</v>
      </c>
      <c r="AR298" s="114" t="e">
        <f>AO300*AL298/SUM(AL298:AL300)/(AL298*10^3*10^3)</f>
        <v>#DIV/0!</v>
      </c>
      <c r="AS298" s="2"/>
      <c r="AT298" s="2"/>
      <c r="AU298" s="2"/>
      <c r="AV298" s="2"/>
      <c r="AW298" s="2"/>
      <c r="AX298" s="2"/>
      <c r="AY298" s="2"/>
      <c r="AZ298" s="2"/>
      <c r="DU298" s="5"/>
      <c r="DV298" s="5"/>
      <c r="DW298" s="5"/>
      <c r="DX298" s="5"/>
      <c r="DY298" s="5"/>
      <c r="DZ298" s="5"/>
      <c r="EA298" s="5"/>
      <c r="EB298" s="5"/>
      <c r="EC298" s="5"/>
      <c r="ED298" s="3"/>
      <c r="EE298" s="3"/>
      <c r="EF298" s="3"/>
      <c r="EG298" s="3"/>
      <c r="EH298" s="3"/>
    </row>
    <row r="299" spans="1:138" ht="10.5" customHeight="1" x14ac:dyDescent="0.15">
      <c r="A299" s="41"/>
      <c r="B299" s="74">
        <v>2</v>
      </c>
      <c r="C299" s="71" t="s">
        <v>11</v>
      </c>
      <c r="D299" s="62" t="s">
        <v>88</v>
      </c>
      <c r="E299" s="63" t="s">
        <v>88</v>
      </c>
      <c r="F299" s="64" t="s">
        <v>88</v>
      </c>
      <c r="G299" s="62" t="s">
        <v>88</v>
      </c>
      <c r="H299" s="63" t="s">
        <v>88</v>
      </c>
      <c r="I299" s="64" t="s">
        <v>88</v>
      </c>
      <c r="J299" s="65" t="s">
        <v>88</v>
      </c>
      <c r="K299" s="66" t="s">
        <v>20</v>
      </c>
      <c r="L299" s="67" t="s">
        <v>88</v>
      </c>
      <c r="M299" s="68">
        <f>7.8*10^8</f>
        <v>780000000</v>
      </c>
      <c r="N299" s="68" t="s">
        <v>20</v>
      </c>
      <c r="O299" s="69" t="s">
        <v>88</v>
      </c>
      <c r="P299" s="44"/>
      <c r="Q299" s="2"/>
      <c r="R299" s="2"/>
      <c r="S299" s="2"/>
      <c r="T299" s="2"/>
      <c r="U299" s="2"/>
      <c r="V299" s="2"/>
      <c r="W299" s="2"/>
      <c r="X299" s="2"/>
      <c r="Y299" s="2"/>
      <c r="Z299" s="2"/>
      <c r="AA299" s="2"/>
      <c r="AB299" s="2"/>
      <c r="AC299" s="2"/>
      <c r="AD299" s="2"/>
      <c r="AE299" s="15"/>
      <c r="AF299" s="104">
        <v>38657</v>
      </c>
      <c r="AG299" s="89">
        <v>0</v>
      </c>
      <c r="AH299" s="92">
        <v>0</v>
      </c>
      <c r="AI299" s="96">
        <v>0</v>
      </c>
      <c r="AJ299" s="112">
        <f t="shared" si="24"/>
        <v>0</v>
      </c>
      <c r="AK299" s="112">
        <f t="shared" si="23"/>
        <v>0</v>
      </c>
      <c r="AL299" s="113">
        <f t="shared" si="22"/>
        <v>0</v>
      </c>
      <c r="AM299" s="68"/>
      <c r="AN299" s="68"/>
      <c r="AO299" s="69"/>
      <c r="AP299" s="114" t="e">
        <f>AM300*AJ299/SUM(AJ298:AJ300)/(AJ299*10^3*10^3)</f>
        <v>#DIV/0!</v>
      </c>
      <c r="AQ299" s="115" t="e">
        <f>AN300*AK299/SUM(AK298:AK300)/(AK299*10^3*10^3)</f>
        <v>#DIV/0!</v>
      </c>
      <c r="AR299" s="114" t="e">
        <f>AO300*AL299/SUM(AL298:AL300)/(AL299*10^3*10^3)</f>
        <v>#DIV/0!</v>
      </c>
      <c r="AS299" s="2"/>
      <c r="AT299" s="2"/>
      <c r="AU299" s="2"/>
      <c r="AV299" s="2"/>
      <c r="AW299" s="2"/>
      <c r="AX299" s="2"/>
      <c r="AY299" s="2"/>
      <c r="AZ299" s="2"/>
      <c r="DU299" s="5"/>
      <c r="DV299" s="5"/>
      <c r="DW299" s="5"/>
      <c r="DX299" s="5"/>
      <c r="DY299" s="5"/>
      <c r="DZ299" s="5"/>
      <c r="EA299" s="5"/>
      <c r="EB299" s="5"/>
      <c r="EC299" s="5"/>
      <c r="ED299" s="3"/>
      <c r="EE299" s="3"/>
      <c r="EF299" s="3"/>
      <c r="EG299" s="3"/>
      <c r="EH299" s="3"/>
    </row>
    <row r="300" spans="1:138" ht="10.5" customHeight="1" x14ac:dyDescent="0.15">
      <c r="A300" s="41"/>
      <c r="B300" s="74">
        <v>3</v>
      </c>
      <c r="C300" s="71" t="s">
        <v>13</v>
      </c>
      <c r="D300" s="62" t="s">
        <v>88</v>
      </c>
      <c r="E300" s="63" t="s">
        <v>88</v>
      </c>
      <c r="F300" s="64" t="s">
        <v>88</v>
      </c>
      <c r="G300" s="62" t="s">
        <v>88</v>
      </c>
      <c r="H300" s="63" t="s">
        <v>88</v>
      </c>
      <c r="I300" s="64" t="s">
        <v>88</v>
      </c>
      <c r="J300" s="65" t="s">
        <v>20</v>
      </c>
      <c r="K300" s="68" t="s">
        <v>20</v>
      </c>
      <c r="L300" s="67" t="s">
        <v>88</v>
      </c>
      <c r="M300" s="68" t="s">
        <v>20</v>
      </c>
      <c r="N300" s="68" t="s">
        <v>20</v>
      </c>
      <c r="O300" s="69">
        <f>2.5*10^7</f>
        <v>25000000</v>
      </c>
      <c r="P300" s="44"/>
      <c r="Q300" s="2"/>
      <c r="R300" s="2"/>
      <c r="S300" s="2"/>
      <c r="T300" s="2"/>
      <c r="U300" s="2"/>
      <c r="V300" s="2"/>
      <c r="W300" s="2"/>
      <c r="X300" s="2"/>
      <c r="Y300" s="2"/>
      <c r="Z300" s="2"/>
      <c r="AA300" s="2"/>
      <c r="AB300" s="2"/>
      <c r="AC300" s="2"/>
      <c r="AD300" s="2"/>
      <c r="AE300" s="20"/>
      <c r="AF300" s="104">
        <v>38687</v>
      </c>
      <c r="AG300" s="89">
        <v>0</v>
      </c>
      <c r="AH300" s="92">
        <v>0</v>
      </c>
      <c r="AI300" s="96">
        <v>0</v>
      </c>
      <c r="AJ300" s="112">
        <f t="shared" si="24"/>
        <v>0</v>
      </c>
      <c r="AK300" s="112">
        <f t="shared" si="23"/>
        <v>0</v>
      </c>
      <c r="AL300" s="113">
        <f t="shared" si="22"/>
        <v>0</v>
      </c>
      <c r="AM300" s="68">
        <v>590000000</v>
      </c>
      <c r="AN300" s="68" t="s">
        <v>20</v>
      </c>
      <c r="AO300" s="69" t="s">
        <v>20</v>
      </c>
      <c r="AP300" s="114" t="e">
        <f>AM300*AJ300/SUM(AJ298:AJ300)/(AJ300*10^3*10^3)</f>
        <v>#DIV/0!</v>
      </c>
      <c r="AQ300" s="115" t="e">
        <f>AN300*AK300/SUM(AK298:AK300)/(AK300*10^3*10^3)</f>
        <v>#DIV/0!</v>
      </c>
      <c r="AR300" s="114" t="e">
        <f>AO300*AL300/SUM(AL298:AL300)/(AL300*10^3*10^3)</f>
        <v>#DIV/0!</v>
      </c>
      <c r="AS300" s="2"/>
      <c r="AT300" s="2"/>
      <c r="AU300" s="2"/>
      <c r="AV300" s="2"/>
      <c r="AW300" s="2"/>
      <c r="AX300" s="2"/>
      <c r="AY300" s="2"/>
      <c r="AZ300" s="2"/>
      <c r="DU300" s="5"/>
      <c r="DV300" s="5"/>
      <c r="DW300" s="5"/>
      <c r="DX300" s="5"/>
      <c r="DY300" s="5"/>
      <c r="DZ300" s="5"/>
      <c r="EA300" s="5"/>
      <c r="EB300" s="5"/>
      <c r="EC300" s="5"/>
      <c r="ED300" s="3"/>
      <c r="EE300" s="3"/>
      <c r="EF300" s="3"/>
      <c r="EG300" s="3"/>
      <c r="EH300" s="3"/>
    </row>
    <row r="301" spans="1:138" ht="10.5" customHeight="1" x14ac:dyDescent="0.15">
      <c r="A301" s="45"/>
      <c r="B301" s="75">
        <v>4</v>
      </c>
      <c r="C301" s="19" t="s">
        <v>15</v>
      </c>
      <c r="D301" s="48" t="s">
        <v>88</v>
      </c>
      <c r="E301" s="49" t="s">
        <v>88</v>
      </c>
      <c r="F301" s="42" t="s">
        <v>88</v>
      </c>
      <c r="G301" s="48" t="s">
        <v>88</v>
      </c>
      <c r="H301" s="49" t="s">
        <v>88</v>
      </c>
      <c r="I301" s="42" t="s">
        <v>88</v>
      </c>
      <c r="J301" s="51" t="s">
        <v>20</v>
      </c>
      <c r="K301" s="50" t="s">
        <v>20</v>
      </c>
      <c r="L301" s="43" t="s">
        <v>88</v>
      </c>
      <c r="M301" s="52" t="s">
        <v>20</v>
      </c>
      <c r="N301" s="52" t="s">
        <v>20</v>
      </c>
      <c r="O301" s="53" t="s">
        <v>88</v>
      </c>
      <c r="P301" s="44"/>
      <c r="Q301" s="2"/>
      <c r="R301" s="2"/>
      <c r="S301" s="2"/>
      <c r="T301" s="2"/>
      <c r="U301" s="2"/>
      <c r="V301" s="2"/>
      <c r="W301" s="2"/>
      <c r="X301" s="2"/>
      <c r="Y301" s="2"/>
      <c r="Z301" s="2"/>
      <c r="AA301" s="2"/>
      <c r="AB301" s="2"/>
      <c r="AC301" s="2"/>
      <c r="AD301" s="2"/>
      <c r="AF301" s="104">
        <v>38718</v>
      </c>
      <c r="AG301" s="89">
        <v>0</v>
      </c>
      <c r="AH301" s="92">
        <v>0</v>
      </c>
      <c r="AI301" s="96">
        <v>0</v>
      </c>
      <c r="AJ301" s="112">
        <f t="shared" si="24"/>
        <v>0</v>
      </c>
      <c r="AK301" s="112">
        <f t="shared" si="23"/>
        <v>0</v>
      </c>
      <c r="AL301" s="113">
        <f t="shared" si="22"/>
        <v>0</v>
      </c>
      <c r="AM301" s="68"/>
      <c r="AN301" s="68"/>
      <c r="AO301" s="69"/>
      <c r="AP301" s="114" t="e">
        <f>AM303*AJ301/SUM(AJ301:AJ303)/(AJ301*10^3*10^3)</f>
        <v>#DIV/0!</v>
      </c>
      <c r="AQ301" s="115" t="e">
        <f>AN303*AK301/SUM(AK301:AK303)/(AK301*10^3*10^3)</f>
        <v>#DIV/0!</v>
      </c>
      <c r="AR301" s="114" t="e">
        <f>AO303*AL301/SUM(AL301:AL303)/(AL301*10^3*10^3)</f>
        <v>#DIV/0!</v>
      </c>
      <c r="AS301" s="2"/>
      <c r="AT301" s="2"/>
      <c r="AU301" s="2"/>
      <c r="AV301" s="2"/>
      <c r="AW301" s="2"/>
      <c r="AX301" s="2"/>
      <c r="AY301" s="2"/>
      <c r="AZ301" s="2"/>
    </row>
    <row r="302" spans="1:138" ht="10.5" customHeight="1" x14ac:dyDescent="0.15">
      <c r="A302" s="46" t="s">
        <v>27</v>
      </c>
      <c r="B302" s="73">
        <v>1</v>
      </c>
      <c r="C302" s="70" t="s">
        <v>10</v>
      </c>
      <c r="D302" s="54" t="s">
        <v>88</v>
      </c>
      <c r="E302" s="55" t="s">
        <v>88</v>
      </c>
      <c r="F302" s="56" t="s">
        <v>88</v>
      </c>
      <c r="G302" s="54" t="s">
        <v>88</v>
      </c>
      <c r="H302" s="55" t="s">
        <v>88</v>
      </c>
      <c r="I302" s="56" t="s">
        <v>88</v>
      </c>
      <c r="J302" s="57" t="s">
        <v>88</v>
      </c>
      <c r="K302" s="58" t="s">
        <v>20</v>
      </c>
      <c r="L302" s="59" t="s">
        <v>88</v>
      </c>
      <c r="M302" s="60">
        <f>6.2*10^8</f>
        <v>620000000</v>
      </c>
      <c r="N302" s="60" t="s">
        <v>20</v>
      </c>
      <c r="O302" s="61">
        <f>1.5*10^7</f>
        <v>15000000</v>
      </c>
      <c r="P302" s="44"/>
      <c r="Q302" s="2"/>
      <c r="R302" s="2"/>
      <c r="S302" s="2"/>
      <c r="T302" s="2"/>
      <c r="U302" s="2"/>
      <c r="V302" s="2"/>
      <c r="W302" s="2"/>
      <c r="X302" s="2"/>
      <c r="Y302" s="2"/>
      <c r="Z302" s="2"/>
      <c r="AA302" s="2"/>
      <c r="AB302" s="2"/>
      <c r="AC302" s="2"/>
      <c r="AD302" s="2"/>
      <c r="AF302" s="104">
        <v>38749</v>
      </c>
      <c r="AG302" s="89">
        <v>0</v>
      </c>
      <c r="AH302" s="92">
        <v>0</v>
      </c>
      <c r="AI302" s="96">
        <v>0</v>
      </c>
      <c r="AJ302" s="112">
        <f t="shared" si="24"/>
        <v>0</v>
      </c>
      <c r="AK302" s="112">
        <f t="shared" si="23"/>
        <v>0</v>
      </c>
      <c r="AL302" s="113">
        <f t="shared" si="22"/>
        <v>0</v>
      </c>
      <c r="AM302" s="68"/>
      <c r="AN302" s="68"/>
      <c r="AO302" s="69"/>
      <c r="AP302" s="114" t="e">
        <f>AM303*AJ302/SUM(AJ301:AJ303)/(AJ302*10^3*10^3)</f>
        <v>#DIV/0!</v>
      </c>
      <c r="AQ302" s="115" t="e">
        <f>AN303*AK302/SUM(AK301:AK303)/(AK302*10^3*10^3)</f>
        <v>#DIV/0!</v>
      </c>
      <c r="AR302" s="114" t="e">
        <f>AO303*AL302/SUM(AL301:AL303)/(AL302*10^3*10^3)</f>
        <v>#DIV/0!</v>
      </c>
      <c r="AS302" s="2"/>
      <c r="AT302" s="2"/>
      <c r="AU302" s="2"/>
      <c r="AV302" s="2"/>
      <c r="AW302" s="2"/>
      <c r="AX302" s="2"/>
      <c r="AY302" s="2"/>
      <c r="AZ302" s="2"/>
    </row>
    <row r="303" spans="1:138" ht="10.5" customHeight="1" x14ac:dyDescent="0.15">
      <c r="A303" s="41"/>
      <c r="B303" s="74">
        <v>2</v>
      </c>
      <c r="C303" s="71" t="s">
        <v>11</v>
      </c>
      <c r="D303" s="62" t="s">
        <v>88</v>
      </c>
      <c r="E303" s="63" t="s">
        <v>88</v>
      </c>
      <c r="F303" s="64" t="s">
        <v>88</v>
      </c>
      <c r="G303" s="62" t="s">
        <v>88</v>
      </c>
      <c r="H303" s="63" t="s">
        <v>88</v>
      </c>
      <c r="I303" s="64" t="s">
        <v>88</v>
      </c>
      <c r="J303" s="65" t="s">
        <v>20</v>
      </c>
      <c r="K303" s="66" t="s">
        <v>20</v>
      </c>
      <c r="L303" s="67" t="s">
        <v>88</v>
      </c>
      <c r="M303" s="68" t="s">
        <v>20</v>
      </c>
      <c r="N303" s="68" t="s">
        <v>20</v>
      </c>
      <c r="O303" s="69">
        <f>2.9*10^6</f>
        <v>2900000</v>
      </c>
      <c r="P303" s="44"/>
      <c r="Q303" s="2"/>
      <c r="R303" s="2"/>
      <c r="S303" s="2"/>
      <c r="T303" s="2"/>
      <c r="U303" s="2"/>
      <c r="V303" s="2"/>
      <c r="W303" s="2"/>
      <c r="X303" s="2"/>
      <c r="Y303" s="2"/>
      <c r="Z303" s="2"/>
      <c r="AA303" s="2"/>
      <c r="AB303" s="2"/>
      <c r="AC303" s="2"/>
      <c r="AD303" s="2"/>
      <c r="AF303" s="104">
        <v>38777</v>
      </c>
      <c r="AG303" s="89">
        <v>0</v>
      </c>
      <c r="AH303" s="92">
        <v>0</v>
      </c>
      <c r="AI303" s="96">
        <v>187.57599999999999</v>
      </c>
      <c r="AJ303" s="112">
        <f t="shared" si="24"/>
        <v>0</v>
      </c>
      <c r="AK303" s="112">
        <f t="shared" si="23"/>
        <v>0</v>
      </c>
      <c r="AL303" s="113">
        <f t="shared" si="22"/>
        <v>491.10807272727271</v>
      </c>
      <c r="AM303" s="68" t="s">
        <v>20</v>
      </c>
      <c r="AN303" s="68">
        <v>800000000</v>
      </c>
      <c r="AO303" s="69">
        <v>50000000</v>
      </c>
      <c r="AP303" s="114" t="e">
        <f>AM303*AJ303/SUM(AJ301:AJ303)/(AJ303*10^3*10^3)</f>
        <v>#DIV/0!</v>
      </c>
      <c r="AQ303" s="115" t="e">
        <f>AN303*AK303/SUM(AK301:AK303)/(AK303*10^3*10^3)</f>
        <v>#DIV/0!</v>
      </c>
      <c r="AR303" s="114">
        <f>AO303*AL303/SUM(AL301:AL303)/(AL303*10^3*10^3)</f>
        <v>0.10181058462821589</v>
      </c>
      <c r="AS303" s="2"/>
      <c r="AT303" s="2"/>
      <c r="AU303" s="2"/>
      <c r="AV303" s="2"/>
      <c r="AW303" s="2"/>
      <c r="AX303" s="2"/>
      <c r="AY303" s="2"/>
      <c r="AZ303" s="2"/>
    </row>
    <row r="304" spans="1:138" ht="10.5" customHeight="1" x14ac:dyDescent="0.15">
      <c r="A304" s="41"/>
      <c r="B304" s="74">
        <v>3</v>
      </c>
      <c r="C304" s="71" t="s">
        <v>13</v>
      </c>
      <c r="D304" s="62" t="s">
        <v>88</v>
      </c>
      <c r="E304" s="63" t="s">
        <v>88</v>
      </c>
      <c r="F304" s="64" t="s">
        <v>88</v>
      </c>
      <c r="G304" s="62" t="s">
        <v>88</v>
      </c>
      <c r="H304" s="63" t="s">
        <v>88</v>
      </c>
      <c r="I304" s="64" t="s">
        <v>88</v>
      </c>
      <c r="J304" s="65" t="s">
        <v>88</v>
      </c>
      <c r="K304" s="68" t="s">
        <v>20</v>
      </c>
      <c r="L304" s="67" t="s">
        <v>88</v>
      </c>
      <c r="M304" s="68">
        <f>5.9*10^8</f>
        <v>590000000</v>
      </c>
      <c r="N304" s="68" t="s">
        <v>20</v>
      </c>
      <c r="O304" s="69" t="s">
        <v>20</v>
      </c>
      <c r="P304" s="44"/>
      <c r="Q304" s="2"/>
      <c r="R304" s="2"/>
      <c r="S304" s="2"/>
      <c r="T304" s="2"/>
      <c r="U304" s="2"/>
      <c r="V304" s="2"/>
      <c r="W304" s="2"/>
      <c r="X304" s="2"/>
      <c r="Y304" s="2"/>
      <c r="Z304" s="2"/>
      <c r="AA304" s="2"/>
      <c r="AB304" s="2"/>
      <c r="AC304" s="2"/>
      <c r="AD304" s="2"/>
      <c r="AF304" s="105">
        <v>38808</v>
      </c>
      <c r="AG304" s="89">
        <v>0</v>
      </c>
      <c r="AH304" s="89">
        <v>601.93899999999996</v>
      </c>
      <c r="AI304" s="96">
        <v>615.28800000000001</v>
      </c>
      <c r="AJ304" s="112">
        <f t="shared" si="24"/>
        <v>0</v>
      </c>
      <c r="AK304" s="112">
        <f t="shared" si="23"/>
        <v>1575.9857454545454</v>
      </c>
      <c r="AL304" s="113">
        <f t="shared" si="22"/>
        <v>1610.9358545454547</v>
      </c>
      <c r="AM304" s="68"/>
      <c r="AN304" s="68"/>
      <c r="AO304" s="69"/>
      <c r="AP304" s="115" t="e">
        <f>AM306*AJ304/SUM(AJ304:AJ306)/(AJ304*10^3*10^3)</f>
        <v>#DIV/0!</v>
      </c>
      <c r="AQ304" s="114">
        <f>AN306*AK304/SUM(AK304:AK306)/(AK304*10^3*10^3)</f>
        <v>1.577121611769279</v>
      </c>
      <c r="AR304" s="115">
        <f>AO306*AL304/SUM(AL304:AL306)/(AL304*10^3*10^3)</f>
        <v>2.2514407881343759E-3</v>
      </c>
      <c r="AS304" s="2"/>
      <c r="AT304" s="2"/>
      <c r="AU304" s="2"/>
      <c r="AV304" s="2"/>
      <c r="AW304" s="2"/>
      <c r="AX304" s="2"/>
      <c r="AY304" s="2"/>
      <c r="AZ304" s="2"/>
    </row>
    <row r="305" spans="1:52" ht="10.5" customHeight="1" x14ac:dyDescent="0.15">
      <c r="A305" s="45"/>
      <c r="B305" s="75">
        <v>4</v>
      </c>
      <c r="C305" s="19" t="s">
        <v>15</v>
      </c>
      <c r="D305" s="48" t="s">
        <v>88</v>
      </c>
      <c r="E305" s="49" t="s">
        <v>88</v>
      </c>
      <c r="F305" s="42" t="s">
        <v>88</v>
      </c>
      <c r="G305" s="48" t="s">
        <v>88</v>
      </c>
      <c r="H305" s="49" t="s">
        <v>88</v>
      </c>
      <c r="I305" s="42" t="s">
        <v>88</v>
      </c>
      <c r="J305" s="51" t="s">
        <v>20</v>
      </c>
      <c r="K305" s="50" t="s">
        <v>88</v>
      </c>
      <c r="L305" s="43" t="s">
        <v>48</v>
      </c>
      <c r="M305" s="52" t="s">
        <v>20</v>
      </c>
      <c r="N305" s="52">
        <f>8*10^8</f>
        <v>800000000</v>
      </c>
      <c r="O305" s="53">
        <f>5*10^7</f>
        <v>50000000</v>
      </c>
      <c r="P305" s="44"/>
      <c r="Q305" s="2"/>
      <c r="R305" s="2"/>
      <c r="S305" s="2"/>
      <c r="T305" s="2"/>
      <c r="U305" s="2"/>
      <c r="V305" s="2"/>
      <c r="W305" s="2"/>
      <c r="X305" s="2"/>
      <c r="Y305" s="2"/>
      <c r="Z305" s="2"/>
      <c r="AA305" s="2"/>
      <c r="AB305" s="2"/>
      <c r="AC305" s="2"/>
      <c r="AD305" s="2"/>
      <c r="AF305" s="105">
        <v>38838</v>
      </c>
      <c r="AG305" s="89">
        <v>0</v>
      </c>
      <c r="AH305" s="89">
        <v>197.249</v>
      </c>
      <c r="AI305" s="96">
        <v>635.84500000000003</v>
      </c>
      <c r="AJ305" s="112">
        <f t="shared" si="24"/>
        <v>0</v>
      </c>
      <c r="AK305" s="112">
        <f t="shared" si="23"/>
        <v>516.43374545454549</v>
      </c>
      <c r="AL305" s="113">
        <f t="shared" si="22"/>
        <v>1664.757818181818</v>
      </c>
      <c r="AM305" s="68"/>
      <c r="AN305" s="68"/>
      <c r="AO305" s="69"/>
      <c r="AP305" s="115" t="e">
        <f>AM306*AJ305/SUM(AJ304:AJ306)/(AJ305*10^3*10^3)</f>
        <v>#DIV/0!</v>
      </c>
      <c r="AQ305" s="114">
        <f>AN306*AK305/SUM(AK304:AK306)/(AK305*10^3*10^3)</f>
        <v>1.577121611769279</v>
      </c>
      <c r="AR305" s="115">
        <f>AO306*AL305/SUM(AL304:AL306)/(AL305*10^3*10^3)</f>
        <v>2.2514407881343759E-3</v>
      </c>
      <c r="AS305" s="2"/>
      <c r="AT305" s="2"/>
      <c r="AU305" s="2"/>
      <c r="AV305" s="2"/>
      <c r="AW305" s="2"/>
      <c r="AX305" s="2"/>
      <c r="AY305" s="2"/>
      <c r="AZ305" s="2"/>
    </row>
    <row r="306" spans="1:52" ht="10.5" customHeight="1" x14ac:dyDescent="0.15">
      <c r="A306" s="46" t="s">
        <v>28</v>
      </c>
      <c r="B306" s="73">
        <v>1</v>
      </c>
      <c r="C306" s="70" t="s">
        <v>10</v>
      </c>
      <c r="D306" s="54" t="s">
        <v>88</v>
      </c>
      <c r="E306" s="55" t="s">
        <v>88</v>
      </c>
      <c r="F306" s="56" t="s">
        <v>88</v>
      </c>
      <c r="G306" s="54" t="s">
        <v>88</v>
      </c>
      <c r="H306" s="55" t="s">
        <v>88</v>
      </c>
      <c r="I306" s="56" t="s">
        <v>88</v>
      </c>
      <c r="J306" s="57" t="s">
        <v>20</v>
      </c>
      <c r="K306" s="58" t="s">
        <v>88</v>
      </c>
      <c r="L306" s="59" t="s">
        <v>88</v>
      </c>
      <c r="M306" s="60" t="s">
        <v>20</v>
      </c>
      <c r="N306" s="60">
        <f>3.3*10^9</f>
        <v>3300000000</v>
      </c>
      <c r="O306" s="61">
        <f>1.1*10^7</f>
        <v>11000000</v>
      </c>
      <c r="P306" s="44"/>
      <c r="Q306" s="2"/>
      <c r="R306" s="2"/>
      <c r="S306" s="2"/>
      <c r="T306" s="2"/>
      <c r="U306" s="2"/>
      <c r="V306" s="2"/>
      <c r="W306" s="2"/>
      <c r="X306" s="2"/>
      <c r="Y306" s="2"/>
      <c r="Z306" s="2"/>
      <c r="AA306" s="2"/>
      <c r="AB306" s="2"/>
      <c r="AC306" s="2"/>
      <c r="AD306" s="2"/>
      <c r="AF306" s="105">
        <v>38869</v>
      </c>
      <c r="AG306" s="89">
        <v>0</v>
      </c>
      <c r="AH306" s="92">
        <v>0</v>
      </c>
      <c r="AI306" s="97">
        <v>614.95600000000002</v>
      </c>
      <c r="AJ306" s="112">
        <f t="shared" si="24"/>
        <v>0</v>
      </c>
      <c r="AK306" s="112">
        <f t="shared" si="23"/>
        <v>0</v>
      </c>
      <c r="AL306" s="113">
        <f t="shared" si="22"/>
        <v>1610.0666181818181</v>
      </c>
      <c r="AM306" s="68" t="s">
        <v>20</v>
      </c>
      <c r="AN306" s="68">
        <v>3300000000</v>
      </c>
      <c r="AO306" s="125">
        <v>11000000</v>
      </c>
      <c r="AP306" s="115" t="e">
        <f>AM306*AJ306/SUM(AJ304:AJ306)/(AJ306*10^3*10^3)</f>
        <v>#DIV/0!</v>
      </c>
      <c r="AQ306" s="114" t="e">
        <f>AN306*AK306/SUM(AK304:AK306)/(AK306*10^3*10^3)</f>
        <v>#DIV/0!</v>
      </c>
      <c r="AR306" s="115">
        <f>AO306*AL306/SUM(AL304:AL306)/(AL306*10^3*10^3)</f>
        <v>2.2514407881343754E-3</v>
      </c>
      <c r="AS306" s="2"/>
      <c r="AT306" s="2"/>
      <c r="AU306" s="2"/>
      <c r="AV306" s="2"/>
      <c r="AW306" s="2"/>
      <c r="AX306" s="2"/>
      <c r="AY306" s="2"/>
      <c r="AZ306" s="2"/>
    </row>
    <row r="307" spans="1:52" ht="10.5" customHeight="1" x14ac:dyDescent="0.15">
      <c r="A307" s="23"/>
      <c r="B307" s="74">
        <v>2</v>
      </c>
      <c r="C307" s="71" t="s">
        <v>11</v>
      </c>
      <c r="D307" s="62" t="s">
        <v>88</v>
      </c>
      <c r="E307" s="63" t="s">
        <v>88</v>
      </c>
      <c r="F307" s="64" t="s">
        <v>88</v>
      </c>
      <c r="G307" s="62" t="s">
        <v>88</v>
      </c>
      <c r="H307" s="63" t="s">
        <v>88</v>
      </c>
      <c r="I307" s="64" t="s">
        <v>88</v>
      </c>
      <c r="J307" s="65" t="s">
        <v>88</v>
      </c>
      <c r="K307" s="66" t="s">
        <v>20</v>
      </c>
      <c r="L307" s="67" t="s">
        <v>88</v>
      </c>
      <c r="M307" s="68">
        <f>7.8*10^8</f>
        <v>780000000</v>
      </c>
      <c r="N307" s="68" t="s">
        <v>20</v>
      </c>
      <c r="O307" s="69">
        <f>2.9*10^7</f>
        <v>29000000</v>
      </c>
      <c r="P307" s="44"/>
      <c r="Q307" s="2"/>
      <c r="R307" s="2"/>
      <c r="S307" s="2"/>
      <c r="T307" s="2"/>
      <c r="U307" s="2"/>
      <c r="V307" s="2"/>
      <c r="W307" s="2"/>
      <c r="X307" s="2"/>
      <c r="Y307" s="2"/>
      <c r="Z307" s="2"/>
      <c r="AA307" s="2"/>
      <c r="AB307" s="2"/>
      <c r="AC307" s="2"/>
      <c r="AD307" s="2"/>
      <c r="AF307" s="105">
        <v>38899</v>
      </c>
      <c r="AG307" s="89">
        <v>0</v>
      </c>
      <c r="AH307" s="92">
        <v>0</v>
      </c>
      <c r="AI307" s="96">
        <v>119.679</v>
      </c>
      <c r="AJ307" s="112">
        <f t="shared" si="24"/>
        <v>0</v>
      </c>
      <c r="AK307" s="112">
        <f t="shared" si="23"/>
        <v>0</v>
      </c>
      <c r="AL307" s="113">
        <f t="shared" si="22"/>
        <v>313.34138181818184</v>
      </c>
      <c r="AM307" s="68"/>
      <c r="AN307" s="68"/>
      <c r="AO307" s="69"/>
      <c r="AP307" s="115" t="e">
        <f>AM309*AJ307/SUM(AJ307:AJ309)/(AJ307*10^3*10^3)</f>
        <v>#DIV/0!</v>
      </c>
      <c r="AQ307" s="114" t="e">
        <f>AN309*AK307/SUM(AK307:AK309)/(AK307*10^3*10^3)</f>
        <v>#DIV/0!</v>
      </c>
      <c r="AR307" s="115">
        <f>AO309*AL307/SUM(AL307:AL309)/(AL307*10^3*10^3)</f>
        <v>9.255081416864186E-2</v>
      </c>
      <c r="AS307" s="2"/>
      <c r="AT307" s="2"/>
      <c r="AU307" s="2"/>
      <c r="AV307" s="2"/>
      <c r="AW307" s="2"/>
      <c r="AX307" s="2"/>
      <c r="AY307" s="2"/>
      <c r="AZ307" s="2"/>
    </row>
    <row r="308" spans="1:52" ht="10.5" customHeight="1" x14ac:dyDescent="0.15">
      <c r="A308" s="23"/>
      <c r="B308" s="74">
        <v>3</v>
      </c>
      <c r="C308" s="71" t="s">
        <v>13</v>
      </c>
      <c r="D308" s="62" t="s">
        <v>88</v>
      </c>
      <c r="E308" s="63" t="s">
        <v>88</v>
      </c>
      <c r="F308" s="64" t="s">
        <v>88</v>
      </c>
      <c r="G308" s="62" t="s">
        <v>88</v>
      </c>
      <c r="H308" s="63" t="s">
        <v>88</v>
      </c>
      <c r="I308" s="64" t="s">
        <v>88</v>
      </c>
      <c r="J308" s="65" t="s">
        <v>88</v>
      </c>
      <c r="K308" s="68" t="s">
        <v>20</v>
      </c>
      <c r="L308" s="67" t="s">
        <v>88</v>
      </c>
      <c r="M308" s="68">
        <f>5.3*10^8</f>
        <v>530000000</v>
      </c>
      <c r="N308" s="68" t="s">
        <v>20</v>
      </c>
      <c r="O308" s="69" t="s">
        <v>88</v>
      </c>
      <c r="P308" s="44"/>
      <c r="Q308" s="2"/>
      <c r="R308" s="2"/>
      <c r="S308" s="2"/>
      <c r="T308" s="2"/>
      <c r="U308" s="2"/>
      <c r="V308" s="2"/>
      <c r="W308" s="2"/>
      <c r="X308" s="2"/>
      <c r="Y308" s="2"/>
      <c r="Z308" s="2"/>
      <c r="AA308" s="2"/>
      <c r="AB308" s="2"/>
      <c r="AC308" s="2"/>
      <c r="AD308" s="2"/>
      <c r="AF308" s="105">
        <v>38930</v>
      </c>
      <c r="AG308" s="89">
        <v>0</v>
      </c>
      <c r="AH308" s="92">
        <v>0</v>
      </c>
      <c r="AI308" s="96">
        <v>0</v>
      </c>
      <c r="AJ308" s="112">
        <f t="shared" si="24"/>
        <v>0</v>
      </c>
      <c r="AK308" s="112">
        <f t="shared" si="23"/>
        <v>0</v>
      </c>
      <c r="AL308" s="113">
        <f t="shared" si="22"/>
        <v>0</v>
      </c>
      <c r="AM308" s="68"/>
      <c r="AN308" s="68"/>
      <c r="AO308" s="69"/>
      <c r="AP308" s="115" t="e">
        <f>AM309*AJ308/SUM(AJ307:AJ309)/(AJ308*10^3*10^3)</f>
        <v>#DIV/0!</v>
      </c>
      <c r="AQ308" s="114" t="e">
        <f>AN309*AK308/SUM(AK307:AK309)/(AK308*10^3*10^3)</f>
        <v>#DIV/0!</v>
      </c>
      <c r="AR308" s="115" t="e">
        <f>AO309*AL308/SUM(AL307:AL309)/(AL308*10^3*10^3)</f>
        <v>#DIV/0!</v>
      </c>
      <c r="AS308" s="2"/>
      <c r="AT308" s="2"/>
      <c r="AU308" s="2"/>
      <c r="AV308" s="2"/>
      <c r="AW308" s="2"/>
      <c r="AX308" s="2"/>
      <c r="AY308" s="2"/>
      <c r="AZ308" s="2"/>
    </row>
    <row r="309" spans="1:52" ht="10.5" customHeight="1" x14ac:dyDescent="0.15">
      <c r="A309" s="24"/>
      <c r="B309" s="75">
        <v>4</v>
      </c>
      <c r="C309" s="19" t="s">
        <v>15</v>
      </c>
      <c r="D309" s="48" t="s">
        <v>88</v>
      </c>
      <c r="E309" s="49" t="s">
        <v>88</v>
      </c>
      <c r="F309" s="42" t="s">
        <v>88</v>
      </c>
      <c r="G309" s="48" t="s">
        <v>88</v>
      </c>
      <c r="H309" s="49" t="s">
        <v>88</v>
      </c>
      <c r="I309" s="42" t="s">
        <v>88</v>
      </c>
      <c r="J309" s="51" t="s">
        <v>20</v>
      </c>
      <c r="K309" s="50" t="s">
        <v>88</v>
      </c>
      <c r="L309" s="43" t="s">
        <v>88</v>
      </c>
      <c r="M309" s="52" t="s">
        <v>20</v>
      </c>
      <c r="N309" s="52">
        <f>6.7*10^8</f>
        <v>670000000</v>
      </c>
      <c r="O309" s="53">
        <f>2*10^7</f>
        <v>20000000</v>
      </c>
      <c r="P309" s="44"/>
      <c r="Q309" s="2"/>
      <c r="R309" s="2"/>
      <c r="S309" s="2"/>
      <c r="T309" s="2"/>
      <c r="U309" s="2"/>
      <c r="V309" s="2"/>
      <c r="W309" s="2"/>
      <c r="X309" s="2"/>
      <c r="Y309" s="2"/>
      <c r="Z309" s="2"/>
      <c r="AA309" s="2"/>
      <c r="AB309" s="2"/>
      <c r="AC309" s="2"/>
      <c r="AD309" s="2"/>
      <c r="AF309" s="105">
        <v>38961</v>
      </c>
      <c r="AG309" s="89">
        <v>0</v>
      </c>
      <c r="AH309" s="92">
        <v>0</v>
      </c>
      <c r="AI309" s="96">
        <v>0</v>
      </c>
      <c r="AJ309" s="112">
        <f t="shared" si="24"/>
        <v>0</v>
      </c>
      <c r="AK309" s="112">
        <f t="shared" si="23"/>
        <v>0</v>
      </c>
      <c r="AL309" s="113">
        <f t="shared" si="22"/>
        <v>0</v>
      </c>
      <c r="AM309" s="68">
        <v>780000000</v>
      </c>
      <c r="AN309" s="68" t="s">
        <v>20</v>
      </c>
      <c r="AO309" s="69">
        <v>29000000</v>
      </c>
      <c r="AP309" s="115" t="e">
        <f>AM309*AJ309/SUM(AJ307:AJ309)/(AJ309*10^3*10^3)</f>
        <v>#DIV/0!</v>
      </c>
      <c r="AQ309" s="114" t="e">
        <f>AN309*AK309/SUM(AK307:AK309)/(AK309*10^3*10^3)</f>
        <v>#DIV/0!</v>
      </c>
      <c r="AR309" s="115" t="e">
        <f>AO309*AL309/SUM(AL307:AL309)/(AL309*10^3*10^3)</f>
        <v>#DIV/0!</v>
      </c>
      <c r="AS309" s="2"/>
      <c r="AT309" s="2"/>
      <c r="AU309" s="2"/>
      <c r="AV309" s="2"/>
      <c r="AW309" s="2"/>
      <c r="AX309" s="2"/>
      <c r="AY309" s="2"/>
      <c r="AZ309" s="2"/>
    </row>
    <row r="310" spans="1:52" ht="10.5" customHeight="1" x14ac:dyDescent="0.15">
      <c r="A310" s="18" t="s">
        <v>29</v>
      </c>
      <c r="B310" s="73">
        <v>1</v>
      </c>
      <c r="C310" s="70" t="s">
        <v>10</v>
      </c>
      <c r="D310" s="54" t="s">
        <v>88</v>
      </c>
      <c r="E310" s="55" t="s">
        <v>88</v>
      </c>
      <c r="F310" s="56" t="s">
        <v>88</v>
      </c>
      <c r="G310" s="54" t="s">
        <v>88</v>
      </c>
      <c r="H310" s="55" t="s">
        <v>88</v>
      </c>
      <c r="I310" s="56" t="s">
        <v>88</v>
      </c>
      <c r="J310" s="57" t="s">
        <v>88</v>
      </c>
      <c r="K310" s="58" t="s">
        <v>20</v>
      </c>
      <c r="L310" s="59" t="s">
        <v>88</v>
      </c>
      <c r="M310" s="60">
        <f>4.2*10^8</f>
        <v>420000000</v>
      </c>
      <c r="N310" s="60" t="s">
        <v>20</v>
      </c>
      <c r="O310" s="61">
        <f>1.9*10^7</f>
        <v>19000000</v>
      </c>
      <c r="P310" s="44"/>
      <c r="Q310" s="2"/>
      <c r="R310" s="2"/>
      <c r="S310" s="2"/>
      <c r="T310" s="2"/>
      <c r="U310" s="2"/>
      <c r="V310" s="2"/>
      <c r="W310" s="2"/>
      <c r="X310" s="2"/>
      <c r="Y310" s="2"/>
      <c r="Z310" s="2"/>
      <c r="AA310" s="2"/>
      <c r="AB310" s="2"/>
      <c r="AC310" s="2"/>
      <c r="AD310" s="2"/>
      <c r="AF310" s="105">
        <v>38991</v>
      </c>
      <c r="AG310" s="89">
        <v>0</v>
      </c>
      <c r="AH310" s="92">
        <v>0</v>
      </c>
      <c r="AI310" s="96">
        <v>0</v>
      </c>
      <c r="AJ310" s="112">
        <f t="shared" si="24"/>
        <v>0</v>
      </c>
      <c r="AK310" s="112">
        <f t="shared" si="23"/>
        <v>0</v>
      </c>
      <c r="AL310" s="113">
        <f t="shared" ref="AL310:AL345" si="25">60*60*60/(82.5*10^6)*AI310*10^6/10^3</f>
        <v>0</v>
      </c>
      <c r="AM310" s="68"/>
      <c r="AN310" s="68"/>
      <c r="AO310" s="69"/>
      <c r="AP310" s="115" t="e">
        <f>AM312*AJ310/SUM(AJ310:AJ312)/(AJ310*10^3*10^3)</f>
        <v>#DIV/0!</v>
      </c>
      <c r="AQ310" s="114" t="e">
        <f>AN312*AK310/SUM(AK310:AK312)/(AK310*10^3*10^3)</f>
        <v>#DIV/0!</v>
      </c>
      <c r="AR310" s="115" t="e">
        <f>AO312*AL310/SUM(AL310:AL312)/(AL310*10^3*10^3)</f>
        <v>#DIV/0!</v>
      </c>
      <c r="AS310" s="2"/>
      <c r="AT310" s="2"/>
      <c r="AU310" s="2"/>
      <c r="AV310" s="2"/>
      <c r="AW310" s="2"/>
      <c r="AX310" s="2"/>
      <c r="AY310" s="2"/>
      <c r="AZ310" s="2"/>
    </row>
    <row r="311" spans="1:52" ht="10.5" customHeight="1" x14ac:dyDescent="0.15">
      <c r="A311" s="23"/>
      <c r="B311" s="74">
        <v>2</v>
      </c>
      <c r="C311" s="71" t="s">
        <v>11</v>
      </c>
      <c r="D311" s="62" t="s">
        <v>88</v>
      </c>
      <c r="E311" s="63" t="s">
        <v>88</v>
      </c>
      <c r="F311" s="64" t="s">
        <v>88</v>
      </c>
      <c r="G311" s="62" t="s">
        <v>88</v>
      </c>
      <c r="H311" s="63" t="s">
        <v>88</v>
      </c>
      <c r="I311" s="64" t="s">
        <v>88</v>
      </c>
      <c r="J311" s="65" t="s">
        <v>88</v>
      </c>
      <c r="K311" s="66" t="s">
        <v>88</v>
      </c>
      <c r="L311" s="67" t="s">
        <v>20</v>
      </c>
      <c r="M311" s="68">
        <f>2*10^9</f>
        <v>2000000000</v>
      </c>
      <c r="N311" s="68">
        <f>1.8*10^8</f>
        <v>180000000</v>
      </c>
      <c r="O311" s="69" t="s">
        <v>20</v>
      </c>
      <c r="P311" s="44"/>
      <c r="Q311" s="2"/>
      <c r="R311" s="2"/>
      <c r="S311" s="2"/>
      <c r="T311" s="2"/>
      <c r="U311" s="2"/>
      <c r="V311" s="2"/>
      <c r="W311" s="2"/>
      <c r="X311" s="2"/>
      <c r="Y311" s="2"/>
      <c r="Z311" s="2"/>
      <c r="AA311" s="2"/>
      <c r="AB311" s="2"/>
      <c r="AC311" s="2"/>
      <c r="AD311" s="2"/>
      <c r="AF311" s="105">
        <v>39022</v>
      </c>
      <c r="AG311" s="89">
        <v>0</v>
      </c>
      <c r="AH311" s="92">
        <v>0</v>
      </c>
      <c r="AI311" s="96">
        <v>99.134</v>
      </c>
      <c r="AJ311" s="112">
        <f t="shared" si="24"/>
        <v>0</v>
      </c>
      <c r="AK311" s="112">
        <f t="shared" si="23"/>
        <v>0</v>
      </c>
      <c r="AL311" s="113">
        <f t="shared" si="25"/>
        <v>259.55083636363639</v>
      </c>
      <c r="AM311" s="68"/>
      <c r="AN311" s="68"/>
      <c r="AO311" s="69"/>
      <c r="AP311" s="115" t="e">
        <f>AM312*AJ311/SUM(AJ310:AJ312)/(AJ311*10^3*10^3)</f>
        <v>#DIV/0!</v>
      </c>
      <c r="AQ311" s="114" t="e">
        <f>AN312*AK311/SUM(AK310:AK312)/(AK311*10^3*10^3)</f>
        <v>#DIV/0!</v>
      </c>
      <c r="AR311" s="115">
        <f>AO312*AL311/SUM(AL310:AL312)/(AL311*10^3*10^3)</f>
        <v>0</v>
      </c>
      <c r="AS311" s="2"/>
      <c r="AT311" s="2"/>
      <c r="AU311" s="2"/>
      <c r="AV311" s="2"/>
      <c r="AW311" s="2"/>
      <c r="AX311" s="2"/>
      <c r="AY311" s="2"/>
      <c r="AZ311" s="2"/>
    </row>
    <row r="312" spans="1:52" ht="10.5" customHeight="1" x14ac:dyDescent="0.15">
      <c r="A312" s="23"/>
      <c r="B312" s="74">
        <v>3</v>
      </c>
      <c r="C312" s="71" t="s">
        <v>13</v>
      </c>
      <c r="D312" s="62" t="s">
        <v>88</v>
      </c>
      <c r="E312" s="63" t="s">
        <v>88</v>
      </c>
      <c r="F312" s="64" t="s">
        <v>88</v>
      </c>
      <c r="G312" s="62" t="s">
        <v>88</v>
      </c>
      <c r="H312" s="63" t="s">
        <v>88</v>
      </c>
      <c r="I312" s="64" t="s">
        <v>88</v>
      </c>
      <c r="J312" s="65" t="s">
        <v>88</v>
      </c>
      <c r="K312" s="68" t="s">
        <v>88</v>
      </c>
      <c r="L312" s="67" t="s">
        <v>88</v>
      </c>
      <c r="M312" s="68">
        <f>1.7*10^9</f>
        <v>1700000000</v>
      </c>
      <c r="N312" s="68">
        <f>1.1*10^8</f>
        <v>110000000.00000001</v>
      </c>
      <c r="O312" s="69">
        <f>3.7*10^6</f>
        <v>3700000</v>
      </c>
      <c r="P312" s="44"/>
      <c r="Q312" s="2"/>
      <c r="R312" s="2"/>
      <c r="S312" s="2"/>
      <c r="T312" s="2"/>
      <c r="U312" s="2"/>
      <c r="V312" s="2"/>
      <c r="W312" s="2"/>
      <c r="X312" s="2"/>
      <c r="Y312" s="2"/>
      <c r="Z312" s="2"/>
      <c r="AA312" s="2"/>
      <c r="AB312" s="2"/>
      <c r="AC312" s="2"/>
      <c r="AD312" s="2"/>
      <c r="AF312" s="105">
        <v>39052</v>
      </c>
      <c r="AG312" s="89">
        <v>0</v>
      </c>
      <c r="AH312" s="89">
        <v>351.76400000000001</v>
      </c>
      <c r="AI312" s="96">
        <v>635.98800000000006</v>
      </c>
      <c r="AJ312" s="112">
        <f t="shared" si="24"/>
        <v>0</v>
      </c>
      <c r="AK312" s="112">
        <f t="shared" si="23"/>
        <v>920.98210909090903</v>
      </c>
      <c r="AL312" s="113">
        <f t="shared" si="25"/>
        <v>1665.1322181818182</v>
      </c>
      <c r="AM312" s="68">
        <v>530000000</v>
      </c>
      <c r="AN312" s="68" t="s">
        <v>20</v>
      </c>
      <c r="AO312" s="69" t="s">
        <v>88</v>
      </c>
      <c r="AP312" s="115" t="e">
        <f>AM312*AJ312/SUM(AJ310:AJ312)/(AJ312*10^3*10^3)</f>
        <v>#DIV/0!</v>
      </c>
      <c r="AQ312" s="114">
        <f>AN312*AK312/SUM(AK310:AK312)/(AK312*10^3*10^3)</f>
        <v>0</v>
      </c>
      <c r="AR312" s="115">
        <f>AO312*AL312/SUM(AL310:AL312)/(AL312*10^3*10^3)</f>
        <v>0</v>
      </c>
      <c r="AS312" s="2"/>
      <c r="AT312" s="2"/>
      <c r="AU312" s="2"/>
      <c r="AV312" s="2"/>
      <c r="AW312" s="2"/>
      <c r="AX312" s="2"/>
      <c r="AY312" s="2"/>
      <c r="AZ312" s="2"/>
    </row>
    <row r="313" spans="1:52" ht="10.5" customHeight="1" x14ac:dyDescent="0.15">
      <c r="A313" s="24"/>
      <c r="B313" s="75">
        <v>4</v>
      </c>
      <c r="C313" s="19" t="s">
        <v>15</v>
      </c>
      <c r="D313" s="48" t="s">
        <v>88</v>
      </c>
      <c r="E313" s="49" t="s">
        <v>88</v>
      </c>
      <c r="F313" s="42" t="s">
        <v>88</v>
      </c>
      <c r="G313" s="48" t="s">
        <v>88</v>
      </c>
      <c r="H313" s="49" t="s">
        <v>88</v>
      </c>
      <c r="I313" s="42" t="s">
        <v>88</v>
      </c>
      <c r="J313" s="51" t="s">
        <v>88</v>
      </c>
      <c r="K313" s="50" t="s">
        <v>88</v>
      </c>
      <c r="L313" s="43" t="s">
        <v>88</v>
      </c>
      <c r="M313" s="52">
        <f>5.6*10^8</f>
        <v>560000000</v>
      </c>
      <c r="N313" s="52">
        <f>7.1*10^7</f>
        <v>71000000</v>
      </c>
      <c r="O313" s="53">
        <f>7.1*10^6</f>
        <v>7100000</v>
      </c>
      <c r="P313" s="44"/>
      <c r="Q313" s="2"/>
      <c r="R313" s="2"/>
      <c r="S313" s="2"/>
      <c r="T313" s="2"/>
      <c r="U313" s="2"/>
      <c r="V313" s="2"/>
      <c r="W313" s="2"/>
      <c r="X313" s="2"/>
      <c r="Y313" s="2"/>
      <c r="Z313" s="2"/>
      <c r="AA313" s="2"/>
      <c r="AB313" s="2"/>
      <c r="AC313" s="2"/>
      <c r="AD313" s="2"/>
      <c r="AF313" s="105">
        <v>39083</v>
      </c>
      <c r="AG313" s="89">
        <v>0</v>
      </c>
      <c r="AH313" s="89">
        <v>351.29399999999998</v>
      </c>
      <c r="AI313" s="96">
        <v>636.19799999999998</v>
      </c>
      <c r="AJ313" s="112">
        <f t="shared" si="24"/>
        <v>0</v>
      </c>
      <c r="AK313" s="112">
        <f t="shared" si="23"/>
        <v>919.75156363636358</v>
      </c>
      <c r="AL313" s="113">
        <f t="shared" si="25"/>
        <v>1665.6820363636361</v>
      </c>
      <c r="AM313" s="68"/>
      <c r="AN313" s="68"/>
      <c r="AO313" s="69"/>
      <c r="AP313" s="115" t="e">
        <f>AM315*AJ313/SUM(AJ313:AJ315)/(AJ313*10^3*10^3)</f>
        <v>#DIV/0!</v>
      </c>
      <c r="AQ313" s="114">
        <f>AN315*AK313/SUM(AK313:AK315)/(AK313*10^3*10^3)</f>
        <v>0.16671549145862924</v>
      </c>
      <c r="AR313" s="115">
        <f>AO315*AL313/SUM(AL313:AL315)/(AL313*10^3*10^3)</f>
        <v>5.2661291002081166E-3</v>
      </c>
      <c r="AS313" s="2"/>
      <c r="AU313" s="2"/>
      <c r="AV313" s="2"/>
      <c r="AW313" s="2"/>
      <c r="AX313" s="2"/>
      <c r="AY313" s="2"/>
    </row>
    <row r="314" spans="1:52" ht="10.5" customHeight="1" x14ac:dyDescent="0.15">
      <c r="A314" s="18" t="s">
        <v>30</v>
      </c>
      <c r="B314" s="73">
        <v>1</v>
      </c>
      <c r="C314" s="70" t="s">
        <v>10</v>
      </c>
      <c r="D314" s="54" t="s">
        <v>88</v>
      </c>
      <c r="E314" s="55" t="s">
        <v>88</v>
      </c>
      <c r="F314" s="56" t="s">
        <v>88</v>
      </c>
      <c r="G314" s="54" t="s">
        <v>88</v>
      </c>
      <c r="H314" s="55" t="s">
        <v>88</v>
      </c>
      <c r="I314" s="56" t="s">
        <v>88</v>
      </c>
      <c r="J314" s="57" t="s">
        <v>88</v>
      </c>
      <c r="K314" s="58" t="s">
        <v>88</v>
      </c>
      <c r="L314" s="59" t="s">
        <v>88</v>
      </c>
      <c r="M314" s="60">
        <f>8.6*10^7</f>
        <v>86000000</v>
      </c>
      <c r="N314" s="60">
        <f>1.1*10^9</f>
        <v>1100000000</v>
      </c>
      <c r="O314" s="61" t="s">
        <v>88</v>
      </c>
      <c r="P314" s="44"/>
      <c r="Q314" s="2"/>
      <c r="R314" s="2"/>
      <c r="S314" s="2"/>
      <c r="T314" s="2"/>
      <c r="U314" s="2"/>
      <c r="V314" s="2"/>
      <c r="W314" s="2"/>
      <c r="X314" s="2"/>
      <c r="Y314" s="2"/>
      <c r="Z314" s="2"/>
      <c r="AA314" s="2"/>
      <c r="AB314" s="2"/>
      <c r="AC314" s="2"/>
      <c r="AD314" s="2"/>
      <c r="AF314" s="105">
        <v>39114</v>
      </c>
      <c r="AG314" s="89">
        <v>0</v>
      </c>
      <c r="AH314" s="89">
        <v>561.86699999999996</v>
      </c>
      <c r="AI314" s="96">
        <v>574.51700000000005</v>
      </c>
      <c r="AJ314" s="112">
        <f t="shared" si="24"/>
        <v>0</v>
      </c>
      <c r="AK314" s="112">
        <f t="shared" si="23"/>
        <v>1471.0699636363636</v>
      </c>
      <c r="AL314" s="113">
        <f t="shared" si="25"/>
        <v>1504.1899636363639</v>
      </c>
      <c r="AM314" s="68"/>
      <c r="AN314" s="68"/>
      <c r="AO314" s="69"/>
      <c r="AP314" s="115" t="e">
        <f>AM315*AJ314/SUM(AJ313:AJ315)/(AJ314*10^3*10^3)</f>
        <v>#DIV/0!</v>
      </c>
      <c r="AQ314" s="114">
        <f>AN315*AK314/SUM(AK313:AK315)/(AK314*10^3*10^3)</f>
        <v>0.16671549145862929</v>
      </c>
      <c r="AR314" s="115">
        <f>AO315*AL314/SUM(AL313:AL315)/(AL314*10^3*10^3)</f>
        <v>5.2661291002081174E-3</v>
      </c>
      <c r="AS314" s="2"/>
      <c r="AU314" s="2"/>
      <c r="AV314" s="2"/>
      <c r="AW314" s="2"/>
      <c r="AX314" s="2"/>
      <c r="AY314" s="2"/>
    </row>
    <row r="315" spans="1:52" ht="10.5" customHeight="1" x14ac:dyDescent="0.15">
      <c r="A315" s="23"/>
      <c r="B315" s="74">
        <v>2</v>
      </c>
      <c r="C315" s="71" t="s">
        <v>11</v>
      </c>
      <c r="D315" s="62" t="s">
        <v>88</v>
      </c>
      <c r="E315" s="63" t="s">
        <v>88</v>
      </c>
      <c r="F315" s="64" t="s">
        <v>88</v>
      </c>
      <c r="G315" s="62" t="s">
        <v>88</v>
      </c>
      <c r="H315" s="63" t="s">
        <v>88</v>
      </c>
      <c r="I315" s="64" t="s">
        <v>88</v>
      </c>
      <c r="J315" s="65" t="s">
        <v>20</v>
      </c>
      <c r="K315" s="66" t="s">
        <v>88</v>
      </c>
      <c r="L315" s="67" t="s">
        <v>88</v>
      </c>
      <c r="M315" s="68" t="s">
        <v>20</v>
      </c>
      <c r="N315" s="68">
        <f>1.4*10^9</f>
        <v>1400000000</v>
      </c>
      <c r="O315" s="69">
        <f>4.2*10^6</f>
        <v>4200000</v>
      </c>
      <c r="P315" s="44"/>
      <c r="Q315" s="2"/>
      <c r="R315" s="2"/>
      <c r="S315" s="2"/>
      <c r="T315" s="2"/>
      <c r="U315" s="2"/>
      <c r="V315" s="2"/>
      <c r="W315" s="2"/>
      <c r="X315" s="2"/>
      <c r="Y315" s="2"/>
      <c r="Z315" s="2"/>
      <c r="AA315" s="2"/>
      <c r="AB315" s="2"/>
      <c r="AC315" s="2"/>
      <c r="AD315" s="2"/>
      <c r="AF315" s="105">
        <v>39142</v>
      </c>
      <c r="AG315" s="89">
        <v>0</v>
      </c>
      <c r="AH315" s="89">
        <v>621.80600000000004</v>
      </c>
      <c r="AI315" s="96">
        <v>239.85499999999999</v>
      </c>
      <c r="AJ315" s="112">
        <f t="shared" si="24"/>
        <v>0</v>
      </c>
      <c r="AK315" s="112">
        <f t="shared" si="23"/>
        <v>1628.0011636363636</v>
      </c>
      <c r="AL315" s="113">
        <f t="shared" si="25"/>
        <v>627.98400000000004</v>
      </c>
      <c r="AM315" s="68" t="s">
        <v>20</v>
      </c>
      <c r="AN315" s="68">
        <v>670000000</v>
      </c>
      <c r="AO315" s="69">
        <v>20000000</v>
      </c>
      <c r="AP315" s="115" t="e">
        <f>AM315*AJ315/SUM(AJ313:AJ315)/(AJ315*10^3*10^3)</f>
        <v>#DIV/0!</v>
      </c>
      <c r="AQ315" s="114">
        <f>AN315*AK315/SUM(AK313:AK315)/(AK315*10^3*10^3)</f>
        <v>0.16671549145862927</v>
      </c>
      <c r="AR315" s="115">
        <f>AO315*AL315/SUM(AL313:AL315)/(AL315*10^3*10^3)</f>
        <v>5.2661291002081166E-3</v>
      </c>
      <c r="AS315" s="2"/>
      <c r="AU315" s="2"/>
      <c r="AV315" s="2"/>
      <c r="AW315" s="2"/>
      <c r="AX315" s="2"/>
      <c r="AY315" s="2"/>
    </row>
    <row r="316" spans="1:52" ht="10.5" customHeight="1" x14ac:dyDescent="0.15">
      <c r="A316" s="23"/>
      <c r="B316" s="74">
        <v>3</v>
      </c>
      <c r="C316" s="71" t="s">
        <v>13</v>
      </c>
      <c r="D316" s="62" t="s">
        <v>88</v>
      </c>
      <c r="E316" s="63" t="s">
        <v>88</v>
      </c>
      <c r="F316" s="64" t="s">
        <v>88</v>
      </c>
      <c r="G316" s="62" t="s">
        <v>88</v>
      </c>
      <c r="H316" s="63" t="s">
        <v>88</v>
      </c>
      <c r="I316" s="64" t="s">
        <v>88</v>
      </c>
      <c r="J316" s="65" t="s">
        <v>88</v>
      </c>
      <c r="K316" s="68" t="s">
        <v>88</v>
      </c>
      <c r="L316" s="67" t="s">
        <v>88</v>
      </c>
      <c r="M316" s="68">
        <f>4.5*10^8</f>
        <v>450000000</v>
      </c>
      <c r="N316" s="68">
        <f>1.5*10^9</f>
        <v>1500000000</v>
      </c>
      <c r="O316" s="69">
        <f>4.3*10^7</f>
        <v>43000000</v>
      </c>
      <c r="P316" s="44"/>
      <c r="Q316" s="2"/>
      <c r="R316" s="2"/>
      <c r="S316" s="2"/>
      <c r="T316" s="2"/>
      <c r="U316" s="2"/>
      <c r="V316" s="2"/>
      <c r="W316" s="2"/>
      <c r="X316" s="2"/>
      <c r="Y316" s="2"/>
      <c r="Z316" s="2"/>
      <c r="AA316" s="2"/>
      <c r="AB316" s="2"/>
      <c r="AC316" s="2"/>
      <c r="AD316" s="2"/>
      <c r="AF316" s="104">
        <v>39173</v>
      </c>
      <c r="AG316" s="89">
        <v>0</v>
      </c>
      <c r="AH316" s="89">
        <v>602.10299999999995</v>
      </c>
      <c r="AI316" s="96">
        <v>556.27499999999998</v>
      </c>
      <c r="AJ316" s="112">
        <f t="shared" si="24"/>
        <v>0</v>
      </c>
      <c r="AK316" s="112">
        <f t="shared" si="23"/>
        <v>1576.4151272727272</v>
      </c>
      <c r="AL316" s="113">
        <f t="shared" si="25"/>
        <v>1456.4290909090907</v>
      </c>
      <c r="AM316" s="68"/>
      <c r="AN316" s="68"/>
      <c r="AO316" s="69"/>
      <c r="AP316" s="114" t="e">
        <f>AM318*AJ316/SUM(AJ316:AJ318)/(AJ316*10^3*10^3)</f>
        <v>#DIV/0!</v>
      </c>
      <c r="AQ316" s="115">
        <f>AN318*AK316/SUM(AK316:AK318)/(AK316*10^3*10^3)</f>
        <v>0</v>
      </c>
      <c r="AR316" s="114">
        <f>AO318*AL316/SUM(AL316:AL318)/(AL316*10^3*10^3)</f>
        <v>9.9214487100027973E-3</v>
      </c>
      <c r="AS316" s="2"/>
      <c r="AU316" s="2"/>
      <c r="AV316" s="2"/>
      <c r="AW316" s="2"/>
      <c r="AX316" s="2"/>
      <c r="AY316" s="2"/>
    </row>
    <row r="317" spans="1:52" ht="10.5" customHeight="1" x14ac:dyDescent="0.15">
      <c r="A317" s="24"/>
      <c r="B317" s="75">
        <v>4</v>
      </c>
      <c r="C317" s="19" t="s">
        <v>15</v>
      </c>
      <c r="D317" s="48" t="s">
        <v>88</v>
      </c>
      <c r="E317" s="49" t="s">
        <v>88</v>
      </c>
      <c r="F317" s="42" t="s">
        <v>88</v>
      </c>
      <c r="G317" s="48" t="s">
        <v>88</v>
      </c>
      <c r="H317" s="49" t="s">
        <v>88</v>
      </c>
      <c r="I317" s="42" t="s">
        <v>88</v>
      </c>
      <c r="J317" s="51" t="s">
        <v>88</v>
      </c>
      <c r="K317" s="50" t="s">
        <v>20</v>
      </c>
      <c r="L317" s="43" t="s">
        <v>20</v>
      </c>
      <c r="M317" s="52">
        <f>2.2*10^9</f>
        <v>2200000000</v>
      </c>
      <c r="N317" s="52" t="s">
        <v>20</v>
      </c>
      <c r="O317" s="53" t="s">
        <v>20</v>
      </c>
      <c r="P317" s="44"/>
      <c r="Q317" s="2"/>
      <c r="R317" s="2"/>
      <c r="S317" s="2"/>
      <c r="T317" s="2"/>
      <c r="U317" s="2"/>
      <c r="V317" s="2"/>
      <c r="W317" s="2"/>
      <c r="X317" s="2"/>
      <c r="Y317" s="2"/>
      <c r="Z317" s="2"/>
      <c r="AA317" s="2"/>
      <c r="AB317" s="2"/>
      <c r="AC317" s="2"/>
      <c r="AD317" s="2"/>
      <c r="AF317" s="104">
        <v>39203</v>
      </c>
      <c r="AG317" s="89">
        <v>17.422000000000001</v>
      </c>
      <c r="AH317" s="89">
        <v>621.93799999999999</v>
      </c>
      <c r="AI317" s="96">
        <v>175.16499999999999</v>
      </c>
      <c r="AJ317" s="112">
        <f t="shared" si="24"/>
        <v>46.680320610687026</v>
      </c>
      <c r="AK317" s="112">
        <f t="shared" si="23"/>
        <v>1628.3467636363634</v>
      </c>
      <c r="AL317" s="113">
        <f t="shared" si="25"/>
        <v>458.61381818181815</v>
      </c>
      <c r="AM317" s="68"/>
      <c r="AN317" s="68"/>
      <c r="AO317" s="69"/>
      <c r="AP317" s="114">
        <f>AM318*AJ317/SUM(AJ316:AJ318)/(AJ317*10^3*10^3)</f>
        <v>8.9973675095934311</v>
      </c>
      <c r="AQ317" s="115">
        <f>AN318*AK317/SUM(AK316:AK318)/(AK317*10^3*10^3)</f>
        <v>0</v>
      </c>
      <c r="AR317" s="114">
        <f>AO318*AL317/SUM(AL316:AL318)/(AL317*10^3*10^3)</f>
        <v>9.9214487100027955E-3</v>
      </c>
      <c r="AS317" s="2"/>
      <c r="AU317" s="2"/>
      <c r="AV317" s="2"/>
      <c r="AW317" s="2"/>
      <c r="AX317" s="2"/>
      <c r="AY317" s="2"/>
    </row>
    <row r="318" spans="1:52" ht="10.5" customHeight="1" x14ac:dyDescent="0.15">
      <c r="A318" s="18" t="s">
        <v>31</v>
      </c>
      <c r="B318" s="73">
        <v>1</v>
      </c>
      <c r="C318" s="70" t="s">
        <v>10</v>
      </c>
      <c r="D318" s="54" t="s">
        <v>88</v>
      </c>
      <c r="E318" s="55" t="s">
        <v>88</v>
      </c>
      <c r="F318" s="56" t="s">
        <v>88</v>
      </c>
      <c r="G318" s="54" t="s">
        <v>88</v>
      </c>
      <c r="H318" s="55" t="s">
        <v>88</v>
      </c>
      <c r="I318" s="56" t="s">
        <v>88</v>
      </c>
      <c r="J318" s="57" t="s">
        <v>88</v>
      </c>
      <c r="K318" s="58" t="s">
        <v>20</v>
      </c>
      <c r="L318" s="59" t="s">
        <v>88</v>
      </c>
      <c r="M318" s="60">
        <f>2.1*10^9</f>
        <v>2100000000</v>
      </c>
      <c r="N318" s="60" t="s">
        <v>20</v>
      </c>
      <c r="O318" s="61">
        <f>2.4*10^7</f>
        <v>24000000</v>
      </c>
      <c r="P318" s="44"/>
      <c r="Q318" s="2"/>
      <c r="R318" s="2"/>
      <c r="S318" s="2"/>
      <c r="T318" s="2"/>
      <c r="U318" s="2"/>
      <c r="V318" s="2"/>
      <c r="W318" s="2"/>
      <c r="X318" s="2"/>
      <c r="Y318" s="2"/>
      <c r="Z318" s="2"/>
      <c r="AA318" s="2"/>
      <c r="AB318" s="2"/>
      <c r="AC318" s="2"/>
      <c r="AD318" s="2"/>
      <c r="AF318" s="104">
        <v>39234</v>
      </c>
      <c r="AG318" s="89">
        <v>0</v>
      </c>
      <c r="AH318" s="89">
        <v>601.02200000000005</v>
      </c>
      <c r="AI318" s="96">
        <v>0</v>
      </c>
      <c r="AJ318" s="112">
        <f t="shared" si="24"/>
        <v>0</v>
      </c>
      <c r="AK318" s="112">
        <f t="shared" si="23"/>
        <v>1573.5848727272728</v>
      </c>
      <c r="AL318" s="113">
        <f t="shared" si="25"/>
        <v>0</v>
      </c>
      <c r="AM318" s="68">
        <v>420000000</v>
      </c>
      <c r="AN318" s="68" t="s">
        <v>20</v>
      </c>
      <c r="AO318" s="69">
        <v>19000000</v>
      </c>
      <c r="AP318" s="114" t="e">
        <f>AM318*AJ318/SUM(AJ316:AJ318)/(AJ318*10^3*10^3)</f>
        <v>#DIV/0!</v>
      </c>
      <c r="AQ318" s="115">
        <f>AN318*AK318/SUM(AK316:AK318)/(AK318*10^3*10^3)</f>
        <v>0</v>
      </c>
      <c r="AR318" s="114" t="e">
        <f>AO318*AL318/SUM(AL316:AL318)/(AL318*10^3*10^3)</f>
        <v>#DIV/0!</v>
      </c>
      <c r="AS318" s="2"/>
      <c r="AU318" s="2"/>
      <c r="AV318" s="2"/>
      <c r="AW318" s="2"/>
      <c r="AX318" s="2"/>
      <c r="AY318" s="2"/>
    </row>
    <row r="319" spans="1:52" ht="10.5" customHeight="1" x14ac:dyDescent="0.15">
      <c r="A319" s="23"/>
      <c r="B319" s="74">
        <v>2</v>
      </c>
      <c r="C319" s="71" t="s">
        <v>11</v>
      </c>
      <c r="D319" s="62" t="s">
        <v>88</v>
      </c>
      <c r="E319" s="63" t="s">
        <v>88</v>
      </c>
      <c r="F319" s="64" t="s">
        <v>88</v>
      </c>
      <c r="G319" s="62" t="s">
        <v>88</v>
      </c>
      <c r="H319" s="63" t="s">
        <v>88</v>
      </c>
      <c r="I319" s="64" t="s">
        <v>88</v>
      </c>
      <c r="J319" s="65" t="s">
        <v>88</v>
      </c>
      <c r="K319" s="66" t="s">
        <v>20</v>
      </c>
      <c r="L319" s="67" t="s">
        <v>88</v>
      </c>
      <c r="M319" s="68">
        <f>1.2*10^10</f>
        <v>12000000000</v>
      </c>
      <c r="N319" s="68" t="s">
        <v>20</v>
      </c>
      <c r="O319" s="69">
        <f>9*10^6</f>
        <v>9000000</v>
      </c>
      <c r="P319" s="44"/>
      <c r="Q319" s="2"/>
      <c r="R319" s="2"/>
      <c r="S319" s="2"/>
      <c r="T319" s="2"/>
      <c r="U319" s="2"/>
      <c r="V319" s="2"/>
      <c r="W319" s="2"/>
      <c r="X319" s="2"/>
      <c r="Y319" s="2"/>
      <c r="Z319" s="2"/>
      <c r="AA319" s="2"/>
      <c r="AB319" s="2"/>
      <c r="AC319" s="2"/>
      <c r="AD319" s="2"/>
      <c r="AF319" s="104">
        <v>39264</v>
      </c>
      <c r="AG319" s="89">
        <v>323.67599999999999</v>
      </c>
      <c r="AH319" s="89">
        <v>620.02200000000005</v>
      </c>
      <c r="AI319" s="96">
        <v>0</v>
      </c>
      <c r="AJ319" s="112">
        <f t="shared" si="24"/>
        <v>867.25401526717565</v>
      </c>
      <c r="AK319" s="112">
        <f t="shared" si="23"/>
        <v>1623.3303272727273</v>
      </c>
      <c r="AL319" s="113">
        <f t="shared" si="25"/>
        <v>0</v>
      </c>
      <c r="AM319" s="68"/>
      <c r="AN319" s="68"/>
      <c r="AO319" s="69"/>
      <c r="AP319" s="114">
        <f>AM329*AJ319/SUM(AJ319:AJ329)/(AJ319*10^3*10^3)</f>
        <v>0</v>
      </c>
      <c r="AQ319" s="115">
        <f>AN329*AK319/SUM(AK319:AK329)/(AK319*10^3*10^3)</f>
        <v>0</v>
      </c>
      <c r="AR319" s="114" t="e">
        <f>AO329*AL319/SUM(AL319:AL329)/(AL319*10^3*10^3)</f>
        <v>#DIV/0!</v>
      </c>
      <c r="AS319" s="2"/>
      <c r="AU319" s="2"/>
      <c r="AV319" s="2"/>
      <c r="AW319" s="2"/>
      <c r="AX319" s="2"/>
      <c r="AY319" s="2"/>
    </row>
    <row r="320" spans="1:52" ht="10.5" customHeight="1" x14ac:dyDescent="0.15">
      <c r="A320" s="23"/>
      <c r="B320" s="74">
        <v>3</v>
      </c>
      <c r="C320" s="71" t="s">
        <v>13</v>
      </c>
      <c r="D320" s="62" t="s">
        <v>88</v>
      </c>
      <c r="E320" s="63" t="s">
        <v>88</v>
      </c>
      <c r="F320" s="64" t="s">
        <v>88</v>
      </c>
      <c r="G320" s="62" t="s">
        <v>88</v>
      </c>
      <c r="H320" s="63" t="s">
        <v>88</v>
      </c>
      <c r="I320" s="64" t="s">
        <v>88</v>
      </c>
      <c r="J320" s="65" t="s">
        <v>88</v>
      </c>
      <c r="K320" s="68" t="s">
        <v>88</v>
      </c>
      <c r="L320" s="67" t="s">
        <v>88</v>
      </c>
      <c r="M320" s="68">
        <f>4.8*10^10</f>
        <v>48000000000</v>
      </c>
      <c r="N320" s="68">
        <f>2.8*10^9</f>
        <v>2800000000</v>
      </c>
      <c r="O320" s="69" t="s">
        <v>88</v>
      </c>
      <c r="P320" s="44"/>
      <c r="Q320" s="2"/>
      <c r="R320" s="2"/>
      <c r="S320" s="2"/>
      <c r="T320" s="2"/>
      <c r="U320" s="2"/>
      <c r="V320" s="2"/>
      <c r="W320" s="2"/>
      <c r="X320" s="2"/>
      <c r="Y320" s="2"/>
      <c r="Z320" s="2"/>
      <c r="AA320" s="2"/>
      <c r="AB320" s="2"/>
      <c r="AC320" s="2"/>
      <c r="AD320" s="2"/>
      <c r="AF320" s="104">
        <v>39295</v>
      </c>
      <c r="AG320" s="89">
        <v>394.399</v>
      </c>
      <c r="AH320" s="89">
        <v>619.803</v>
      </c>
      <c r="AI320" s="96">
        <v>0</v>
      </c>
      <c r="AJ320" s="112">
        <f t="shared" si="24"/>
        <v>1056.748465648855</v>
      </c>
      <c r="AK320" s="112">
        <f t="shared" si="23"/>
        <v>1622.7569454545453</v>
      </c>
      <c r="AL320" s="113">
        <f t="shared" si="25"/>
        <v>0</v>
      </c>
      <c r="AM320" s="68"/>
      <c r="AN320" s="68"/>
      <c r="AO320" s="69"/>
      <c r="AP320" s="114">
        <f>AM321*AJ320/SUM(AJ311:AJ321)/(AJ320*10^3*10^3)</f>
        <v>0.66846378307107202</v>
      </c>
      <c r="AQ320" s="115">
        <f>AN321*AK320/SUM(AK311:AK321)/(AK320*10^3*10^3)</f>
        <v>1.2385198219918247E-2</v>
      </c>
      <c r="AR320" s="114" t="e">
        <f>AO321*AL320/SUM(AL311:AL321)/(AL320*10^3*10^3)</f>
        <v>#DIV/0!</v>
      </c>
      <c r="AS320" s="2"/>
      <c r="AU320" s="2"/>
      <c r="AV320" s="2"/>
      <c r="AW320" s="2"/>
      <c r="AX320" s="2"/>
      <c r="AY320" s="2"/>
    </row>
    <row r="321" spans="1:51" ht="10.5" customHeight="1" x14ac:dyDescent="0.15">
      <c r="A321" s="24"/>
      <c r="B321" s="75">
        <v>4</v>
      </c>
      <c r="C321" s="19" t="s">
        <v>15</v>
      </c>
      <c r="D321" s="48" t="s">
        <v>88</v>
      </c>
      <c r="E321" s="49" t="s">
        <v>88</v>
      </c>
      <c r="F321" s="42" t="s">
        <v>88</v>
      </c>
      <c r="G321" s="48" t="s">
        <v>88</v>
      </c>
      <c r="H321" s="49" t="s">
        <v>88</v>
      </c>
      <c r="I321" s="42" t="s">
        <v>88</v>
      </c>
      <c r="J321" s="51" t="s">
        <v>88</v>
      </c>
      <c r="K321" s="50" t="s">
        <v>20</v>
      </c>
      <c r="L321" s="43" t="s">
        <v>88</v>
      </c>
      <c r="M321" s="52">
        <f>1.3*10^9</f>
        <v>1300000000</v>
      </c>
      <c r="N321" s="52" t="s">
        <v>20</v>
      </c>
      <c r="O321" s="53">
        <f>2.7*10^7</f>
        <v>27000000</v>
      </c>
      <c r="P321" s="44"/>
      <c r="Q321" s="2"/>
      <c r="R321" s="2"/>
      <c r="S321" s="2"/>
      <c r="T321" s="2"/>
      <c r="U321" s="2"/>
      <c r="V321" s="2"/>
      <c r="W321" s="2"/>
      <c r="X321" s="2"/>
      <c r="Y321" s="2"/>
      <c r="Z321" s="2"/>
      <c r="AA321" s="2"/>
      <c r="AB321" s="2"/>
      <c r="AC321" s="2"/>
      <c r="AD321" s="2"/>
      <c r="AF321" s="104">
        <v>39326</v>
      </c>
      <c r="AG321" s="89">
        <v>381.15100000000001</v>
      </c>
      <c r="AH321" s="89">
        <v>599.36199999999997</v>
      </c>
      <c r="AI321" s="96">
        <v>0</v>
      </c>
      <c r="AJ321" s="112">
        <f t="shared" si="24"/>
        <v>1021.2519160305344</v>
      </c>
      <c r="AK321" s="112">
        <f t="shared" si="23"/>
        <v>1569.2386909090908</v>
      </c>
      <c r="AL321" s="113">
        <f t="shared" si="25"/>
        <v>0</v>
      </c>
      <c r="AM321" s="68">
        <v>2000000000</v>
      </c>
      <c r="AN321" s="68">
        <v>180000000</v>
      </c>
      <c r="AO321" s="69" t="s">
        <v>20</v>
      </c>
      <c r="AP321" s="114">
        <f>AM321*AJ321/SUM(AJ311:AJ321)/(AJ321*10^3*10^3)</f>
        <v>0.66846378307107202</v>
      </c>
      <c r="AQ321" s="115">
        <f>AN321*AK321/SUM(AK311:AK321)/(AK321*10^3*10^3)</f>
        <v>1.2385198219918245E-2</v>
      </c>
      <c r="AR321" s="114" t="e">
        <f>AO321*AL321/SUM(AL311:AL321)/(AL321*10^3*10^3)</f>
        <v>#DIV/0!</v>
      </c>
      <c r="AS321" s="2"/>
      <c r="AU321" s="2"/>
      <c r="AV321" s="2"/>
      <c r="AW321" s="2"/>
      <c r="AX321" s="2"/>
      <c r="AY321" s="2"/>
    </row>
    <row r="322" spans="1:51" ht="10.5" customHeight="1" x14ac:dyDescent="0.15">
      <c r="A322" s="18" t="s">
        <v>32</v>
      </c>
      <c r="B322" s="73">
        <v>1</v>
      </c>
      <c r="C322" s="70" t="s">
        <v>10</v>
      </c>
      <c r="D322" s="54" t="s">
        <v>88</v>
      </c>
      <c r="E322" s="55" t="s">
        <v>88</v>
      </c>
      <c r="F322" s="56" t="s">
        <v>88</v>
      </c>
      <c r="G322" s="54" t="s">
        <v>88</v>
      </c>
      <c r="H322" s="55" t="s">
        <v>88</v>
      </c>
      <c r="I322" s="56" t="s">
        <v>88</v>
      </c>
      <c r="J322" s="57" t="s">
        <v>88</v>
      </c>
      <c r="K322" s="58" t="s">
        <v>88</v>
      </c>
      <c r="L322" s="59" t="s">
        <v>88</v>
      </c>
      <c r="M322" s="60">
        <f>1.8*10^9</f>
        <v>1800000000</v>
      </c>
      <c r="N322" s="60">
        <f>1*10^9</f>
        <v>1000000000</v>
      </c>
      <c r="O322" s="61">
        <f>1.5*10^8</f>
        <v>150000000</v>
      </c>
      <c r="P322" s="44"/>
      <c r="Q322" s="2"/>
      <c r="R322" s="2"/>
      <c r="S322" s="2"/>
      <c r="T322" s="2"/>
      <c r="U322" s="2"/>
      <c r="V322" s="2"/>
      <c r="W322" s="2"/>
      <c r="X322" s="2"/>
      <c r="Y322" s="2"/>
      <c r="Z322" s="2"/>
      <c r="AA322" s="2"/>
      <c r="AB322" s="2"/>
      <c r="AC322" s="2"/>
      <c r="AD322" s="2"/>
      <c r="AF322" s="104">
        <v>39356</v>
      </c>
      <c r="AG322" s="89">
        <v>394.649</v>
      </c>
      <c r="AH322" s="89">
        <v>199.52199999999999</v>
      </c>
      <c r="AI322" s="96">
        <v>0</v>
      </c>
      <c r="AJ322" s="112">
        <f t="shared" si="24"/>
        <v>1057.4183129770993</v>
      </c>
      <c r="AK322" s="112">
        <f t="shared" si="23"/>
        <v>522.38487272727275</v>
      </c>
      <c r="AL322" s="113">
        <f t="shared" si="25"/>
        <v>0</v>
      </c>
      <c r="AM322" s="68"/>
      <c r="AN322" s="68"/>
      <c r="AO322" s="69"/>
      <c r="AP322" s="114">
        <f>AM324*AJ322/SUM(AJ322:AJ324)/(AJ322*10^3*10^3)</f>
        <v>0.54063769378826743</v>
      </c>
      <c r="AQ322" s="115">
        <f>AN324*AK322/SUM(AK322:AK324)/(AK322*10^3*10^3)</f>
        <v>0.21057271322906193</v>
      </c>
      <c r="AR322" s="114" t="e">
        <f>AO324*AL322/SUM(AL322:AL324)/(AL322*10^3*10^3)</f>
        <v>#DIV/0!</v>
      </c>
      <c r="AS322" s="2"/>
      <c r="AU322" s="2"/>
      <c r="AV322" s="2"/>
      <c r="AW322" s="2"/>
      <c r="AX322" s="2"/>
      <c r="AY322" s="2"/>
    </row>
    <row r="323" spans="1:51" ht="10.5" customHeight="1" x14ac:dyDescent="0.15">
      <c r="A323" s="23"/>
      <c r="B323" s="74">
        <v>2</v>
      </c>
      <c r="C323" s="71" t="s">
        <v>11</v>
      </c>
      <c r="D323" s="62" t="s">
        <v>88</v>
      </c>
      <c r="E323" s="63" t="s">
        <v>88</v>
      </c>
      <c r="F323" s="64" t="s">
        <v>88</v>
      </c>
      <c r="G323" s="62" t="s">
        <v>88</v>
      </c>
      <c r="H323" s="63" t="s">
        <v>88</v>
      </c>
      <c r="I323" s="64" t="s">
        <v>88</v>
      </c>
      <c r="J323" s="65" t="s">
        <v>88</v>
      </c>
      <c r="K323" s="66" t="s">
        <v>88</v>
      </c>
      <c r="L323" s="67" t="s">
        <v>88</v>
      </c>
      <c r="M323" s="68">
        <v>4700000000</v>
      </c>
      <c r="N323" s="68">
        <v>240000000</v>
      </c>
      <c r="O323" s="69" t="s">
        <v>88</v>
      </c>
      <c r="P323" s="44"/>
      <c r="Q323" s="2"/>
      <c r="R323" s="2"/>
      <c r="S323" s="2"/>
      <c r="T323" s="2"/>
      <c r="U323" s="2"/>
      <c r="V323" s="2"/>
      <c r="W323" s="2"/>
      <c r="X323" s="2"/>
      <c r="Y323" s="2"/>
      <c r="Z323" s="2"/>
      <c r="AA323" s="2"/>
      <c r="AB323" s="2"/>
      <c r="AC323" s="2"/>
      <c r="AD323" s="2"/>
      <c r="AF323" s="104">
        <v>39387</v>
      </c>
      <c r="AG323" s="89">
        <v>382.72300000000001</v>
      </c>
      <c r="AH323" s="89">
        <v>0</v>
      </c>
      <c r="AI323" s="96">
        <v>5.2919999999999998</v>
      </c>
      <c r="AJ323" s="112">
        <f t="shared" si="24"/>
        <v>1025.4639160305346</v>
      </c>
      <c r="AK323" s="112">
        <f t="shared" si="23"/>
        <v>0</v>
      </c>
      <c r="AL323" s="113">
        <f t="shared" si="25"/>
        <v>13.855418181818182</v>
      </c>
      <c r="AM323" s="68"/>
      <c r="AN323" s="68"/>
      <c r="AO323" s="69"/>
      <c r="AP323" s="114">
        <f>AM324*AJ323/SUM(AJ322:AJ324)/(AJ323*10^3*10^3)</f>
        <v>0.54063769378826754</v>
      </c>
      <c r="AQ323" s="115" t="e">
        <f>AN324*AK323/SUM(AK322:AK324)/(AK323*10^3*10^3)</f>
        <v>#DIV/0!</v>
      </c>
      <c r="AR323" s="114">
        <f>AO324*AL323/SUM(AL322:AL324)/(AL323*10^3*10^3)</f>
        <v>8.2259553103048617E-3</v>
      </c>
      <c r="AS323" s="2"/>
      <c r="AU323" s="2"/>
      <c r="AV323" s="2"/>
      <c r="AW323" s="2"/>
      <c r="AX323" s="2"/>
      <c r="AY323" s="2"/>
    </row>
    <row r="324" spans="1:51" ht="10.5" customHeight="1" x14ac:dyDescent="0.15">
      <c r="A324" s="23"/>
      <c r="B324" s="74">
        <v>3</v>
      </c>
      <c r="C324" s="71" t="s">
        <v>13</v>
      </c>
      <c r="D324" s="62" t="s">
        <v>88</v>
      </c>
      <c r="E324" s="63" t="s">
        <v>88</v>
      </c>
      <c r="F324" s="64" t="s">
        <v>88</v>
      </c>
      <c r="G324" s="62" t="s">
        <v>88</v>
      </c>
      <c r="H324" s="63" t="s">
        <v>88</v>
      </c>
      <c r="I324" s="64" t="s">
        <v>88</v>
      </c>
      <c r="J324" s="65" t="s">
        <v>88</v>
      </c>
      <c r="K324" s="66" t="s">
        <v>20</v>
      </c>
      <c r="L324" s="67" t="s">
        <v>88</v>
      </c>
      <c r="M324" s="68">
        <v>13000000000</v>
      </c>
      <c r="N324" s="68" t="s">
        <v>20</v>
      </c>
      <c r="O324" s="69">
        <f>4.4*10^8</f>
        <v>440000000.00000006</v>
      </c>
      <c r="P324" s="44"/>
      <c r="Q324" s="2"/>
      <c r="R324" s="2"/>
      <c r="S324" s="2"/>
      <c r="T324" s="2"/>
      <c r="U324" s="2"/>
      <c r="V324" s="2"/>
      <c r="W324" s="2"/>
      <c r="X324" s="2"/>
      <c r="Y324" s="2"/>
      <c r="Z324" s="2"/>
      <c r="AA324" s="2"/>
      <c r="AB324" s="2"/>
      <c r="AC324" s="2"/>
      <c r="AD324" s="2"/>
      <c r="AF324" s="104">
        <v>39417</v>
      </c>
      <c r="AG324" s="89">
        <v>396.19200000000001</v>
      </c>
      <c r="AH324" s="89">
        <v>0</v>
      </c>
      <c r="AI324" s="96">
        <v>166.505</v>
      </c>
      <c r="AJ324" s="112">
        <f t="shared" si="24"/>
        <v>1061.5526106870229</v>
      </c>
      <c r="AK324" s="112">
        <f t="shared" si="23"/>
        <v>0</v>
      </c>
      <c r="AL324" s="113">
        <f t="shared" si="25"/>
        <v>435.94036363636366</v>
      </c>
      <c r="AM324" s="68">
        <v>1700000000</v>
      </c>
      <c r="AN324" s="68">
        <v>110000000.00000001</v>
      </c>
      <c r="AO324" s="69">
        <v>3700000</v>
      </c>
      <c r="AP324" s="114">
        <f>AM324*AJ324/SUM(AJ322:AJ324)/(AJ324*10^3*10^3)</f>
        <v>0.54063769378826743</v>
      </c>
      <c r="AQ324" s="115" t="e">
        <f>AN324*AK324/SUM(AK322:AK324)/(AK324*10^3*10^3)</f>
        <v>#DIV/0!</v>
      </c>
      <c r="AR324" s="114">
        <f>AO324*AL324/SUM(AL322:AL324)/(AL324*10^3*10^3)</f>
        <v>8.2259553103048617E-3</v>
      </c>
      <c r="AS324" s="2"/>
      <c r="AU324" s="2"/>
      <c r="AV324" s="2"/>
      <c r="AW324" s="2"/>
      <c r="AX324" s="2"/>
      <c r="AY324" s="2"/>
    </row>
    <row r="325" spans="1:51" ht="10.5" customHeight="1" x14ac:dyDescent="0.15">
      <c r="A325" s="24"/>
      <c r="B325" s="75">
        <v>4</v>
      </c>
      <c r="C325" s="19" t="s">
        <v>15</v>
      </c>
      <c r="D325" s="48">
        <f>7.1*10^11</f>
        <v>710000000000</v>
      </c>
      <c r="E325" s="49">
        <f>2.1*10^12</f>
        <v>2100000000000</v>
      </c>
      <c r="F325" s="42">
        <f>2.5*10^12</f>
        <v>2500000000000</v>
      </c>
      <c r="G325" s="48">
        <f>6.3*10^9</f>
        <v>6300000000</v>
      </c>
      <c r="H325" s="49">
        <f>1.1*10^10</f>
        <v>11000000000</v>
      </c>
      <c r="I325" s="42">
        <f>9.4*10^9</f>
        <v>9400000000</v>
      </c>
      <c r="J325" s="51" t="s">
        <v>88</v>
      </c>
      <c r="K325" s="50" t="s">
        <v>88</v>
      </c>
      <c r="L325" s="43" t="s">
        <v>88</v>
      </c>
      <c r="M325" s="52" t="s">
        <v>20</v>
      </c>
      <c r="N325" s="52" t="s">
        <v>20</v>
      </c>
      <c r="O325" s="53">
        <f>5.7*10^7</f>
        <v>57000000</v>
      </c>
      <c r="P325" s="44"/>
      <c r="Q325" s="2"/>
      <c r="R325" s="2"/>
      <c r="S325" s="2"/>
      <c r="T325" s="2"/>
      <c r="U325" s="2"/>
      <c r="V325" s="2"/>
      <c r="W325" s="2"/>
      <c r="X325" s="2"/>
      <c r="Y325" s="2"/>
      <c r="Z325" s="2"/>
      <c r="AA325" s="2"/>
      <c r="AB325" s="2"/>
      <c r="AC325" s="2"/>
      <c r="AD325" s="2"/>
      <c r="AF325" s="104">
        <v>39448</v>
      </c>
      <c r="AG325" s="89">
        <v>396.15100000000001</v>
      </c>
      <c r="AH325" s="89">
        <v>20.898</v>
      </c>
      <c r="AI325" s="96">
        <v>636.572</v>
      </c>
      <c r="AJ325" s="112">
        <f t="shared" si="24"/>
        <v>1061.4427557251909</v>
      </c>
      <c r="AK325" s="112">
        <f t="shared" si="23"/>
        <v>54.714763636363635</v>
      </c>
      <c r="AL325" s="113">
        <f t="shared" si="25"/>
        <v>1666.6612363636364</v>
      </c>
      <c r="AM325" s="68"/>
      <c r="AN325" s="68"/>
      <c r="AO325" s="69"/>
      <c r="AP325" s="114">
        <f>AM327*AJ325/SUM(AJ325:AJ327)/(AJ325*10^3*10^3)</f>
        <v>0.37207524185068236</v>
      </c>
      <c r="AQ325" s="115">
        <f>AN327*AK325/SUM(AK325:AK327)/(AK325*10^3*10^3)</f>
        <v>2.2243138176994547E-2</v>
      </c>
      <c r="AR325" s="114">
        <f>AO327*AL325/SUM(AL325:AL327)/(AL325*10^3*10^3)</f>
        <v>1.4530150378312279E-3</v>
      </c>
      <c r="AS325" s="2"/>
      <c r="AU325" s="2"/>
      <c r="AV325" s="2"/>
      <c r="AW325" s="2"/>
      <c r="AX325" s="2"/>
      <c r="AY325" s="2"/>
    </row>
    <row r="326" spans="1:51" ht="10.5" customHeight="1" x14ac:dyDescent="0.15">
      <c r="A326" s="18" t="s">
        <v>33</v>
      </c>
      <c r="B326" s="73">
        <v>1</v>
      </c>
      <c r="C326" s="70" t="s">
        <v>10</v>
      </c>
      <c r="D326" s="57" t="s">
        <v>88</v>
      </c>
      <c r="E326" s="60">
        <f>4.2*10^11</f>
        <v>420000000000</v>
      </c>
      <c r="F326" s="56" t="s">
        <v>88</v>
      </c>
      <c r="G326" s="57">
        <f>2*10^8</f>
        <v>200000000</v>
      </c>
      <c r="H326" s="60">
        <f>4.5*10^8</f>
        <v>450000000</v>
      </c>
      <c r="I326" s="56">
        <f>3.8*10^8</f>
        <v>380000000</v>
      </c>
      <c r="J326" s="57" t="s">
        <v>20</v>
      </c>
      <c r="K326" s="58" t="s">
        <v>20</v>
      </c>
      <c r="L326" s="59" t="s">
        <v>20</v>
      </c>
      <c r="M326" s="60" t="s">
        <v>20</v>
      </c>
      <c r="N326" s="60" t="s">
        <v>20</v>
      </c>
      <c r="O326" s="61" t="s">
        <v>20</v>
      </c>
      <c r="P326" s="44"/>
      <c r="Q326" s="2"/>
      <c r="R326" s="2"/>
      <c r="S326" s="2"/>
      <c r="T326" s="2"/>
      <c r="U326" s="2"/>
      <c r="V326" s="2"/>
      <c r="W326" s="2"/>
      <c r="X326" s="2"/>
      <c r="Y326" s="2"/>
      <c r="Z326" s="2"/>
      <c r="AA326" s="2"/>
      <c r="AB326" s="2"/>
      <c r="AC326" s="2"/>
      <c r="AD326" s="2"/>
      <c r="AF326" s="104">
        <v>39479</v>
      </c>
      <c r="AG326" s="89">
        <v>165.571</v>
      </c>
      <c r="AH326" s="89">
        <v>576.48</v>
      </c>
      <c r="AI326" s="96">
        <v>594.86699999999996</v>
      </c>
      <c r="AJ326" s="112">
        <f t="shared" si="24"/>
        <v>443.62916793893135</v>
      </c>
      <c r="AK326" s="112">
        <f t="shared" si="23"/>
        <v>1509.3294545454546</v>
      </c>
      <c r="AL326" s="113">
        <f t="shared" si="25"/>
        <v>1557.4699636363637</v>
      </c>
      <c r="AM326" s="68"/>
      <c r="AN326" s="68"/>
      <c r="AO326" s="69"/>
      <c r="AP326" s="114">
        <f>AM327*AJ326/SUM(AJ325:AJ327)/(AJ326*10^3*10^3)</f>
        <v>0.37207524185068236</v>
      </c>
      <c r="AQ326" s="115">
        <f>AN327*AK326/SUM(AK325:AK327)/(AK326*10^3*10^3)</f>
        <v>2.224313817699455E-2</v>
      </c>
      <c r="AR326" s="114">
        <f>AO327*AL326/SUM(AL325:AL327)/(AL326*10^3*10^3)</f>
        <v>1.4530150378312282E-3</v>
      </c>
      <c r="AS326" s="2"/>
      <c r="AU326" s="2"/>
      <c r="AV326" s="2"/>
      <c r="AW326" s="2"/>
      <c r="AX326" s="2"/>
      <c r="AY326" s="2"/>
    </row>
    <row r="327" spans="1:51" ht="10.5" customHeight="1" x14ac:dyDescent="0.15">
      <c r="A327" s="23"/>
      <c r="B327" s="74">
        <v>2</v>
      </c>
      <c r="C327" s="71" t="s">
        <v>11</v>
      </c>
      <c r="D327" s="65" t="s">
        <v>88</v>
      </c>
      <c r="E327" s="68" t="s">
        <v>88</v>
      </c>
      <c r="F327" s="64" t="s">
        <v>88</v>
      </c>
      <c r="G327" s="65" t="s">
        <v>88</v>
      </c>
      <c r="H327" s="68" t="s">
        <v>88</v>
      </c>
      <c r="I327" s="64" t="s">
        <v>88</v>
      </c>
      <c r="J327" s="65" t="s">
        <v>20</v>
      </c>
      <c r="K327" s="66" t="s">
        <v>20</v>
      </c>
      <c r="L327" s="67" t="s">
        <v>88</v>
      </c>
      <c r="M327" s="68" t="s">
        <v>20</v>
      </c>
      <c r="N327" s="68" t="s">
        <v>20</v>
      </c>
      <c r="O327" s="69">
        <f>1.5*10^7</f>
        <v>15000000</v>
      </c>
      <c r="P327" s="44"/>
      <c r="Q327" s="2"/>
      <c r="R327" s="2"/>
      <c r="S327" s="2"/>
      <c r="T327" s="2"/>
      <c r="U327" s="2"/>
      <c r="V327" s="2"/>
      <c r="W327" s="2"/>
      <c r="X327" s="2"/>
      <c r="Y327" s="2"/>
      <c r="Z327" s="2"/>
      <c r="AA327" s="2"/>
      <c r="AB327" s="2"/>
      <c r="AC327" s="2"/>
      <c r="AD327" s="2"/>
      <c r="AF327" s="104">
        <v>39508</v>
      </c>
      <c r="AG327" s="89">
        <v>0</v>
      </c>
      <c r="AH327" s="89">
        <v>621.78700000000003</v>
      </c>
      <c r="AI327" s="96">
        <v>634.89099999999996</v>
      </c>
      <c r="AJ327" s="112">
        <f t="shared" si="24"/>
        <v>0</v>
      </c>
      <c r="AK327" s="112">
        <f t="shared" si="23"/>
        <v>1627.9514181818181</v>
      </c>
      <c r="AL327" s="113">
        <f t="shared" si="25"/>
        <v>1662.2600727272725</v>
      </c>
      <c r="AM327" s="68">
        <v>560000000</v>
      </c>
      <c r="AN327" s="68">
        <v>71000000</v>
      </c>
      <c r="AO327" s="69">
        <v>7100000</v>
      </c>
      <c r="AP327" s="114" t="e">
        <f>AM327*AJ327/SUM(AJ325:AJ327)/(AJ327*10^3*10^3)</f>
        <v>#DIV/0!</v>
      </c>
      <c r="AQ327" s="115">
        <f>AN327*AK327/SUM(AK325:AK327)/(AK327*10^3*10^3)</f>
        <v>2.2243138176994543E-2</v>
      </c>
      <c r="AR327" s="114">
        <f>AO327*AL327/SUM(AL325:AL327)/(AL327*10^3*10^3)</f>
        <v>1.4530150378312277E-3</v>
      </c>
      <c r="AS327" s="2"/>
      <c r="AU327" s="2"/>
      <c r="AV327" s="2"/>
      <c r="AW327" s="2"/>
      <c r="AX327" s="2"/>
      <c r="AY327" s="2"/>
    </row>
    <row r="328" spans="1:51" ht="10.5" customHeight="1" x14ac:dyDescent="0.15">
      <c r="A328" s="23"/>
      <c r="B328" s="74">
        <v>3</v>
      </c>
      <c r="C328" s="71" t="s">
        <v>13</v>
      </c>
      <c r="D328" s="65" t="s">
        <v>88</v>
      </c>
      <c r="E328" s="68" t="s">
        <v>88</v>
      </c>
      <c r="F328" s="64" t="s">
        <v>88</v>
      </c>
      <c r="G328" s="65" t="s">
        <v>88</v>
      </c>
      <c r="H328" s="68" t="s">
        <v>88</v>
      </c>
      <c r="I328" s="64" t="s">
        <v>88</v>
      </c>
      <c r="J328" s="65" t="s">
        <v>20</v>
      </c>
      <c r="K328" s="68" t="s">
        <v>88</v>
      </c>
      <c r="L328" s="67" t="s">
        <v>88</v>
      </c>
      <c r="M328" s="68" t="s">
        <v>20</v>
      </c>
      <c r="N328" s="68">
        <f>6.1*10^9</f>
        <v>6100000000</v>
      </c>
      <c r="O328" s="69">
        <f>3.9*10^7</f>
        <v>39000000</v>
      </c>
      <c r="P328" s="44"/>
      <c r="Q328" s="2"/>
      <c r="R328" s="2"/>
      <c r="S328" s="2"/>
      <c r="T328" s="2"/>
      <c r="U328" s="2"/>
      <c r="V328" s="2"/>
      <c r="W328" s="2"/>
      <c r="X328" s="2"/>
      <c r="Y328" s="2"/>
      <c r="Z328" s="2"/>
      <c r="AA328" s="2"/>
      <c r="AB328" s="2"/>
      <c r="AC328" s="2"/>
      <c r="AD328" s="2"/>
      <c r="AF328" s="105">
        <v>39539</v>
      </c>
      <c r="AG328" s="89">
        <v>0</v>
      </c>
      <c r="AH328" s="89">
        <v>601.69500000000005</v>
      </c>
      <c r="AI328" s="96">
        <v>613.91999999999996</v>
      </c>
      <c r="AJ328" s="112">
        <f t="shared" si="24"/>
        <v>0</v>
      </c>
      <c r="AK328" s="112">
        <f t="shared" si="23"/>
        <v>1575.3469090909091</v>
      </c>
      <c r="AL328" s="113">
        <f t="shared" si="25"/>
        <v>1607.3541818181816</v>
      </c>
      <c r="AM328" s="68"/>
      <c r="AN328" s="68"/>
      <c r="AO328" s="69"/>
      <c r="AP328" s="115" t="e">
        <f>AM330*AJ328/SUM(AJ328:AJ330)/(AJ328*10^3*10^3)</f>
        <v>#DIV/0!</v>
      </c>
      <c r="AQ328" s="114">
        <f>AN330*AK328/SUM(AK328:AK330)/(AK328*10^3*10^3)</f>
        <v>0.23024425162687165</v>
      </c>
      <c r="AR328" s="115">
        <f>AO330*AL328/SUM(AL328:AL330)/(AL328*10^3*10^3)</f>
        <v>0</v>
      </c>
      <c r="AS328" s="2"/>
      <c r="AU328" s="2"/>
      <c r="AV328" s="2"/>
      <c r="AW328" s="2"/>
      <c r="AX328" s="2"/>
      <c r="AY328" s="2"/>
    </row>
    <row r="329" spans="1:51" ht="10.5" customHeight="1" x14ac:dyDescent="0.15">
      <c r="A329" s="24"/>
      <c r="B329" s="75">
        <v>4</v>
      </c>
      <c r="C329" s="19" t="s">
        <v>15</v>
      </c>
      <c r="D329" s="51" t="s">
        <v>88</v>
      </c>
      <c r="E329" s="52" t="s">
        <v>88</v>
      </c>
      <c r="F329" s="42" t="s">
        <v>88</v>
      </c>
      <c r="G329" s="51" t="s">
        <v>88</v>
      </c>
      <c r="H329" s="52" t="s">
        <v>88</v>
      </c>
      <c r="I329" s="42" t="s">
        <v>88</v>
      </c>
      <c r="J329" s="51" t="s">
        <v>124</v>
      </c>
      <c r="K329" s="50" t="s">
        <v>88</v>
      </c>
      <c r="L329" s="43" t="s">
        <v>88</v>
      </c>
      <c r="M329" s="52" t="s">
        <v>20</v>
      </c>
      <c r="N329" s="52">
        <f>2.2*10^9</f>
        <v>2200000000</v>
      </c>
      <c r="O329" s="53">
        <f>4.9*10^7</f>
        <v>49000000</v>
      </c>
      <c r="P329" s="44"/>
      <c r="Q329" s="2"/>
      <c r="R329" s="2"/>
      <c r="S329" s="2"/>
      <c r="T329" s="2"/>
      <c r="U329" s="2"/>
      <c r="V329" s="2"/>
      <c r="W329" s="2"/>
      <c r="X329" s="2"/>
      <c r="Y329" s="2"/>
      <c r="Z329" s="2"/>
      <c r="AA329" s="2"/>
      <c r="AB329" s="2"/>
      <c r="AC329" s="2"/>
      <c r="AD329" s="2"/>
      <c r="AF329" s="105">
        <v>39569</v>
      </c>
      <c r="AG329" s="89">
        <v>0</v>
      </c>
      <c r="AH329" s="89">
        <v>621.68499999999995</v>
      </c>
      <c r="AI329" s="96">
        <v>634.28300000000002</v>
      </c>
      <c r="AJ329" s="112">
        <f t="shared" si="24"/>
        <v>0</v>
      </c>
      <c r="AK329" s="112">
        <f t="shared" si="23"/>
        <v>1627.6843636363633</v>
      </c>
      <c r="AL329" s="113">
        <f t="shared" si="25"/>
        <v>1660.6682181818182</v>
      </c>
      <c r="AM329" s="68"/>
      <c r="AN329" s="68"/>
      <c r="AO329" s="69"/>
      <c r="AP329" s="115" t="e">
        <f>AM330*AJ329/SUM(AJ328:AJ330)/(AJ329*10^3*10^3)</f>
        <v>#DIV/0!</v>
      </c>
      <c r="AQ329" s="114">
        <f>AN330*AK329/SUM(AK328:AK330)/(AK329*10^3*10^3)</f>
        <v>0.23024425162687165</v>
      </c>
      <c r="AR329" s="115">
        <f>AO330*AL329/SUM(AL328:AL330)/(AL329*10^3*10^3)</f>
        <v>0</v>
      </c>
      <c r="AS329" s="2"/>
      <c r="AU329" s="2"/>
      <c r="AV329" s="2"/>
      <c r="AW329" s="2"/>
      <c r="AX329" s="2"/>
      <c r="AY329" s="2"/>
    </row>
    <row r="330" spans="1:51" ht="10.5" customHeight="1" x14ac:dyDescent="0.15">
      <c r="A330" s="18" t="s">
        <v>34</v>
      </c>
      <c r="B330" s="73">
        <v>1</v>
      </c>
      <c r="C330" s="70" t="s">
        <v>10</v>
      </c>
      <c r="D330" s="57" t="s">
        <v>88</v>
      </c>
      <c r="E330" s="60" t="s">
        <v>88</v>
      </c>
      <c r="F330" s="56" t="s">
        <v>88</v>
      </c>
      <c r="G330" s="57" t="s">
        <v>88</v>
      </c>
      <c r="H330" s="60" t="s">
        <v>88</v>
      </c>
      <c r="I330" s="56" t="s">
        <v>88</v>
      </c>
      <c r="J330" s="57" t="s">
        <v>20</v>
      </c>
      <c r="K330" s="58" t="s">
        <v>88</v>
      </c>
      <c r="L330" s="59" t="s">
        <v>88</v>
      </c>
      <c r="M330" s="60" t="s">
        <v>20</v>
      </c>
      <c r="N330" s="60">
        <f>5.1*10^9</f>
        <v>5100000000</v>
      </c>
      <c r="O330" s="61">
        <f>5.2*10^7</f>
        <v>52000000</v>
      </c>
      <c r="P330" s="44"/>
      <c r="Q330" s="2"/>
      <c r="R330" s="2"/>
      <c r="S330" s="2"/>
      <c r="T330" s="2"/>
      <c r="U330" s="2"/>
      <c r="V330" s="2"/>
      <c r="W330" s="2"/>
      <c r="X330" s="2"/>
      <c r="Y330" s="2"/>
      <c r="Z330" s="2"/>
      <c r="AA330" s="2"/>
      <c r="AB330" s="2"/>
      <c r="AC330" s="2"/>
      <c r="AD330" s="2"/>
      <c r="AF330" s="105">
        <v>39600</v>
      </c>
      <c r="AG330" s="89">
        <v>0</v>
      </c>
      <c r="AH330" s="89">
        <v>601.37300000000005</v>
      </c>
      <c r="AI330" s="96">
        <v>615.43899999999996</v>
      </c>
      <c r="AJ330" s="112">
        <f t="shared" si="24"/>
        <v>0</v>
      </c>
      <c r="AK330" s="112">
        <f t="shared" si="23"/>
        <v>1574.5038545454545</v>
      </c>
      <c r="AL330" s="113">
        <f t="shared" si="25"/>
        <v>1611.3311999999999</v>
      </c>
      <c r="AM330" s="68">
        <v>86000000</v>
      </c>
      <c r="AN330" s="68">
        <v>1100000000</v>
      </c>
      <c r="AO330" s="69" t="s">
        <v>88</v>
      </c>
      <c r="AP330" s="115" t="e">
        <f>AM330*AJ330/SUM(AJ328:AJ330)/(AJ330*10^3*10^3)</f>
        <v>#DIV/0!</v>
      </c>
      <c r="AQ330" s="114">
        <f>AN330*AK330/SUM(AK328:AK330)/(AK330*10^3*10^3)</f>
        <v>0.23024425162687165</v>
      </c>
      <c r="AR330" s="115">
        <f>AO330*AL330/SUM(AL328:AL330)/(AL330*10^3*10^3)</f>
        <v>0</v>
      </c>
      <c r="AS330" s="2"/>
      <c r="AU330" s="2"/>
      <c r="AV330" s="2"/>
      <c r="AW330" s="2"/>
      <c r="AX330" s="2"/>
      <c r="AY330" s="2"/>
    </row>
    <row r="331" spans="1:51" ht="10.5" customHeight="1" x14ac:dyDescent="0.15">
      <c r="A331" s="23"/>
      <c r="B331" s="74">
        <v>2</v>
      </c>
      <c r="C331" s="71" t="s">
        <v>11</v>
      </c>
      <c r="D331" s="65" t="s">
        <v>88</v>
      </c>
      <c r="E331" s="68" t="s">
        <v>88</v>
      </c>
      <c r="F331" s="64" t="s">
        <v>88</v>
      </c>
      <c r="G331" s="65" t="s">
        <v>88</v>
      </c>
      <c r="H331" s="68" t="s">
        <v>88</v>
      </c>
      <c r="I331" s="64" t="s">
        <v>88</v>
      </c>
      <c r="J331" s="65" t="s">
        <v>20</v>
      </c>
      <c r="K331" s="66" t="s">
        <v>88</v>
      </c>
      <c r="L331" s="67" t="s">
        <v>88</v>
      </c>
      <c r="M331" s="68" t="s">
        <v>20</v>
      </c>
      <c r="N331" s="68">
        <f>2.9*10^9</f>
        <v>2900000000</v>
      </c>
      <c r="O331" s="69">
        <f>2.4*10^7</f>
        <v>24000000</v>
      </c>
      <c r="P331" s="44"/>
      <c r="Q331" s="2"/>
      <c r="R331" s="2"/>
      <c r="S331" s="2"/>
      <c r="T331" s="2"/>
      <c r="U331" s="2"/>
      <c r="V331" s="2"/>
      <c r="W331" s="2"/>
      <c r="X331" s="2"/>
      <c r="Y331" s="2"/>
      <c r="Z331" s="2"/>
      <c r="AA331" s="2"/>
      <c r="AB331" s="2"/>
      <c r="AC331" s="2"/>
      <c r="AD331" s="2"/>
      <c r="AF331" s="105">
        <v>39630</v>
      </c>
      <c r="AG331" s="89">
        <v>0</v>
      </c>
      <c r="AH331" s="89">
        <v>620.68499999999995</v>
      </c>
      <c r="AI331" s="96">
        <v>635.47900000000004</v>
      </c>
      <c r="AJ331" s="112">
        <f t="shared" si="24"/>
        <v>0</v>
      </c>
      <c r="AK331" s="112">
        <f t="shared" si="23"/>
        <v>1625.0661818181813</v>
      </c>
      <c r="AL331" s="113">
        <f t="shared" si="25"/>
        <v>1663.7995636363637</v>
      </c>
      <c r="AM331" s="68"/>
      <c r="AN331" s="68"/>
      <c r="AO331" s="69"/>
      <c r="AP331" s="115" t="e">
        <f>AM333*AJ331/SUM(AJ331:AJ333)/(AJ331*10^3*10^3)</f>
        <v>#DIV/0!</v>
      </c>
      <c r="AQ331" s="114">
        <f>AN333*AK331/SUM(AK331:AK333)/(AK331*10^3*10^3)</f>
        <v>0.29065618722015096</v>
      </c>
      <c r="AR331" s="115">
        <f>AO333*AL331/SUM(AL331:AL333)/(AL331*10^3*10^3)</f>
        <v>8.5151822381703099E-4</v>
      </c>
      <c r="AS331" s="2"/>
      <c r="AU331" s="2"/>
      <c r="AV331" s="2"/>
      <c r="AW331" s="2"/>
      <c r="AX331" s="2"/>
      <c r="AY331" s="2"/>
    </row>
    <row r="332" spans="1:51" ht="10.5" customHeight="1" x14ac:dyDescent="0.15">
      <c r="A332" s="23"/>
      <c r="B332" s="74">
        <v>3</v>
      </c>
      <c r="C332" s="71" t="s">
        <v>13</v>
      </c>
      <c r="D332" s="65" t="s">
        <v>88</v>
      </c>
      <c r="E332" s="68" t="s">
        <v>88</v>
      </c>
      <c r="F332" s="64" t="s">
        <v>88</v>
      </c>
      <c r="G332" s="65" t="s">
        <v>88</v>
      </c>
      <c r="H332" s="68" t="s">
        <v>88</v>
      </c>
      <c r="I332" s="64" t="s">
        <v>88</v>
      </c>
      <c r="J332" s="65" t="s">
        <v>20</v>
      </c>
      <c r="K332" s="68" t="s">
        <v>88</v>
      </c>
      <c r="L332" s="67" t="s">
        <v>88</v>
      </c>
      <c r="M332" s="68" t="s">
        <v>20</v>
      </c>
      <c r="N332" s="68">
        <f>7.8*10^9</f>
        <v>7800000000</v>
      </c>
      <c r="O332" s="69">
        <f>1.7*10^7</f>
        <v>17000000</v>
      </c>
      <c r="P332" s="44"/>
      <c r="Q332" s="2"/>
      <c r="R332" s="2"/>
      <c r="S332" s="2"/>
      <c r="T332" s="2"/>
      <c r="U332" s="2"/>
      <c r="V332" s="2"/>
      <c r="W332" s="2"/>
      <c r="X332" s="2"/>
      <c r="Y332" s="2"/>
      <c r="Z332" s="2"/>
      <c r="AA332" s="2"/>
      <c r="AB332" s="2"/>
      <c r="AC332" s="2"/>
      <c r="AD332" s="2"/>
      <c r="AF332" s="105">
        <v>39661</v>
      </c>
      <c r="AG332" s="89">
        <v>0</v>
      </c>
      <c r="AH332" s="89">
        <v>619.51900000000001</v>
      </c>
      <c r="AI332" s="96">
        <v>634.56600000000003</v>
      </c>
      <c r="AJ332" s="112">
        <f t="shared" si="24"/>
        <v>0</v>
      </c>
      <c r="AK332" s="112">
        <f t="shared" si="23"/>
        <v>1622.0133818181819</v>
      </c>
      <c r="AL332" s="113">
        <f t="shared" si="25"/>
        <v>1661.4091636363637</v>
      </c>
      <c r="AM332" s="68"/>
      <c r="AN332" s="68"/>
      <c r="AO332" s="69"/>
      <c r="AP332" s="115" t="e">
        <f>AM333*AJ332/SUM(AJ331:AJ333)/(AJ332*10^3*10^3)</f>
        <v>#DIV/0!</v>
      </c>
      <c r="AQ332" s="114">
        <f>AN333*AK332/SUM(AK331:AK333)/(AK332*10^3*10^3)</f>
        <v>0.29065618722015102</v>
      </c>
      <c r="AR332" s="115">
        <f>AO333*AL332/SUM(AL331:AL333)/(AL332*10^3*10^3)</f>
        <v>8.5151822381703099E-4</v>
      </c>
      <c r="AS332" s="2"/>
      <c r="AU332" s="2"/>
      <c r="AV332" s="2"/>
      <c r="AW332" s="2"/>
      <c r="AX332" s="2"/>
      <c r="AY332" s="2"/>
    </row>
    <row r="333" spans="1:51" ht="10.5" customHeight="1" x14ac:dyDescent="0.15">
      <c r="A333" s="24"/>
      <c r="B333" s="75">
        <v>4</v>
      </c>
      <c r="C333" s="19" t="s">
        <v>15</v>
      </c>
      <c r="D333" s="51" t="s">
        <v>88</v>
      </c>
      <c r="E333" s="52" t="s">
        <v>88</v>
      </c>
      <c r="F333" s="42" t="s">
        <v>88</v>
      </c>
      <c r="G333" s="51" t="s">
        <v>88</v>
      </c>
      <c r="H333" s="52" t="s">
        <v>88</v>
      </c>
      <c r="I333" s="42" t="s">
        <v>88</v>
      </c>
      <c r="J333" s="51" t="s">
        <v>20</v>
      </c>
      <c r="K333" s="50" t="s">
        <v>88</v>
      </c>
      <c r="L333" s="43" t="s">
        <v>20</v>
      </c>
      <c r="M333" s="52" t="s">
        <v>20</v>
      </c>
      <c r="N333" s="52">
        <f>1.2*10^9</f>
        <v>1200000000</v>
      </c>
      <c r="O333" s="53" t="s">
        <v>20</v>
      </c>
      <c r="P333" s="44"/>
      <c r="Q333" s="2"/>
      <c r="R333" s="2"/>
      <c r="S333" s="2"/>
      <c r="T333" s="2"/>
      <c r="U333" s="2"/>
      <c r="V333" s="2"/>
      <c r="W333" s="2"/>
      <c r="X333" s="2"/>
      <c r="Y333" s="2"/>
      <c r="Z333" s="2"/>
      <c r="AA333" s="2"/>
      <c r="AB333" s="2"/>
      <c r="AC333" s="2"/>
      <c r="AD333" s="2"/>
      <c r="AF333" s="105">
        <v>39692</v>
      </c>
      <c r="AG333" s="89">
        <v>0</v>
      </c>
      <c r="AH333" s="89">
        <v>599.50300000000004</v>
      </c>
      <c r="AI333" s="96">
        <v>613.84500000000003</v>
      </c>
      <c r="AJ333" s="112">
        <f t="shared" si="24"/>
        <v>0</v>
      </c>
      <c r="AK333" s="112">
        <f t="shared" si="23"/>
        <v>1569.6078545454545</v>
      </c>
      <c r="AL333" s="113">
        <f t="shared" si="25"/>
        <v>1607.1578181818184</v>
      </c>
      <c r="AM333" s="68" t="s">
        <v>20</v>
      </c>
      <c r="AN333" s="68">
        <v>1400000000</v>
      </c>
      <c r="AO333" s="69">
        <v>4200000</v>
      </c>
      <c r="AP333" s="115" t="e">
        <f>AM333*AJ333/SUM(AJ331:AJ333)/(AJ333*10^3*10^3)</f>
        <v>#DIV/0!</v>
      </c>
      <c r="AQ333" s="114">
        <f>AN333*AK333/SUM(AK331:AK333)/(AK333*10^3*10^3)</f>
        <v>0.29065618722015096</v>
      </c>
      <c r="AR333" s="115">
        <f>AO333*AL333/SUM(AL331:AL333)/(AL333*10^3*10^3)</f>
        <v>8.5151822381703099E-4</v>
      </c>
      <c r="AS333" s="2"/>
      <c r="AU333" s="2"/>
      <c r="AV333" s="2"/>
      <c r="AW333" s="2"/>
      <c r="AX333" s="2"/>
      <c r="AY333" s="2"/>
    </row>
    <row r="334" spans="1:51" ht="10.5" customHeight="1" x14ac:dyDescent="0.15">
      <c r="A334" s="18" t="s">
        <v>92</v>
      </c>
      <c r="B334" s="73">
        <v>1</v>
      </c>
      <c r="C334" s="70" t="s">
        <v>10</v>
      </c>
      <c r="D334" s="57" t="s">
        <v>88</v>
      </c>
      <c r="E334" s="60" t="s">
        <v>88</v>
      </c>
      <c r="F334" s="56" t="s">
        <v>88</v>
      </c>
      <c r="G334" s="57" t="s">
        <v>88</v>
      </c>
      <c r="H334" s="60" t="s">
        <v>88</v>
      </c>
      <c r="I334" s="56" t="s">
        <v>88</v>
      </c>
      <c r="J334" s="57" t="s">
        <v>20</v>
      </c>
      <c r="K334" s="58" t="s">
        <v>88</v>
      </c>
      <c r="L334" s="59" t="s">
        <v>101</v>
      </c>
      <c r="M334" s="60" t="s">
        <v>20</v>
      </c>
      <c r="N334" s="60">
        <f>2.7*10^9</f>
        <v>2700000000</v>
      </c>
      <c r="O334" s="61" t="s">
        <v>20</v>
      </c>
      <c r="P334" s="44"/>
      <c r="Q334" s="2"/>
      <c r="R334" s="2"/>
      <c r="S334" s="2"/>
      <c r="T334" s="2"/>
      <c r="U334" s="2"/>
      <c r="V334" s="2"/>
      <c r="W334" s="2"/>
      <c r="X334" s="2"/>
      <c r="Y334" s="2"/>
      <c r="Z334" s="2"/>
      <c r="AA334" s="2"/>
      <c r="AB334" s="2"/>
      <c r="AC334" s="2"/>
      <c r="AD334" s="2"/>
      <c r="AF334" s="105">
        <v>39722</v>
      </c>
      <c r="AG334" s="89">
        <v>0</v>
      </c>
      <c r="AH334" s="89">
        <v>620.04100000000005</v>
      </c>
      <c r="AI334" s="96">
        <v>634.29</v>
      </c>
      <c r="AJ334" s="112">
        <f t="shared" si="24"/>
        <v>0</v>
      </c>
      <c r="AK334" s="112">
        <f t="shared" si="23"/>
        <v>1623.380072727273</v>
      </c>
      <c r="AL334" s="113">
        <f t="shared" si="25"/>
        <v>1660.6865454545455</v>
      </c>
      <c r="AM334" s="68"/>
      <c r="AN334" s="68"/>
      <c r="AO334" s="69"/>
      <c r="AP334" s="115" t="e">
        <f>AM336*AJ334/SUM(AJ334:AJ336)/(AJ334*10^3*10^3)</f>
        <v>#DIV/0!</v>
      </c>
      <c r="AQ334" s="114">
        <f>AN336*AK334/SUM(AK334:AK336)/(AK334*10^3*10^3)</f>
        <v>0.31112291341741211</v>
      </c>
      <c r="AR334" s="115">
        <f>AO336*AL334/SUM(AL334:AL336)/(AL334*10^3*10^3)</f>
        <v>1.4364590682658799E-2</v>
      </c>
      <c r="AS334" s="2"/>
      <c r="AU334" s="2"/>
      <c r="AV334" s="2"/>
      <c r="AW334" s="2"/>
      <c r="AX334" s="2"/>
      <c r="AY334" s="2"/>
    </row>
    <row r="335" spans="1:51" ht="10.5" customHeight="1" x14ac:dyDescent="0.15">
      <c r="A335" s="23"/>
      <c r="B335" s="74">
        <v>2</v>
      </c>
      <c r="C335" s="71" t="s">
        <v>11</v>
      </c>
      <c r="D335" s="65" t="s">
        <v>88</v>
      </c>
      <c r="E335" s="68" t="s">
        <v>88</v>
      </c>
      <c r="F335" s="64" t="s">
        <v>88</v>
      </c>
      <c r="G335" s="65" t="s">
        <v>88</v>
      </c>
      <c r="H335" s="68" t="s">
        <v>88</v>
      </c>
      <c r="I335" s="64" t="s">
        <v>88</v>
      </c>
      <c r="J335" s="65" t="s">
        <v>20</v>
      </c>
      <c r="K335" s="66" t="s">
        <v>88</v>
      </c>
      <c r="L335" s="67" t="s">
        <v>20</v>
      </c>
      <c r="M335" s="68" t="s">
        <v>20</v>
      </c>
      <c r="N335" s="68">
        <f>1.9*10^9</f>
        <v>1900000000</v>
      </c>
      <c r="O335" s="69" t="s">
        <v>20</v>
      </c>
      <c r="P335" s="44"/>
      <c r="Q335" s="2"/>
      <c r="R335" s="2"/>
      <c r="S335" s="2"/>
      <c r="T335" s="2"/>
      <c r="U335" s="2"/>
      <c r="V335" s="2"/>
      <c r="W335" s="2"/>
      <c r="X335" s="2"/>
      <c r="Y335" s="2"/>
      <c r="Z335" s="2"/>
      <c r="AA335" s="2"/>
      <c r="AB335" s="2"/>
      <c r="AC335" s="2"/>
      <c r="AD335" s="2"/>
      <c r="AF335" s="105">
        <v>39753</v>
      </c>
      <c r="AG335" s="89">
        <v>0</v>
      </c>
      <c r="AH335" s="89">
        <v>600.54200000000003</v>
      </c>
      <c r="AI335" s="96">
        <v>509.05</v>
      </c>
      <c r="AJ335" s="112">
        <f t="shared" si="24"/>
        <v>0</v>
      </c>
      <c r="AK335" s="112">
        <f t="shared" si="23"/>
        <v>1572.3281454545454</v>
      </c>
      <c r="AL335" s="113">
        <f t="shared" si="25"/>
        <v>1332.7854545454545</v>
      </c>
      <c r="AM335" s="68"/>
      <c r="AN335" s="68"/>
      <c r="AO335" s="69"/>
      <c r="AP335" s="115" t="e">
        <f>AM336*AJ335/SUM(AJ334:AJ336)/(AJ335*10^3*10^3)</f>
        <v>#DIV/0!</v>
      </c>
      <c r="AQ335" s="114">
        <f>AN336*AK335/SUM(AK334:AK336)/(AK335*10^3*10^3)</f>
        <v>0.31112291341741205</v>
      </c>
      <c r="AR335" s="115">
        <f>AO336*AL335/SUM(AL334:AL336)/(AL335*10^3*10^3)</f>
        <v>1.4364590682658799E-2</v>
      </c>
      <c r="AS335" s="2"/>
      <c r="AU335" s="2"/>
      <c r="AV335" s="2"/>
      <c r="AW335" s="2"/>
      <c r="AX335" s="2"/>
      <c r="AY335" s="2"/>
    </row>
    <row r="336" spans="1:51" ht="10.5" customHeight="1" x14ac:dyDescent="0.15">
      <c r="A336" s="23"/>
      <c r="B336" s="74">
        <v>3</v>
      </c>
      <c r="C336" s="71" t="s">
        <v>13</v>
      </c>
      <c r="D336" s="65" t="s">
        <v>88</v>
      </c>
      <c r="E336" s="68" t="s">
        <v>88</v>
      </c>
      <c r="F336" s="64" t="s">
        <v>88</v>
      </c>
      <c r="G336" s="65" t="s">
        <v>88</v>
      </c>
      <c r="H336" s="68" t="s">
        <v>88</v>
      </c>
      <c r="I336" s="64" t="s">
        <v>88</v>
      </c>
      <c r="J336" s="65" t="s">
        <v>20</v>
      </c>
      <c r="K336" s="68" t="s">
        <v>88</v>
      </c>
      <c r="L336" s="67" t="s">
        <v>20</v>
      </c>
      <c r="M336" s="68" t="s">
        <v>20</v>
      </c>
      <c r="N336" s="68">
        <f>1.6*10^9</f>
        <v>1600000000</v>
      </c>
      <c r="O336" s="69" t="s">
        <v>20</v>
      </c>
      <c r="P336" s="44"/>
      <c r="Q336" s="2"/>
      <c r="R336" s="2"/>
      <c r="S336" s="2"/>
      <c r="T336" s="2"/>
      <c r="U336" s="2"/>
      <c r="V336" s="2"/>
      <c r="W336" s="2"/>
      <c r="X336" s="2"/>
      <c r="Y336" s="2"/>
      <c r="Z336" s="2"/>
      <c r="AA336" s="2"/>
      <c r="AB336" s="2"/>
      <c r="AC336" s="2"/>
      <c r="AD336" s="2"/>
      <c r="AF336" s="105">
        <v>39783</v>
      </c>
      <c r="AG336" s="89">
        <v>0</v>
      </c>
      <c r="AH336" s="89">
        <v>620.86500000000001</v>
      </c>
      <c r="AI336" s="96">
        <v>0</v>
      </c>
      <c r="AJ336" s="112">
        <f t="shared" si="24"/>
        <v>0</v>
      </c>
      <c r="AK336" s="112">
        <f t="shared" si="23"/>
        <v>1625.5374545454547</v>
      </c>
      <c r="AL336" s="113">
        <f t="shared" si="25"/>
        <v>0</v>
      </c>
      <c r="AM336" s="68">
        <v>450000000</v>
      </c>
      <c r="AN336" s="68">
        <v>1500000000</v>
      </c>
      <c r="AO336" s="69">
        <v>43000000</v>
      </c>
      <c r="AP336" s="115" t="e">
        <f>AM336*AJ336/SUM(AJ334:AJ336)/(AJ336*10^3*10^3)</f>
        <v>#DIV/0!</v>
      </c>
      <c r="AQ336" s="114">
        <f>AN336*AK336/SUM(AK334:AK336)/(AK336*10^3*10^3)</f>
        <v>0.31112291341741211</v>
      </c>
      <c r="AR336" s="115" t="e">
        <f>AO336*AL336/SUM(AL334:AL336)/(AL336*10^3*10^3)</f>
        <v>#DIV/0!</v>
      </c>
      <c r="AS336" s="2"/>
      <c r="AU336" s="2"/>
      <c r="AV336" s="2"/>
      <c r="AW336" s="2"/>
      <c r="AX336" s="2"/>
      <c r="AY336" s="2"/>
    </row>
    <row r="337" spans="1:51" ht="10.5" customHeight="1" x14ac:dyDescent="0.15">
      <c r="A337" s="24"/>
      <c r="B337" s="75">
        <v>4</v>
      </c>
      <c r="C337" s="19" t="s">
        <v>15</v>
      </c>
      <c r="D337" s="51" t="s">
        <v>88</v>
      </c>
      <c r="E337" s="52" t="s">
        <v>88</v>
      </c>
      <c r="F337" s="42" t="s">
        <v>88</v>
      </c>
      <c r="G337" s="51" t="s">
        <v>88</v>
      </c>
      <c r="H337" s="52" t="s">
        <v>88</v>
      </c>
      <c r="I337" s="42" t="s">
        <v>88</v>
      </c>
      <c r="J337" s="51" t="s">
        <v>20</v>
      </c>
      <c r="K337" s="50" t="s">
        <v>88</v>
      </c>
      <c r="L337" s="43" t="s">
        <v>20</v>
      </c>
      <c r="M337" s="52" t="s">
        <v>20</v>
      </c>
      <c r="N337" s="52">
        <f>6.7*10^9</f>
        <v>6700000000</v>
      </c>
      <c r="O337" s="53" t="s">
        <v>20</v>
      </c>
      <c r="P337" s="44"/>
      <c r="Q337" s="2"/>
      <c r="R337" s="2"/>
      <c r="S337" s="2"/>
      <c r="T337" s="2"/>
      <c r="U337" s="2"/>
      <c r="V337" s="2"/>
      <c r="W337" s="2"/>
      <c r="X337" s="2"/>
      <c r="Y337" s="2"/>
      <c r="Z337" s="2"/>
      <c r="AA337" s="2"/>
      <c r="AB337" s="2"/>
      <c r="AC337" s="2"/>
      <c r="AD337" s="2"/>
      <c r="AF337" s="105">
        <v>39814</v>
      </c>
      <c r="AG337" s="89">
        <v>0</v>
      </c>
      <c r="AH337" s="89">
        <v>620.84100000000001</v>
      </c>
      <c r="AI337" s="96">
        <v>0</v>
      </c>
      <c r="AJ337" s="112">
        <f t="shared" si="24"/>
        <v>0</v>
      </c>
      <c r="AK337" s="112">
        <f t="shared" si="23"/>
        <v>1625.4746181818182</v>
      </c>
      <c r="AL337" s="113">
        <f t="shared" si="25"/>
        <v>0</v>
      </c>
      <c r="AM337" s="68"/>
      <c r="AN337" s="68"/>
      <c r="AO337" s="69"/>
      <c r="AP337" s="115" t="e">
        <f>AM339*AJ337/SUM(AJ337:AJ339)/(AJ337*10^3*10^3)</f>
        <v>#DIV/0!</v>
      </c>
      <c r="AQ337" s="114">
        <f>AN339*AK337/SUM(AK337:AK339)/(AK337*10^3*10^3)</f>
        <v>0</v>
      </c>
      <c r="AR337" s="115" t="e">
        <f>AO339*AL337/SUM(AL337:AL339)/(AL337*10^3*10^3)</f>
        <v>#DIV/0!</v>
      </c>
      <c r="AS337" s="2"/>
      <c r="AU337" s="2"/>
      <c r="AV337" s="2"/>
      <c r="AW337" s="2"/>
      <c r="AX337" s="2"/>
      <c r="AY337" s="2"/>
    </row>
    <row r="338" spans="1:51" ht="10.5" customHeight="1" x14ac:dyDescent="0.15">
      <c r="A338" s="18" t="s">
        <v>93</v>
      </c>
      <c r="B338" s="73">
        <v>1</v>
      </c>
      <c r="C338" s="70" t="s">
        <v>10</v>
      </c>
      <c r="D338" s="57" t="s">
        <v>88</v>
      </c>
      <c r="E338" s="60" t="s">
        <v>88</v>
      </c>
      <c r="F338" s="56" t="s">
        <v>88</v>
      </c>
      <c r="G338" s="57" t="s">
        <v>88</v>
      </c>
      <c r="H338" s="60" t="s">
        <v>88</v>
      </c>
      <c r="I338" s="56" t="s">
        <v>88</v>
      </c>
      <c r="J338" s="57" t="s">
        <v>20</v>
      </c>
      <c r="K338" s="58" t="s">
        <v>88</v>
      </c>
      <c r="L338" s="59" t="s">
        <v>101</v>
      </c>
      <c r="M338" s="60" t="s">
        <v>20</v>
      </c>
      <c r="N338" s="60">
        <f>6.3*10^9</f>
        <v>6300000000</v>
      </c>
      <c r="O338" s="61" t="s">
        <v>20</v>
      </c>
      <c r="Q338" s="2"/>
      <c r="R338" s="2"/>
      <c r="S338" s="2"/>
      <c r="T338" s="2"/>
      <c r="U338" s="2"/>
      <c r="V338" s="2"/>
      <c r="W338" s="2"/>
      <c r="X338" s="2"/>
      <c r="Y338" s="2"/>
      <c r="Z338" s="2"/>
      <c r="AA338" s="2"/>
      <c r="AB338" s="2"/>
      <c r="AC338" s="2"/>
      <c r="AD338" s="2"/>
      <c r="AF338" s="105">
        <v>39845</v>
      </c>
      <c r="AG338" s="89">
        <v>0</v>
      </c>
      <c r="AH338" s="89">
        <v>560.98699999999997</v>
      </c>
      <c r="AI338" s="96">
        <v>0</v>
      </c>
      <c r="AJ338" s="112">
        <f t="shared" si="24"/>
        <v>0</v>
      </c>
      <c r="AK338" s="112">
        <f t="shared" si="23"/>
        <v>1468.7659636363635</v>
      </c>
      <c r="AL338" s="113">
        <f t="shared" si="25"/>
        <v>0</v>
      </c>
      <c r="AM338" s="68"/>
      <c r="AN338" s="68"/>
      <c r="AO338" s="69"/>
      <c r="AP338" s="115" t="e">
        <f>AM339*AJ338/SUM(AJ337:AJ339)/(AJ338*10^3*10^3)</f>
        <v>#DIV/0!</v>
      </c>
      <c r="AQ338" s="114">
        <f>AN339*AK338/SUM(AK337:AK339)/(AK338*10^3*10^3)</f>
        <v>0</v>
      </c>
      <c r="AR338" s="115" t="e">
        <f>AO339*AL338/SUM(AL337:AL339)/(AL338*10^3*10^3)</f>
        <v>#DIV/0!</v>
      </c>
      <c r="AS338" s="2"/>
      <c r="AU338" s="2"/>
      <c r="AV338" s="2"/>
      <c r="AW338" s="2"/>
      <c r="AX338" s="2"/>
      <c r="AY338" s="2"/>
    </row>
    <row r="339" spans="1:51" ht="10.5" customHeight="1" x14ac:dyDescent="0.15">
      <c r="A339" s="23"/>
      <c r="B339" s="74">
        <v>2</v>
      </c>
      <c r="C339" s="71" t="s">
        <v>11</v>
      </c>
      <c r="D339" s="65" t="s">
        <v>88</v>
      </c>
      <c r="E339" s="68" t="s">
        <v>88</v>
      </c>
      <c r="F339" s="64" t="s">
        <v>88</v>
      </c>
      <c r="G339" s="65" t="s">
        <v>88</v>
      </c>
      <c r="H339" s="68" t="s">
        <v>88</v>
      </c>
      <c r="I339" s="64" t="s">
        <v>88</v>
      </c>
      <c r="J339" s="65" t="s">
        <v>20</v>
      </c>
      <c r="K339" s="66" t="s">
        <v>88</v>
      </c>
      <c r="L339" s="67" t="s">
        <v>101</v>
      </c>
      <c r="M339" s="68" t="s">
        <v>20</v>
      </c>
      <c r="N339" s="68">
        <f>4.4*10^9</f>
        <v>4400000000</v>
      </c>
      <c r="O339" s="69" t="s">
        <v>20</v>
      </c>
      <c r="Q339" s="2"/>
      <c r="R339" s="2"/>
      <c r="S339" s="2"/>
      <c r="T339" s="2"/>
      <c r="U339" s="2"/>
      <c r="V339" s="2"/>
      <c r="W339" s="2"/>
      <c r="X339" s="2"/>
      <c r="Y339" s="2"/>
      <c r="Z339" s="2"/>
      <c r="AA339" s="2"/>
      <c r="AB339" s="2"/>
      <c r="AC339" s="2"/>
      <c r="AD339" s="2"/>
      <c r="AF339" s="105">
        <v>39873</v>
      </c>
      <c r="AG339" s="89">
        <v>20.835000000000001</v>
      </c>
      <c r="AH339" s="89">
        <v>492.97800000000001</v>
      </c>
      <c r="AI339" s="96">
        <v>0</v>
      </c>
      <c r="AJ339" s="112">
        <f t="shared" si="24"/>
        <v>55.825076335877874</v>
      </c>
      <c r="AK339" s="112">
        <f t="shared" si="23"/>
        <v>1290.7060363636365</v>
      </c>
      <c r="AL339" s="113">
        <f t="shared" si="25"/>
        <v>0</v>
      </c>
      <c r="AM339" s="68">
        <v>2200000000</v>
      </c>
      <c r="AN339" s="68" t="s">
        <v>20</v>
      </c>
      <c r="AO339" s="69" t="s">
        <v>20</v>
      </c>
      <c r="AP339" s="115">
        <f>AM339*AJ339/SUM(AJ337:AJ339)/(AJ339*10^3*10^3)</f>
        <v>39.40881310691725</v>
      </c>
      <c r="AQ339" s="114">
        <f>AN339*AK339/SUM(AK337:AK339)/(AK339*10^3*10^3)</f>
        <v>0</v>
      </c>
      <c r="AR339" s="115" t="e">
        <f>AO339*AL339/SUM(AL337:AL339)/(AL339*10^3*10^3)</f>
        <v>#DIV/0!</v>
      </c>
      <c r="AS339" s="2"/>
      <c r="AU339" s="2"/>
      <c r="AV339" s="2"/>
      <c r="AW339" s="2"/>
      <c r="AX339" s="2"/>
      <c r="AY339" s="2"/>
    </row>
    <row r="340" spans="1:51" ht="10.5" customHeight="1" x14ac:dyDescent="0.15">
      <c r="A340" s="23"/>
      <c r="B340" s="74">
        <v>3</v>
      </c>
      <c r="C340" s="71" t="s">
        <v>13</v>
      </c>
      <c r="D340" s="65" t="s">
        <v>88</v>
      </c>
      <c r="E340" s="68" t="s">
        <v>88</v>
      </c>
      <c r="F340" s="64" t="s">
        <v>88</v>
      </c>
      <c r="G340" s="65" t="s">
        <v>88</v>
      </c>
      <c r="H340" s="68" t="s">
        <v>88</v>
      </c>
      <c r="I340" s="64" t="s">
        <v>88</v>
      </c>
      <c r="J340" s="65" t="s">
        <v>20</v>
      </c>
      <c r="K340" s="68" t="s">
        <v>88</v>
      </c>
      <c r="L340" s="67" t="s">
        <v>88</v>
      </c>
      <c r="M340" s="68" t="s">
        <v>20</v>
      </c>
      <c r="N340" s="68">
        <f>5.8*10^8</f>
        <v>580000000</v>
      </c>
      <c r="O340" s="69">
        <f>1.2*10^8</f>
        <v>120000000</v>
      </c>
      <c r="Q340" s="2"/>
      <c r="R340" s="2"/>
      <c r="S340" s="2"/>
      <c r="T340" s="2"/>
      <c r="U340" s="2"/>
      <c r="V340" s="2"/>
      <c r="W340" s="2"/>
      <c r="X340" s="2"/>
      <c r="Y340" s="2"/>
      <c r="Z340" s="2"/>
      <c r="AA340" s="2"/>
      <c r="AB340" s="2"/>
      <c r="AC340" s="2"/>
      <c r="AD340" s="2"/>
      <c r="AF340" s="104">
        <v>39904</v>
      </c>
      <c r="AG340" s="89">
        <v>332.26299999999998</v>
      </c>
      <c r="AH340" s="89">
        <v>0</v>
      </c>
      <c r="AI340" s="96">
        <v>0</v>
      </c>
      <c r="AJ340" s="112">
        <f t="shared" si="24"/>
        <v>890.26193129770991</v>
      </c>
      <c r="AK340" s="112">
        <f t="shared" si="23"/>
        <v>0</v>
      </c>
      <c r="AL340" s="113">
        <f t="shared" si="25"/>
        <v>0</v>
      </c>
      <c r="AM340" s="68"/>
      <c r="AN340" s="68"/>
      <c r="AO340" s="69"/>
      <c r="AP340" s="114">
        <f>AM342*AJ340/SUM(AJ340:AJ342)/(AJ340*10^3*10^3)</f>
        <v>0.82466054831491009</v>
      </c>
      <c r="AQ340" s="115" t="e">
        <f>AN342*AK340/SUM(AK340:AK342)/(AK340*10^3*10^3)</f>
        <v>#DIV/0!</v>
      </c>
      <c r="AR340" s="114" t="e">
        <f>AO342*AL340/SUM(AL340:AL342)/(AL340*10^3*10^3)</f>
        <v>#DIV/0!</v>
      </c>
      <c r="AS340" s="2"/>
      <c r="AU340" s="2"/>
      <c r="AV340" s="2"/>
      <c r="AW340" s="2"/>
      <c r="AX340" s="2"/>
      <c r="AY340" s="2"/>
    </row>
    <row r="341" spans="1:51" ht="10.5" customHeight="1" x14ac:dyDescent="0.15">
      <c r="A341" s="24"/>
      <c r="B341" s="75">
        <v>4</v>
      </c>
      <c r="C341" s="19" t="s">
        <v>15</v>
      </c>
      <c r="D341" s="51" t="s">
        <v>88</v>
      </c>
      <c r="E341" s="52" t="s">
        <v>88</v>
      </c>
      <c r="F341" s="42" t="s">
        <v>88</v>
      </c>
      <c r="G341" s="51" t="s">
        <v>88</v>
      </c>
      <c r="H341" s="52" t="s">
        <v>88</v>
      </c>
      <c r="I341" s="42" t="s">
        <v>88</v>
      </c>
      <c r="J341" s="51" t="s">
        <v>20</v>
      </c>
      <c r="K341" s="50" t="s">
        <v>88</v>
      </c>
      <c r="L341" s="43" t="s">
        <v>88</v>
      </c>
      <c r="M341" s="52" t="s">
        <v>20</v>
      </c>
      <c r="N341" s="52">
        <f>2.9*10^9</f>
        <v>2900000000</v>
      </c>
      <c r="O341" s="53">
        <f>1.5*10^7</f>
        <v>15000000</v>
      </c>
      <c r="S341" s="20"/>
      <c r="T341" s="20"/>
      <c r="U341" s="20"/>
      <c r="V341" s="20"/>
      <c r="W341" s="20"/>
      <c r="X341" s="20"/>
      <c r="Y341" s="20"/>
      <c r="Z341" s="20"/>
      <c r="AA341" s="20"/>
      <c r="AB341" s="20"/>
      <c r="AC341" s="20"/>
      <c r="AD341" s="20"/>
      <c r="AF341" s="104">
        <v>39934</v>
      </c>
      <c r="AG341" s="89">
        <v>395.351</v>
      </c>
      <c r="AH341" s="89">
        <v>0</v>
      </c>
      <c r="AI341" s="96">
        <v>0</v>
      </c>
      <c r="AJ341" s="112">
        <f t="shared" si="24"/>
        <v>1059.2992442748093</v>
      </c>
      <c r="AK341" s="112">
        <f t="shared" si="23"/>
        <v>0</v>
      </c>
      <c r="AL341" s="113">
        <f t="shared" si="25"/>
        <v>0</v>
      </c>
      <c r="AM341" s="68"/>
      <c r="AN341" s="68"/>
      <c r="AO341" s="69"/>
      <c r="AP341" s="114">
        <f>AM342*AJ341/SUM(AJ340:AJ342)/(AJ341*10^3*10^3)</f>
        <v>0.82466054831491009</v>
      </c>
      <c r="AQ341" s="115" t="e">
        <f>AN342*AK341/SUM(AK340:AK342)/(AK341*10^3*10^3)</f>
        <v>#DIV/0!</v>
      </c>
      <c r="AR341" s="114" t="e">
        <f>AO342*AL341/SUM(AL340:AL342)/(AL341*10^3*10^3)</f>
        <v>#DIV/0!</v>
      </c>
      <c r="AS341" s="2"/>
      <c r="AU341" s="2"/>
      <c r="AV341" s="2"/>
      <c r="AW341" s="2"/>
      <c r="AX341" s="2"/>
      <c r="AY341" s="2"/>
    </row>
    <row r="342" spans="1:51" ht="10.5" customHeight="1" x14ac:dyDescent="0.15">
      <c r="A342" s="18" t="s">
        <v>118</v>
      </c>
      <c r="B342" s="73">
        <v>1</v>
      </c>
      <c r="C342" s="70" t="s">
        <v>10</v>
      </c>
      <c r="D342" s="57" t="s">
        <v>88</v>
      </c>
      <c r="E342" s="60" t="s">
        <v>88</v>
      </c>
      <c r="F342" s="56" t="s">
        <v>88</v>
      </c>
      <c r="G342" s="57" t="s">
        <v>88</v>
      </c>
      <c r="H342" s="60" t="s">
        <v>88</v>
      </c>
      <c r="I342" s="56" t="s">
        <v>88</v>
      </c>
      <c r="J342" s="57" t="s">
        <v>20</v>
      </c>
      <c r="K342" s="58" t="s">
        <v>88</v>
      </c>
      <c r="L342" s="59" t="s">
        <v>20</v>
      </c>
      <c r="M342" s="60" t="s">
        <v>20</v>
      </c>
      <c r="N342" s="60">
        <f>1.1*10^9</f>
        <v>1100000000</v>
      </c>
      <c r="O342" s="61" t="s">
        <v>20</v>
      </c>
      <c r="AF342" s="104">
        <v>39965</v>
      </c>
      <c r="AG342" s="89">
        <v>222.79</v>
      </c>
      <c r="AH342" s="89">
        <v>0</v>
      </c>
      <c r="AI342" s="96">
        <v>0.60199999999999998</v>
      </c>
      <c r="AJ342" s="112">
        <f t="shared" si="24"/>
        <v>596.94114503816797</v>
      </c>
      <c r="AK342" s="112">
        <f t="shared" si="23"/>
        <v>0</v>
      </c>
      <c r="AL342" s="113">
        <f t="shared" si="25"/>
        <v>1.5761454545454545</v>
      </c>
      <c r="AM342" s="68">
        <v>2100000000</v>
      </c>
      <c r="AN342" s="68" t="s">
        <v>20</v>
      </c>
      <c r="AO342" s="69">
        <v>24000000</v>
      </c>
      <c r="AP342" s="114">
        <f>AM342*AJ342/SUM(AJ340:AJ342)/(AJ342*10^3*10^3)</f>
        <v>0.82466054831491009</v>
      </c>
      <c r="AQ342" s="115" t="e">
        <f>AN342*AK342/SUM(AK340:AK342)/(AK342*10^3*10^3)</f>
        <v>#DIV/0!</v>
      </c>
      <c r="AR342" s="114">
        <f>AO342*AL342/SUM(AL340:AL342)/(AL342*10^3*10^3)</f>
        <v>15.227021040974531</v>
      </c>
      <c r="AS342" s="2"/>
      <c r="AU342" s="2"/>
      <c r="AV342" s="2"/>
      <c r="AW342" s="2"/>
      <c r="AX342" s="2"/>
      <c r="AY342" s="2"/>
    </row>
    <row r="343" spans="1:51" ht="10.5" customHeight="1" x14ac:dyDescent="0.15">
      <c r="A343" s="23"/>
      <c r="B343" s="74">
        <v>2</v>
      </c>
      <c r="C343" s="71" t="s">
        <v>11</v>
      </c>
      <c r="D343" s="65" t="s">
        <v>88</v>
      </c>
      <c r="E343" s="68" t="s">
        <v>88</v>
      </c>
      <c r="F343" s="64" t="s">
        <v>88</v>
      </c>
      <c r="G343" s="65" t="s">
        <v>88</v>
      </c>
      <c r="H343" s="68" t="s">
        <v>88</v>
      </c>
      <c r="I343" s="64" t="s">
        <v>88</v>
      </c>
      <c r="J343" s="65" t="s">
        <v>20</v>
      </c>
      <c r="K343" s="66" t="s">
        <v>88</v>
      </c>
      <c r="L343" s="67" t="s">
        <v>88</v>
      </c>
      <c r="M343" s="68" t="s">
        <v>20</v>
      </c>
      <c r="N343" s="68">
        <f>5.2*10^8</f>
        <v>520000000</v>
      </c>
      <c r="O343" s="69">
        <f>1.2*10^7</f>
        <v>12000000</v>
      </c>
      <c r="AF343" s="104">
        <v>39995</v>
      </c>
      <c r="AG343" s="89">
        <v>394.31299999999999</v>
      </c>
      <c r="AH343" s="89">
        <v>0</v>
      </c>
      <c r="AI343" s="96">
        <v>444.041</v>
      </c>
      <c r="AJ343" s="112">
        <f t="shared" si="24"/>
        <v>1056.5180381679388</v>
      </c>
      <c r="AK343" s="112">
        <f t="shared" si="23"/>
        <v>0</v>
      </c>
      <c r="AL343" s="113">
        <f t="shared" si="25"/>
        <v>1162.5800727272724</v>
      </c>
      <c r="AM343" s="68"/>
      <c r="AN343" s="68"/>
      <c r="AO343" s="69"/>
      <c r="AP343" s="114">
        <f>AM345*AJ343/SUM(AJ343:AJ345)/(AJ343*10^3*10^3)</f>
        <v>3.8401664111197142</v>
      </c>
      <c r="AQ343" s="115" t="e">
        <f>AN345*AK343/SUM(AK343:AK345)/(AK343*10^3*10^3)</f>
        <v>#DIV/0!</v>
      </c>
      <c r="AR343" s="114">
        <f>AO345*AL343/SUM(AL343:AL345)/(AL343*10^3*10^3)</f>
        <v>2.0733435869597998E-3</v>
      </c>
      <c r="AS343" s="2"/>
      <c r="AU343" s="2"/>
      <c r="AV343" s="2"/>
      <c r="AW343" s="2"/>
      <c r="AX343" s="2"/>
      <c r="AY343" s="2"/>
    </row>
    <row r="344" spans="1:51" ht="10.5" customHeight="1" x14ac:dyDescent="0.15">
      <c r="A344" s="23"/>
      <c r="B344" s="74">
        <v>3</v>
      </c>
      <c r="C344" s="71" t="s">
        <v>13</v>
      </c>
      <c r="D344" s="65" t="s">
        <v>88</v>
      </c>
      <c r="E344" s="68" t="s">
        <v>88</v>
      </c>
      <c r="F344" s="64" t="s">
        <v>88</v>
      </c>
      <c r="G344" s="65" t="s">
        <v>88</v>
      </c>
      <c r="H344" s="68" t="s">
        <v>88</v>
      </c>
      <c r="I344" s="64" t="s">
        <v>88</v>
      </c>
      <c r="J344" s="65" t="s">
        <v>20</v>
      </c>
      <c r="K344" s="68" t="s">
        <v>20</v>
      </c>
      <c r="L344" s="67" t="s">
        <v>20</v>
      </c>
      <c r="M344" s="68" t="s">
        <v>20</v>
      </c>
      <c r="N344" s="68" t="s">
        <v>20</v>
      </c>
      <c r="O344" s="69" t="s">
        <v>20</v>
      </c>
      <c r="R344" s="15"/>
      <c r="S344" s="16"/>
      <c r="T344" s="15"/>
      <c r="U344" s="15"/>
      <c r="V344" s="15"/>
      <c r="W344" s="15"/>
      <c r="X344" s="15"/>
      <c r="Y344" s="15"/>
      <c r="Z344" s="15"/>
      <c r="AA344" s="15"/>
      <c r="AB344" s="15"/>
      <c r="AC344" s="15"/>
      <c r="AD344" s="15"/>
      <c r="AF344" s="104">
        <v>40026</v>
      </c>
      <c r="AG344" s="89">
        <v>392.65899999999999</v>
      </c>
      <c r="AH344" s="89">
        <v>0</v>
      </c>
      <c r="AI344" s="96">
        <v>600.74099999999999</v>
      </c>
      <c r="AJ344" s="112">
        <f t="shared" si="24"/>
        <v>1052.0863282442749</v>
      </c>
      <c r="AK344" s="112">
        <f t="shared" si="23"/>
        <v>0</v>
      </c>
      <c r="AL344" s="113">
        <f t="shared" si="25"/>
        <v>1572.8491636363635</v>
      </c>
      <c r="AM344" s="68"/>
      <c r="AN344" s="68"/>
      <c r="AO344" s="69"/>
      <c r="AP344" s="114">
        <f>AM345*AJ344/SUM(AJ343:AJ345)/(AJ344*10^3*10^3)</f>
        <v>3.8401664111197142</v>
      </c>
      <c r="AQ344" s="115" t="e">
        <f>AN345*AK344/SUM(AK343:AK345)/(AK344*10^3*10^3)</f>
        <v>#DIV/0!</v>
      </c>
      <c r="AR344" s="114">
        <f>AO345*AL344/SUM(AL343:AL345)/(AL344*10^3*10^3)</f>
        <v>2.0733435869598003E-3</v>
      </c>
      <c r="AS344" s="2"/>
      <c r="AU344" s="2"/>
      <c r="AV344" s="2"/>
      <c r="AW344" s="2"/>
      <c r="AX344" s="2"/>
      <c r="AY344" s="2"/>
    </row>
    <row r="345" spans="1:51" ht="10.5" customHeight="1" x14ac:dyDescent="0.15">
      <c r="A345" s="24"/>
      <c r="B345" s="75">
        <v>4</v>
      </c>
      <c r="C345" s="19" t="s">
        <v>15</v>
      </c>
      <c r="D345" s="51" t="s">
        <v>88</v>
      </c>
      <c r="E345" s="52" t="s">
        <v>88</v>
      </c>
      <c r="F345" s="42" t="s">
        <v>88</v>
      </c>
      <c r="G345" s="51" t="s">
        <v>88</v>
      </c>
      <c r="H345" s="52" t="s">
        <v>88</v>
      </c>
      <c r="I345" s="42" t="s">
        <v>88</v>
      </c>
      <c r="J345" s="51" t="s">
        <v>20</v>
      </c>
      <c r="K345" s="50" t="s">
        <v>88</v>
      </c>
      <c r="L345" s="43" t="s">
        <v>20</v>
      </c>
      <c r="M345" s="52" t="s">
        <v>20</v>
      </c>
      <c r="N345" s="52">
        <f>1.3*10^9</f>
        <v>1300000000</v>
      </c>
      <c r="O345" s="53" t="s">
        <v>20</v>
      </c>
      <c r="R345" s="20"/>
      <c r="S345" s="20"/>
      <c r="T345" s="20"/>
      <c r="U345" s="20"/>
      <c r="V345" s="20"/>
      <c r="W345" s="20"/>
      <c r="X345" s="20"/>
      <c r="Y345" s="20"/>
      <c r="Z345" s="20"/>
      <c r="AA345" s="20"/>
      <c r="AB345" s="20"/>
      <c r="AC345" s="20"/>
      <c r="AD345" s="20"/>
      <c r="AF345" s="104">
        <v>40057</v>
      </c>
      <c r="AG345" s="89">
        <v>379.28800000000001</v>
      </c>
      <c r="AH345" s="89">
        <v>60.698</v>
      </c>
      <c r="AI345" s="96">
        <v>613.16800000000001</v>
      </c>
      <c r="AJ345" s="112">
        <f t="shared" si="24"/>
        <v>1016.2602137404581</v>
      </c>
      <c r="AK345" s="112">
        <f t="shared" si="23"/>
        <v>158.91839999999999</v>
      </c>
      <c r="AL345" s="113">
        <f t="shared" si="25"/>
        <v>1605.385309090909</v>
      </c>
      <c r="AM345" s="68">
        <v>12000000000</v>
      </c>
      <c r="AN345" s="68" t="s">
        <v>20</v>
      </c>
      <c r="AO345" s="69">
        <v>9000000</v>
      </c>
      <c r="AP345" s="114">
        <f>AM345*AJ345/SUM(AJ343:AJ345)/(AJ345*10^3*10^3)</f>
        <v>3.8401664111197142</v>
      </c>
      <c r="AQ345" s="115">
        <f>AN345*AK345/SUM(AK343:AK345)/(AK345*10^3*10^3)</f>
        <v>0</v>
      </c>
      <c r="AR345" s="114">
        <f>AO345*AL345/SUM(AL343:AL345)/(AL345*10^3*10^3)</f>
        <v>2.0733435869597998E-3</v>
      </c>
      <c r="AS345" s="2"/>
      <c r="AU345" s="2"/>
      <c r="AV345" s="2"/>
      <c r="AW345" s="2"/>
      <c r="AX345" s="2"/>
      <c r="AY345" s="2"/>
    </row>
    <row r="346" spans="1:51" ht="10.5" customHeight="1" x14ac:dyDescent="0.15">
      <c r="A346" s="18" t="s">
        <v>103</v>
      </c>
      <c r="B346" s="73">
        <v>1</v>
      </c>
      <c r="C346" s="70" t="s">
        <v>10</v>
      </c>
      <c r="D346" s="57" t="s">
        <v>88</v>
      </c>
      <c r="E346" s="60" t="s">
        <v>88</v>
      </c>
      <c r="F346" s="56" t="s">
        <v>88</v>
      </c>
      <c r="G346" s="57" t="s">
        <v>88</v>
      </c>
      <c r="H346" s="60" t="s">
        <v>88</v>
      </c>
      <c r="I346" s="56" t="s">
        <v>88</v>
      </c>
      <c r="J346" s="57" t="s">
        <v>20</v>
      </c>
      <c r="K346" s="58" t="s">
        <v>88</v>
      </c>
      <c r="L346" s="59" t="s">
        <v>88</v>
      </c>
      <c r="M346" s="60" t="s">
        <v>20</v>
      </c>
      <c r="N346" s="60">
        <f>3*10^9</f>
        <v>3000000000</v>
      </c>
      <c r="O346" s="61">
        <f>7.4*10^5</f>
        <v>740000</v>
      </c>
      <c r="AF346" s="104">
        <v>40087</v>
      </c>
      <c r="AG346" s="89">
        <v>392.85500000000002</v>
      </c>
      <c r="AH346" s="89">
        <v>621.43200000000002</v>
      </c>
      <c r="AI346" s="96">
        <v>634.07000000000005</v>
      </c>
      <c r="AJ346" s="112">
        <f t="shared" ref="AJ346:AJ365" si="26">39*60*60/(52.4*10^6)*AG346*10^6/10^3</f>
        <v>1052.6114885496186</v>
      </c>
      <c r="AK346" s="112">
        <f t="shared" ref="AK346:AK365" si="27">60*60*60/(82.5*10^6)*AH346*10^6/10^3</f>
        <v>1627.0219636363636</v>
      </c>
      <c r="AL346" s="113">
        <f t="shared" ref="AL346:AL365" si="28">60*60*60/(82.5*10^6)*AI346*10^6/10^3</f>
        <v>1660.1105454545454</v>
      </c>
      <c r="AM346" s="68"/>
      <c r="AN346" s="68"/>
      <c r="AO346" s="69"/>
      <c r="AP346" s="114">
        <f>AM348*AJ346/SUM(AJ346:AJ348)/(AJ346*10^3*10^3)</f>
        <v>15.334867785857409</v>
      </c>
      <c r="AQ346" s="115">
        <f>AN348*AK346/SUM(AK346:AK348)/(AK346*10^3*10^3)</f>
        <v>0.57959348005810041</v>
      </c>
      <c r="AR346" s="114">
        <f>AO348*AL346/SUM(AL346:AL348)/(AL346*10^3*10^3)</f>
        <v>0</v>
      </c>
      <c r="AS346" s="2"/>
      <c r="AU346" s="2"/>
      <c r="AV346" s="2"/>
      <c r="AW346" s="2"/>
      <c r="AX346" s="2"/>
      <c r="AY346" s="2"/>
    </row>
    <row r="347" spans="1:51" ht="10.5" customHeight="1" x14ac:dyDescent="0.15">
      <c r="A347" s="23"/>
      <c r="B347" s="74">
        <v>2</v>
      </c>
      <c r="C347" s="71" t="s">
        <v>11</v>
      </c>
      <c r="D347" s="65" t="s">
        <v>88</v>
      </c>
      <c r="E347" s="68" t="s">
        <v>88</v>
      </c>
      <c r="F347" s="64" t="s">
        <v>88</v>
      </c>
      <c r="G347" s="65" t="s">
        <v>88</v>
      </c>
      <c r="H347" s="68" t="s">
        <v>88</v>
      </c>
      <c r="I347" s="64" t="s">
        <v>88</v>
      </c>
      <c r="J347" s="65" t="s">
        <v>20</v>
      </c>
      <c r="K347" s="66" t="s">
        <v>20</v>
      </c>
      <c r="L347" s="67" t="s">
        <v>20</v>
      </c>
      <c r="M347" s="68" t="s">
        <v>20</v>
      </c>
      <c r="N347" s="68" t="s">
        <v>20</v>
      </c>
      <c r="O347" s="69" t="s">
        <v>20</v>
      </c>
      <c r="AF347" s="104">
        <v>40118</v>
      </c>
      <c r="AG347" s="89">
        <v>381.12599999999998</v>
      </c>
      <c r="AH347" s="89">
        <v>601.64599999999996</v>
      </c>
      <c r="AI347" s="96">
        <v>614.08199999999999</v>
      </c>
      <c r="AJ347" s="112">
        <f t="shared" si="26"/>
        <v>1021.1849312977099</v>
      </c>
      <c r="AK347" s="112">
        <f t="shared" si="27"/>
        <v>1575.2186181818179</v>
      </c>
      <c r="AL347" s="113">
        <f t="shared" si="28"/>
        <v>1607.7783272727274</v>
      </c>
      <c r="AM347" s="68"/>
      <c r="AN347" s="68"/>
      <c r="AO347" s="69"/>
      <c r="AP347" s="114">
        <f>AM348*AJ347/SUM(AJ346:AJ348)/(AJ347*10^3*10^3)</f>
        <v>15.334867785857409</v>
      </c>
      <c r="AQ347" s="115">
        <f>AN348*AK347/SUM(AK346:AK348)/(AK347*10^3*10^3)</f>
        <v>0.57959348005810019</v>
      </c>
      <c r="AR347" s="114">
        <f>AO348*AL347/SUM(AL346:AL348)/(AL347*10^3*10^3)</f>
        <v>0</v>
      </c>
      <c r="AS347" s="2"/>
      <c r="AU347" s="2"/>
      <c r="AV347" s="2"/>
      <c r="AW347" s="2"/>
      <c r="AX347" s="2"/>
      <c r="AY347" s="2"/>
    </row>
    <row r="348" spans="1:51" ht="10.5" customHeight="1" x14ac:dyDescent="0.15">
      <c r="A348" s="23"/>
      <c r="B348" s="74">
        <v>3</v>
      </c>
      <c r="C348" s="71" t="s">
        <v>13</v>
      </c>
      <c r="D348" s="65" t="s">
        <v>88</v>
      </c>
      <c r="E348" s="68" t="s">
        <v>88</v>
      </c>
      <c r="F348" s="64" t="s">
        <v>88</v>
      </c>
      <c r="G348" s="65" t="s">
        <v>88</v>
      </c>
      <c r="H348" s="68" t="s">
        <v>88</v>
      </c>
      <c r="I348" s="64" t="s">
        <v>88</v>
      </c>
      <c r="J348" s="65" t="s">
        <v>20</v>
      </c>
      <c r="K348" s="66" t="s">
        <v>20</v>
      </c>
      <c r="L348" s="67" t="s">
        <v>20</v>
      </c>
      <c r="M348" s="68" t="s">
        <v>20</v>
      </c>
      <c r="N348" s="68" t="s">
        <v>20</v>
      </c>
      <c r="O348" s="69" t="s">
        <v>20</v>
      </c>
      <c r="AF348" s="104">
        <v>40148</v>
      </c>
      <c r="AG348" s="89">
        <v>394.24099999999999</v>
      </c>
      <c r="AH348" s="89">
        <v>622.08500000000004</v>
      </c>
      <c r="AI348" s="96">
        <v>634.75199999999995</v>
      </c>
      <c r="AJ348" s="112">
        <f t="shared" si="26"/>
        <v>1056.3251221374046</v>
      </c>
      <c r="AK348" s="112">
        <f t="shared" si="27"/>
        <v>1628.7316363636364</v>
      </c>
      <c r="AL348" s="113">
        <f t="shared" si="28"/>
        <v>1661.8961454545454</v>
      </c>
      <c r="AM348" s="68">
        <v>48000000000</v>
      </c>
      <c r="AN348" s="68">
        <v>2800000000</v>
      </c>
      <c r="AO348" s="69" t="s">
        <v>88</v>
      </c>
      <c r="AP348" s="114">
        <f>AM348*AJ348/SUM(AJ346:AJ348)/(AJ348*10^3*10^3)</f>
        <v>15.33486778585741</v>
      </c>
      <c r="AQ348" s="115">
        <f>AN348*AK348/SUM(AK346:AK348)/(AK348*10^3*10^3)</f>
        <v>0.57959348005810019</v>
      </c>
      <c r="AR348" s="114">
        <f>AO348*AL348/SUM(AL346:AL348)/(AL348*10^3*10^3)</f>
        <v>0</v>
      </c>
      <c r="AS348" s="2"/>
      <c r="AU348" s="2"/>
      <c r="AV348" s="2"/>
      <c r="AW348" s="2"/>
      <c r="AX348" s="2"/>
      <c r="AY348" s="2"/>
    </row>
    <row r="349" spans="1:51" ht="10.5" customHeight="1" x14ac:dyDescent="0.15">
      <c r="A349" s="24"/>
      <c r="B349" s="75">
        <v>4</v>
      </c>
      <c r="C349" s="19" t="s">
        <v>15</v>
      </c>
      <c r="D349" s="51" t="s">
        <v>88</v>
      </c>
      <c r="E349" s="52" t="s">
        <v>88</v>
      </c>
      <c r="F349" s="42" t="s">
        <v>88</v>
      </c>
      <c r="G349" s="51" t="s">
        <v>88</v>
      </c>
      <c r="H349" s="52" t="s">
        <v>88</v>
      </c>
      <c r="I349" s="42" t="s">
        <v>88</v>
      </c>
      <c r="J349" s="51" t="s">
        <v>20</v>
      </c>
      <c r="K349" s="50" t="s">
        <v>20</v>
      </c>
      <c r="L349" s="43" t="s">
        <v>20</v>
      </c>
      <c r="M349" s="52" t="s">
        <v>20</v>
      </c>
      <c r="N349" s="52" t="s">
        <v>20</v>
      </c>
      <c r="O349" s="53" t="s">
        <v>20</v>
      </c>
      <c r="AF349" s="104">
        <v>40179</v>
      </c>
      <c r="AG349" s="89">
        <v>394.59500000000003</v>
      </c>
      <c r="AH349" s="89">
        <v>622.32899999999995</v>
      </c>
      <c r="AI349" s="96">
        <v>634.65200000000004</v>
      </c>
      <c r="AJ349" s="112">
        <f t="shared" si="26"/>
        <v>1057.2736259541987</v>
      </c>
      <c r="AK349" s="112">
        <f t="shared" si="27"/>
        <v>1629.3704727272727</v>
      </c>
      <c r="AL349" s="113">
        <f t="shared" si="28"/>
        <v>1661.6343272727274</v>
      </c>
      <c r="AM349" s="68"/>
      <c r="AN349" s="68"/>
      <c r="AO349" s="69"/>
      <c r="AP349" s="126">
        <f>AM351*AJ349/SUM(AJ349:AJ351)/(AJ349*10^3*10^3)</f>
        <v>0.71981553820195665</v>
      </c>
      <c r="AQ349" s="115">
        <f>AN351*AK349/SUM(AK349:AK351)/(AK349*10^3*10^3)</f>
        <v>0</v>
      </c>
      <c r="AR349" s="114">
        <f>AO351*AL349/SUM(AL349:AL351)/(AL349*10^3*10^3)</f>
        <v>5.5988837522429457E-3</v>
      </c>
      <c r="AS349" s="2"/>
      <c r="AU349" s="2"/>
      <c r="AV349" s="2"/>
      <c r="AW349" s="2"/>
      <c r="AX349" s="2"/>
      <c r="AY349" s="2"/>
    </row>
    <row r="350" spans="1:51" ht="10.5" customHeight="1" x14ac:dyDescent="0.15">
      <c r="A350" s="18" t="s">
        <v>104</v>
      </c>
      <c r="B350" s="73">
        <v>1</v>
      </c>
      <c r="C350" s="70" t="s">
        <v>10</v>
      </c>
      <c r="D350" s="57" t="s">
        <v>88</v>
      </c>
      <c r="E350" s="60" t="s">
        <v>88</v>
      </c>
      <c r="F350" s="56" t="s">
        <v>88</v>
      </c>
      <c r="G350" s="57" t="s">
        <v>88</v>
      </c>
      <c r="H350" s="60" t="s">
        <v>88</v>
      </c>
      <c r="I350" s="56" t="s">
        <v>88</v>
      </c>
      <c r="J350" s="57" t="s">
        <v>20</v>
      </c>
      <c r="K350" s="58" t="s">
        <v>20</v>
      </c>
      <c r="L350" s="59" t="s">
        <v>20</v>
      </c>
      <c r="M350" s="60" t="s">
        <v>20</v>
      </c>
      <c r="N350" s="60" t="s">
        <v>20</v>
      </c>
      <c r="O350" s="61" t="s">
        <v>20</v>
      </c>
      <c r="AF350" s="104">
        <v>40210</v>
      </c>
      <c r="AG350" s="89">
        <v>279.44600000000003</v>
      </c>
      <c r="AH350" s="89">
        <v>562.15200000000004</v>
      </c>
      <c r="AI350" s="96">
        <v>572.40200000000004</v>
      </c>
      <c r="AJ350" s="112">
        <f t="shared" si="26"/>
        <v>748.74462595419857</v>
      </c>
      <c r="AK350" s="112">
        <f t="shared" si="27"/>
        <v>1471.8161454545454</v>
      </c>
      <c r="AL350" s="113">
        <f t="shared" si="28"/>
        <v>1498.652509090909</v>
      </c>
      <c r="AM350" s="68"/>
      <c r="AN350" s="68"/>
      <c r="AO350" s="69"/>
      <c r="AP350" s="126">
        <f>AM351*AJ350/SUM(AJ349:AJ351)/(AJ350*10^3*10^3)</f>
        <v>0.71981553820195676</v>
      </c>
      <c r="AQ350" s="115">
        <f>AN351*AK350/SUM(AK349:AK351)/(AK350*10^3*10^3)</f>
        <v>0</v>
      </c>
      <c r="AR350" s="114">
        <f>AO351*AL350/SUM(AL349:AL351)/(AL350*10^3*10^3)</f>
        <v>5.5988837522429466E-3</v>
      </c>
      <c r="AS350" s="2"/>
      <c r="AU350" s="2"/>
      <c r="AV350" s="2"/>
      <c r="AW350" s="2"/>
      <c r="AX350" s="2"/>
      <c r="AY350" s="2"/>
    </row>
    <row r="351" spans="1:51" ht="10.5" customHeight="1" x14ac:dyDescent="0.15">
      <c r="A351" s="23"/>
      <c r="B351" s="74">
        <v>2</v>
      </c>
      <c r="C351" s="71" t="s">
        <v>11</v>
      </c>
      <c r="D351" s="65" t="s">
        <v>88</v>
      </c>
      <c r="E351" s="68" t="s">
        <v>88</v>
      </c>
      <c r="F351" s="64" t="s">
        <v>88</v>
      </c>
      <c r="G351" s="65" t="s">
        <v>88</v>
      </c>
      <c r="H351" s="68" t="s">
        <v>88</v>
      </c>
      <c r="I351" s="64" t="s">
        <v>88</v>
      </c>
      <c r="J351" s="65" t="s">
        <v>20</v>
      </c>
      <c r="K351" s="66" t="s">
        <v>20</v>
      </c>
      <c r="L351" s="67" t="s">
        <v>20</v>
      </c>
      <c r="M351" s="68" t="s">
        <v>20</v>
      </c>
      <c r="N351" s="68" t="s">
        <v>20</v>
      </c>
      <c r="O351" s="69" t="s">
        <v>20</v>
      </c>
      <c r="AF351" s="104">
        <v>40238</v>
      </c>
      <c r="AG351" s="89">
        <v>0</v>
      </c>
      <c r="AH351" s="89">
        <v>622.26499999999999</v>
      </c>
      <c r="AI351" s="96">
        <v>634.83100000000002</v>
      </c>
      <c r="AJ351" s="112">
        <f t="shared" si="26"/>
        <v>0</v>
      </c>
      <c r="AK351" s="112">
        <f t="shared" si="27"/>
        <v>1629.2029090909089</v>
      </c>
      <c r="AL351" s="113">
        <f t="shared" si="28"/>
        <v>1662.1029818181819</v>
      </c>
      <c r="AM351" s="65">
        <v>1300000000</v>
      </c>
      <c r="AN351" s="68" t="s">
        <v>20</v>
      </c>
      <c r="AO351" s="69">
        <v>27000000</v>
      </c>
      <c r="AP351" s="126" t="e">
        <f>AM351*AJ351/SUM(AJ349:AJ351)/(AJ351*10^3*10^3)</f>
        <v>#DIV/0!</v>
      </c>
      <c r="AQ351" s="115">
        <f>AN351*AK351/SUM(AK349:AK351)/(AK351*10^3*10^3)</f>
        <v>0</v>
      </c>
      <c r="AR351" s="114">
        <f>AO351*AL351/SUM(AL349:AL351)/(AL351*10^3*10^3)</f>
        <v>5.5988837522429457E-3</v>
      </c>
      <c r="AS351" s="2"/>
      <c r="AU351" s="2"/>
      <c r="AV351" s="2"/>
      <c r="AW351" s="2"/>
      <c r="AX351" s="2"/>
      <c r="AY351" s="2"/>
    </row>
    <row r="352" spans="1:51" ht="10.5" customHeight="1" x14ac:dyDescent="0.15">
      <c r="A352" s="23"/>
      <c r="B352" s="74">
        <v>3</v>
      </c>
      <c r="C352" s="71" t="s">
        <v>13</v>
      </c>
      <c r="D352" s="65" t="s">
        <v>88</v>
      </c>
      <c r="E352" s="68" t="s">
        <v>88</v>
      </c>
      <c r="F352" s="64" t="s">
        <v>88</v>
      </c>
      <c r="G352" s="65" t="s">
        <v>88</v>
      </c>
      <c r="H352" s="68" t="s">
        <v>88</v>
      </c>
      <c r="I352" s="64" t="s">
        <v>88</v>
      </c>
      <c r="J352" s="65" t="s">
        <v>20</v>
      </c>
      <c r="K352" s="68" t="s">
        <v>88</v>
      </c>
      <c r="L352" s="67" t="s">
        <v>88</v>
      </c>
      <c r="M352" s="68" t="s">
        <v>20</v>
      </c>
      <c r="N352" s="68">
        <v>120000000</v>
      </c>
      <c r="O352" s="69">
        <v>34000000</v>
      </c>
      <c r="AF352" s="105">
        <v>40269</v>
      </c>
      <c r="AG352" s="89">
        <v>0</v>
      </c>
      <c r="AH352" s="89">
        <v>602.05999999999995</v>
      </c>
      <c r="AI352" s="96">
        <v>615.18200000000002</v>
      </c>
      <c r="AJ352" s="112">
        <f t="shared" si="26"/>
        <v>0</v>
      </c>
      <c r="AK352" s="112">
        <f t="shared" si="27"/>
        <v>1576.3025454545452</v>
      </c>
      <c r="AL352" s="113">
        <f t="shared" si="28"/>
        <v>1610.6583272727273</v>
      </c>
      <c r="AM352" s="65"/>
      <c r="AN352" s="68"/>
      <c r="AO352" s="69"/>
      <c r="AP352" s="127" t="e">
        <f>AM354*AJ352/SUM(AJ352:AJ354)/(AJ352*10^3*10^3)</f>
        <v>#DIV/0!</v>
      </c>
      <c r="AQ352" s="114">
        <f>AN354*AK352/SUM(AK352:AK354)/(AK352*10^3*10^3)</f>
        <v>0.20926937622871564</v>
      </c>
      <c r="AR352" s="115">
        <f>AO354*AL352/SUM(AL352:AL354)/(AL352*10^3*10^3)</f>
        <v>3.0713743620699598E-2</v>
      </c>
      <c r="AS352" s="2"/>
      <c r="AU352" s="2"/>
      <c r="AV352" s="2"/>
      <c r="AW352" s="2"/>
      <c r="AX352" s="2"/>
      <c r="AY352" s="2"/>
    </row>
    <row r="353" spans="1:51" ht="10.5" customHeight="1" x14ac:dyDescent="0.15">
      <c r="A353" s="24"/>
      <c r="B353" s="75">
        <v>4</v>
      </c>
      <c r="C353" s="19" t="s">
        <v>15</v>
      </c>
      <c r="D353" s="51" t="s">
        <v>88</v>
      </c>
      <c r="E353" s="52" t="s">
        <v>88</v>
      </c>
      <c r="F353" s="42" t="s">
        <v>88</v>
      </c>
      <c r="G353" s="51" t="s">
        <v>88</v>
      </c>
      <c r="H353" s="52" t="s">
        <v>88</v>
      </c>
      <c r="I353" s="42" t="s">
        <v>88</v>
      </c>
      <c r="J353" s="51" t="s">
        <v>20</v>
      </c>
      <c r="K353" s="50" t="s">
        <v>88</v>
      </c>
      <c r="L353" s="43" t="s">
        <v>20</v>
      </c>
      <c r="M353" s="52" t="s">
        <v>20</v>
      </c>
      <c r="N353" s="52">
        <f>2.5*10^8</f>
        <v>250000000</v>
      </c>
      <c r="O353" s="53" t="s">
        <v>20</v>
      </c>
      <c r="AF353" s="105">
        <v>40299</v>
      </c>
      <c r="AG353" s="89">
        <v>0</v>
      </c>
      <c r="AH353" s="89">
        <v>621.91</v>
      </c>
      <c r="AI353" s="96">
        <v>635.60299999999995</v>
      </c>
      <c r="AJ353" s="112">
        <f t="shared" si="26"/>
        <v>0</v>
      </c>
      <c r="AK353" s="112">
        <f t="shared" si="27"/>
        <v>1628.2734545454543</v>
      </c>
      <c r="AL353" s="113">
        <f t="shared" si="28"/>
        <v>1664.1242181818179</v>
      </c>
      <c r="AM353" s="65"/>
      <c r="AN353" s="68"/>
      <c r="AO353" s="69"/>
      <c r="AP353" s="127" t="e">
        <f>AM354*AJ353/SUM(AJ352:AJ354)/(AJ353*10^3*10^3)</f>
        <v>#DIV/0!</v>
      </c>
      <c r="AQ353" s="114">
        <f>AN354*AK353/SUM(AK352:AK354)/(AK353*10^3*10^3)</f>
        <v>0.20926937622871564</v>
      </c>
      <c r="AR353" s="115">
        <f>AO354*AL353/SUM(AL352:AL354)/(AL353*10^3*10^3)</f>
        <v>3.0713743620699605E-2</v>
      </c>
      <c r="AS353" s="2"/>
      <c r="AU353" s="2"/>
      <c r="AV353" s="2"/>
      <c r="AW353" s="2"/>
      <c r="AX353" s="2"/>
      <c r="AY353" s="2"/>
    </row>
    <row r="354" spans="1:51" ht="10.5" customHeight="1" x14ac:dyDescent="0.15">
      <c r="A354" s="18" t="s">
        <v>105</v>
      </c>
      <c r="B354" s="73">
        <v>1</v>
      </c>
      <c r="C354" s="70" t="s">
        <v>10</v>
      </c>
      <c r="D354" s="57" t="s">
        <v>88</v>
      </c>
      <c r="E354" s="60" t="s">
        <v>88</v>
      </c>
      <c r="F354" s="56" t="s">
        <v>88</v>
      </c>
      <c r="G354" s="57" t="s">
        <v>88</v>
      </c>
      <c r="H354" s="60" t="s">
        <v>88</v>
      </c>
      <c r="I354" s="56" t="s">
        <v>88</v>
      </c>
      <c r="J354" s="57" t="s">
        <v>20</v>
      </c>
      <c r="K354" s="58" t="s">
        <v>88</v>
      </c>
      <c r="L354" s="59" t="s">
        <v>20</v>
      </c>
      <c r="M354" s="60" t="s">
        <v>20</v>
      </c>
      <c r="N354" s="60">
        <v>120000000</v>
      </c>
      <c r="O354" s="61" t="s">
        <v>20</v>
      </c>
      <c r="Q354" s="139"/>
      <c r="R354" s="139"/>
      <c r="AF354" s="105">
        <v>40330</v>
      </c>
      <c r="AG354" s="89">
        <v>0</v>
      </c>
      <c r="AH354" s="89">
        <v>601.16300000000001</v>
      </c>
      <c r="AI354" s="96">
        <v>614.55799999999999</v>
      </c>
      <c r="AJ354" s="112">
        <f t="shared" si="26"/>
        <v>0</v>
      </c>
      <c r="AK354" s="112">
        <f t="shared" si="27"/>
        <v>1573.9540363636363</v>
      </c>
      <c r="AL354" s="113">
        <f t="shared" si="28"/>
        <v>1609.0245818181818</v>
      </c>
      <c r="AM354" s="65">
        <v>1800000000</v>
      </c>
      <c r="AN354" s="68">
        <v>1000000000</v>
      </c>
      <c r="AO354" s="69">
        <v>150000000</v>
      </c>
      <c r="AP354" s="127" t="e">
        <f>AM354*AJ354/SUM(AJ352:AJ354)/(AJ354*10^3*10^3)</f>
        <v>#DIV/0!</v>
      </c>
      <c r="AQ354" s="114">
        <f>AN354*AK354/SUM(AK352:AK354)/(AK354*10^3*10^3)</f>
        <v>0.20926937622871564</v>
      </c>
      <c r="AR354" s="115">
        <f>AO354*AL354/SUM(AL352:AL354)/(AL354*10^3*10^3)</f>
        <v>3.0713743620699605E-2</v>
      </c>
      <c r="AS354" s="2"/>
      <c r="AU354" s="2"/>
      <c r="AV354" s="2"/>
      <c r="AW354" s="2"/>
      <c r="AX354" s="2"/>
      <c r="AY354" s="2"/>
    </row>
    <row r="355" spans="1:51" ht="10.5" customHeight="1" x14ac:dyDescent="0.15">
      <c r="A355" s="23"/>
      <c r="B355" s="74">
        <v>2</v>
      </c>
      <c r="C355" s="71" t="s">
        <v>11</v>
      </c>
      <c r="D355" s="65" t="s">
        <v>88</v>
      </c>
      <c r="E355" s="68" t="s">
        <v>88</v>
      </c>
      <c r="F355" s="64" t="s">
        <v>88</v>
      </c>
      <c r="G355" s="65" t="s">
        <v>88</v>
      </c>
      <c r="H355" s="68" t="s">
        <v>88</v>
      </c>
      <c r="I355" s="64" t="s">
        <v>88</v>
      </c>
      <c r="J355" s="65" t="s">
        <v>20</v>
      </c>
      <c r="K355" s="66" t="s">
        <v>88</v>
      </c>
      <c r="L355" s="67" t="s">
        <v>20</v>
      </c>
      <c r="M355" s="68" t="s">
        <v>20</v>
      </c>
      <c r="N355" s="68">
        <v>530000000</v>
      </c>
      <c r="O355" s="69" t="s">
        <v>20</v>
      </c>
      <c r="Q355" s="139"/>
      <c r="R355" s="139"/>
      <c r="AF355" s="105">
        <v>40360</v>
      </c>
      <c r="AG355" s="89">
        <v>174.779</v>
      </c>
      <c r="AH355" s="89">
        <v>620.79399999999998</v>
      </c>
      <c r="AI355" s="96">
        <v>568.94899999999996</v>
      </c>
      <c r="AJ355" s="112">
        <f t="shared" si="26"/>
        <v>468.30098473282442</v>
      </c>
      <c r="AK355" s="112">
        <f t="shared" si="27"/>
        <v>1625.3515636363634</v>
      </c>
      <c r="AL355" s="113">
        <f t="shared" si="28"/>
        <v>1489.6119272727269</v>
      </c>
      <c r="AM355" s="65"/>
      <c r="AN355" s="68"/>
      <c r="AO355" s="124"/>
      <c r="AP355" s="127">
        <f>AM357*AJ355/SUM(AJ355:AJ357)/(AJ355*10^3*10^3)</f>
        <v>1.8323963677921942</v>
      </c>
      <c r="AQ355" s="114">
        <f>AN357*AK355/SUM(AK355:AK357)/(AK355*10^3*10^3)</f>
        <v>4.9860870041359147E-2</v>
      </c>
      <c r="AR355" s="115">
        <f>AO357*AL355/SUM(AL355:AL357)/(AL355*10^3*10^3)</f>
        <v>0</v>
      </c>
      <c r="AS355" s="2"/>
      <c r="AU355" s="2"/>
      <c r="AV355" s="2"/>
      <c r="AW355" s="2"/>
      <c r="AX355" s="2"/>
      <c r="AY355" s="2"/>
    </row>
    <row r="356" spans="1:51" ht="10.5" customHeight="1" x14ac:dyDescent="0.15">
      <c r="A356" s="23"/>
      <c r="B356" s="74">
        <v>3</v>
      </c>
      <c r="C356" s="71" t="s">
        <v>13</v>
      </c>
      <c r="D356" s="65" t="s">
        <v>88</v>
      </c>
      <c r="E356" s="68" t="s">
        <v>88</v>
      </c>
      <c r="F356" s="64" t="s">
        <v>88</v>
      </c>
      <c r="G356" s="65" t="s">
        <v>88</v>
      </c>
      <c r="H356" s="68" t="s">
        <v>88</v>
      </c>
      <c r="I356" s="64" t="s">
        <v>88</v>
      </c>
      <c r="J356" s="65" t="s">
        <v>20</v>
      </c>
      <c r="K356" s="68" t="s">
        <v>88</v>
      </c>
      <c r="L356" s="67" t="s">
        <v>20</v>
      </c>
      <c r="M356" s="68" t="s">
        <v>20</v>
      </c>
      <c r="N356" s="68">
        <v>550000000</v>
      </c>
      <c r="O356" s="69" t="s">
        <v>20</v>
      </c>
      <c r="Q356" s="139"/>
      <c r="R356" s="139"/>
      <c r="AF356" s="105">
        <v>40391</v>
      </c>
      <c r="AG356" s="89">
        <v>398.11099999999999</v>
      </c>
      <c r="AH356" s="89">
        <v>619.16700000000003</v>
      </c>
      <c r="AI356" s="96">
        <v>0</v>
      </c>
      <c r="AJ356" s="112">
        <f t="shared" si="26"/>
        <v>1066.6943587786259</v>
      </c>
      <c r="AK356" s="112">
        <f t="shared" si="27"/>
        <v>1621.0917818181817</v>
      </c>
      <c r="AL356" s="113">
        <f t="shared" si="28"/>
        <v>0</v>
      </c>
      <c r="AM356" s="65"/>
      <c r="AN356" s="68"/>
      <c r="AO356" s="124"/>
      <c r="AP356" s="127">
        <f>AM357*AJ356/SUM(AJ355:AJ357)/(AJ356*10^3*10^3)</f>
        <v>1.8323963677921942</v>
      </c>
      <c r="AQ356" s="114">
        <f>AN357*AK356/SUM(AK355:AK357)/(AK356*10^3*10^3)</f>
        <v>4.9860870041359154E-2</v>
      </c>
      <c r="AR356" s="115" t="e">
        <f>AO357*AL356/SUM(AL355:AL357)/(AL356*10^3*10^3)</f>
        <v>#DIV/0!</v>
      </c>
      <c r="AS356" s="2"/>
      <c r="AU356" s="2"/>
      <c r="AV356" s="2"/>
      <c r="AW356" s="2"/>
      <c r="AX356" s="2"/>
      <c r="AY356" s="2"/>
    </row>
    <row r="357" spans="1:51" ht="10.5" customHeight="1" x14ac:dyDescent="0.15">
      <c r="A357" s="24"/>
      <c r="B357" s="75">
        <v>4</v>
      </c>
      <c r="C357" s="19" t="s">
        <v>15</v>
      </c>
      <c r="D357" s="51" t="s">
        <v>88</v>
      </c>
      <c r="E357" s="52" t="s">
        <v>88</v>
      </c>
      <c r="F357" s="42" t="s">
        <v>88</v>
      </c>
      <c r="G357" s="51" t="s">
        <v>88</v>
      </c>
      <c r="H357" s="52" t="s">
        <v>88</v>
      </c>
      <c r="I357" s="42" t="s">
        <v>88</v>
      </c>
      <c r="J357" s="51" t="s">
        <v>20</v>
      </c>
      <c r="K357" s="50" t="s">
        <v>88</v>
      </c>
      <c r="L357" s="210" t="s">
        <v>131</v>
      </c>
      <c r="M357" s="52" t="s">
        <v>20</v>
      </c>
      <c r="N357" s="52">
        <v>770000000</v>
      </c>
      <c r="O357" s="53">
        <v>23000000</v>
      </c>
      <c r="Q357" s="139"/>
      <c r="R357" s="139"/>
      <c r="AF357" s="105">
        <v>40422</v>
      </c>
      <c r="AG357" s="89">
        <v>384.39800000000002</v>
      </c>
      <c r="AH357" s="89">
        <v>598.48800000000006</v>
      </c>
      <c r="AI357" s="96">
        <v>0</v>
      </c>
      <c r="AJ357" s="112">
        <f t="shared" si="26"/>
        <v>1029.9518931297712</v>
      </c>
      <c r="AK357" s="112">
        <f t="shared" si="27"/>
        <v>1566.9504000000002</v>
      </c>
      <c r="AL357" s="113">
        <f t="shared" si="28"/>
        <v>0</v>
      </c>
      <c r="AM357" s="65">
        <v>4700000000</v>
      </c>
      <c r="AN357" s="68">
        <v>240000000</v>
      </c>
      <c r="AO357" s="69" t="s">
        <v>88</v>
      </c>
      <c r="AP357" s="127">
        <f>AM357*AJ357/SUM(AJ355:AJ357)/(AJ357*10^3*10^3)</f>
        <v>1.8323963677921944</v>
      </c>
      <c r="AQ357" s="114">
        <f>AN357*AK357/SUM(AK355:AK357)/(AK357*10^3*10^3)</f>
        <v>4.986087004135914E-2</v>
      </c>
      <c r="AR357" s="115" t="e">
        <f>AO357*AL357/SUM(AL355:AL357)/(AL357*10^3*10^3)</f>
        <v>#DIV/0!</v>
      </c>
      <c r="AS357" s="2"/>
      <c r="AU357" s="2"/>
      <c r="AV357" s="2"/>
      <c r="AW357" s="2"/>
      <c r="AX357" s="2"/>
      <c r="AY357" s="2"/>
    </row>
    <row r="358" spans="1:51" ht="10.5" customHeight="1" x14ac:dyDescent="0.15">
      <c r="A358" s="18" t="s">
        <v>119</v>
      </c>
      <c r="B358" s="73">
        <v>1</v>
      </c>
      <c r="C358" s="70" t="s">
        <v>10</v>
      </c>
      <c r="D358" s="57"/>
      <c r="E358" s="60"/>
      <c r="F358" s="56"/>
      <c r="G358" s="57"/>
      <c r="H358" s="60"/>
      <c r="I358" s="56"/>
      <c r="J358" s="57"/>
      <c r="K358" s="58"/>
      <c r="L358" s="59"/>
      <c r="M358" s="60"/>
      <c r="N358" s="60"/>
      <c r="O358" s="61"/>
      <c r="R358" s="139"/>
      <c r="AF358" s="105">
        <v>40452</v>
      </c>
      <c r="AG358" s="89">
        <v>398.596</v>
      </c>
      <c r="AH358" s="89">
        <v>606.80600000000004</v>
      </c>
      <c r="AI358" s="96">
        <v>30.632999999999999</v>
      </c>
      <c r="AJ358" s="112">
        <f t="shared" si="26"/>
        <v>1067.9938625954198</v>
      </c>
      <c r="AK358" s="112">
        <f t="shared" si="27"/>
        <v>1588.7284363636365</v>
      </c>
      <c r="AL358" s="113">
        <f t="shared" si="28"/>
        <v>80.202763636363642</v>
      </c>
      <c r="AM358" s="65"/>
      <c r="AN358" s="68"/>
      <c r="AO358" s="124"/>
      <c r="AP358" s="127">
        <f>AM360*AJ358/SUM(AJ358:AJ360)/(AJ358*10^3*10^3)</f>
        <v>4.0892031894161676</v>
      </c>
      <c r="AQ358" s="114">
        <f>AN360*AK358/SUM(AK358:AK360)/(AK358*10^3*10^3)</f>
        <v>0</v>
      </c>
      <c r="AR358" s="115">
        <f>AO360*AL358/SUM(AL358:AL360)/(AL358*10^3*10^3)</f>
        <v>0.13162008794919547</v>
      </c>
      <c r="AS358" s="2"/>
      <c r="AU358" s="2"/>
      <c r="AV358" s="2"/>
      <c r="AW358" s="2"/>
      <c r="AX358" s="2"/>
      <c r="AY358" s="2"/>
    </row>
    <row r="359" spans="1:51" ht="10.5" customHeight="1" x14ac:dyDescent="0.15">
      <c r="A359" s="23"/>
      <c r="B359" s="74">
        <v>2</v>
      </c>
      <c r="C359" s="71" t="s">
        <v>11</v>
      </c>
      <c r="D359" s="65"/>
      <c r="E359" s="68"/>
      <c r="F359" s="64"/>
      <c r="G359" s="65"/>
      <c r="H359" s="68"/>
      <c r="I359" s="64"/>
      <c r="J359" s="65"/>
      <c r="K359" s="66"/>
      <c r="L359" s="67"/>
      <c r="M359" s="68"/>
      <c r="N359" s="68"/>
      <c r="O359" s="69"/>
      <c r="R359" s="139"/>
      <c r="AF359" s="105">
        <v>40483</v>
      </c>
      <c r="AG359" s="89">
        <v>387.25099999999998</v>
      </c>
      <c r="AH359" s="89">
        <v>89.171000000000006</v>
      </c>
      <c r="AI359" s="96">
        <v>614.58799999999997</v>
      </c>
      <c r="AJ359" s="112">
        <f t="shared" si="26"/>
        <v>1037.5961908396946</v>
      </c>
      <c r="AK359" s="112">
        <f t="shared" si="27"/>
        <v>233.46589090909092</v>
      </c>
      <c r="AL359" s="113">
        <f t="shared" si="28"/>
        <v>1609.1031272727273</v>
      </c>
      <c r="AM359" s="65"/>
      <c r="AN359" s="68"/>
      <c r="AO359" s="124"/>
      <c r="AP359" s="127">
        <f>AM360*AJ359/SUM(AJ358:AJ360)/(AJ359*10^3*10^3)</f>
        <v>4.0892031894161676</v>
      </c>
      <c r="AQ359" s="114">
        <f>AN360*AK359/SUM(AK358:AK360)/(AK359*10^3*10^3)</f>
        <v>0</v>
      </c>
      <c r="AR359" s="115">
        <f>AO360*AL359/SUM(AL358:AL360)/(AL359*10^3*10^3)</f>
        <v>0.13162008794919544</v>
      </c>
      <c r="AS359" s="2"/>
      <c r="AU359" s="2"/>
      <c r="AV359" s="2"/>
      <c r="AW359" s="2"/>
      <c r="AX359" s="2"/>
      <c r="AY359" s="2"/>
    </row>
    <row r="360" spans="1:51" ht="10.5" customHeight="1" x14ac:dyDescent="0.15">
      <c r="A360" s="23"/>
      <c r="B360" s="74">
        <v>3</v>
      </c>
      <c r="C360" s="71" t="s">
        <v>13</v>
      </c>
      <c r="D360" s="65"/>
      <c r="E360" s="68"/>
      <c r="F360" s="64"/>
      <c r="G360" s="65"/>
      <c r="H360" s="68"/>
      <c r="I360" s="64"/>
      <c r="J360" s="65"/>
      <c r="K360" s="68"/>
      <c r="L360" s="67"/>
      <c r="M360" s="68"/>
      <c r="N360" s="68"/>
      <c r="O360" s="69"/>
      <c r="AF360" s="105">
        <v>40513</v>
      </c>
      <c r="AG360" s="89">
        <v>400.65600000000001</v>
      </c>
      <c r="AH360" s="89">
        <v>0</v>
      </c>
      <c r="AI360" s="96">
        <v>631.60199999999998</v>
      </c>
      <c r="AJ360" s="112">
        <f t="shared" si="26"/>
        <v>1073.5134045801528</v>
      </c>
      <c r="AK360" s="112">
        <f t="shared" si="27"/>
        <v>0</v>
      </c>
      <c r="AL360" s="113">
        <f t="shared" si="28"/>
        <v>1653.6488727272726</v>
      </c>
      <c r="AM360" s="65">
        <v>13000000000</v>
      </c>
      <c r="AN360" s="68" t="s">
        <v>20</v>
      </c>
      <c r="AO360" s="128">
        <v>440000000.00000006</v>
      </c>
      <c r="AP360" s="127">
        <f>AM360*AJ360/SUM(AJ358:AJ360)/(AJ360*10^3*10^3)</f>
        <v>4.0892031894161676</v>
      </c>
      <c r="AQ360" s="114" t="e">
        <f>AN360*AK360/SUM(AK358:AK360)/(AK360*10^3*10^3)</f>
        <v>#DIV/0!</v>
      </c>
      <c r="AR360" s="115">
        <f>AO360*AL360/SUM(AL358:AL360)/(AL360*10^3*10^3)</f>
        <v>0.13162008794919547</v>
      </c>
      <c r="AS360" s="2"/>
      <c r="AU360" s="2"/>
      <c r="AV360" s="2"/>
      <c r="AW360" s="2"/>
      <c r="AX360" s="2"/>
      <c r="AY360" s="2"/>
    </row>
    <row r="361" spans="1:51" ht="10.5" customHeight="1" x14ac:dyDescent="0.15">
      <c r="A361" s="24"/>
      <c r="B361" s="75">
        <v>4</v>
      </c>
      <c r="C361" s="19" t="s">
        <v>15</v>
      </c>
      <c r="D361" s="51"/>
      <c r="E361" s="52"/>
      <c r="F361" s="42"/>
      <c r="G361" s="51"/>
      <c r="H361" s="52"/>
      <c r="I361" s="42"/>
      <c r="J361" s="51"/>
      <c r="K361" s="50"/>
      <c r="L361" s="43"/>
      <c r="M361" s="52"/>
      <c r="N361" s="52"/>
      <c r="O361" s="53"/>
      <c r="AF361" s="105">
        <v>40544</v>
      </c>
      <c r="AG361" s="89">
        <v>400.89299999999997</v>
      </c>
      <c r="AH361" s="89">
        <v>0</v>
      </c>
      <c r="AI361" s="96">
        <v>579.49400000000003</v>
      </c>
      <c r="AJ361" s="112">
        <f t="shared" si="26"/>
        <v>1074.1484198473283</v>
      </c>
      <c r="AK361" s="112">
        <f t="shared" si="27"/>
        <v>0</v>
      </c>
      <c r="AL361" s="113">
        <f t="shared" si="28"/>
        <v>1517.2206545454546</v>
      </c>
      <c r="AM361" s="225"/>
      <c r="AN361" s="136"/>
      <c r="AO361" s="226"/>
      <c r="AP361" s="127">
        <f>AM363*AJ361/SUM(AJ361:AJ363)/(AJ361*10^3*10^3)</f>
        <v>0</v>
      </c>
      <c r="AQ361" s="114" t="e">
        <f>AN363*AK361/SUM(AK361:AK363)/(AK361*10^3*10^3)</f>
        <v>#DIV/0!</v>
      </c>
      <c r="AR361" s="115">
        <f>AO363*AL361/SUM(AL361:AL363)/(AL361*10^3*10^3)</f>
        <v>1.5875012456947574E-2</v>
      </c>
      <c r="AS361" s="2"/>
      <c r="AU361" s="2"/>
      <c r="AV361" s="2"/>
      <c r="AW361" s="2"/>
      <c r="AX361" s="2"/>
      <c r="AY361" s="2"/>
    </row>
    <row r="362" spans="1:51" ht="10.5" customHeight="1" x14ac:dyDescent="0.15">
      <c r="A362" s="18" t="s">
        <v>120</v>
      </c>
      <c r="B362" s="73">
        <v>1</v>
      </c>
      <c r="C362" s="70" t="s">
        <v>10</v>
      </c>
      <c r="D362" s="57"/>
      <c r="E362" s="60"/>
      <c r="F362" s="56"/>
      <c r="G362" s="57"/>
      <c r="H362" s="60"/>
      <c r="I362" s="56"/>
      <c r="J362" s="57"/>
      <c r="K362" s="58"/>
      <c r="L362" s="59"/>
      <c r="M362" s="60"/>
      <c r="N362" s="60"/>
      <c r="O362" s="61"/>
      <c r="AF362" s="105">
        <v>40575</v>
      </c>
      <c r="AG362" s="89">
        <v>361.96300000000002</v>
      </c>
      <c r="AH362" s="89">
        <v>0</v>
      </c>
      <c r="AI362" s="96">
        <v>574.21600000000001</v>
      </c>
      <c r="AJ362" s="112">
        <f t="shared" si="26"/>
        <v>969.83979389312992</v>
      </c>
      <c r="AK362" s="112">
        <f t="shared" si="27"/>
        <v>0</v>
      </c>
      <c r="AL362" s="113">
        <f t="shared" si="28"/>
        <v>1503.401890909091</v>
      </c>
      <c r="AM362" s="225"/>
      <c r="AN362" s="136"/>
      <c r="AO362" s="226"/>
      <c r="AP362" s="127">
        <f>AM363*AJ362/SUM(AJ361:AJ363)/(AJ362*10^3*10^3)</f>
        <v>0</v>
      </c>
      <c r="AQ362" s="114" t="e">
        <f>AN363*AK362/SUM(AK361:AK363)/(AK362*10^3*10^3)</f>
        <v>#DIV/0!</v>
      </c>
      <c r="AR362" s="115">
        <f>AO363*AL362/SUM(AL361:AL363)/(AL362*10^3*10^3)</f>
        <v>1.5875012456947574E-2</v>
      </c>
      <c r="AS362" s="2"/>
      <c r="AU362" s="2"/>
      <c r="AV362" s="2"/>
      <c r="AW362" s="2"/>
      <c r="AX362" s="2"/>
      <c r="AY362" s="2"/>
    </row>
    <row r="363" spans="1:51" ht="10.5" customHeight="1" x14ac:dyDescent="0.15">
      <c r="A363" s="23"/>
      <c r="B363" s="74">
        <v>2</v>
      </c>
      <c r="C363" s="71" t="s">
        <v>11</v>
      </c>
      <c r="D363" s="65"/>
      <c r="E363" s="68"/>
      <c r="F363" s="64"/>
      <c r="G363" s="65"/>
      <c r="H363" s="68"/>
      <c r="I363" s="64"/>
      <c r="J363" s="65"/>
      <c r="K363" s="66"/>
      <c r="L363" s="67"/>
      <c r="M363" s="68"/>
      <c r="N363" s="68"/>
      <c r="O363" s="69"/>
      <c r="AF363" s="105">
        <v>40603</v>
      </c>
      <c r="AG363" s="89">
        <v>137.21600000000001</v>
      </c>
      <c r="AH363" s="89">
        <v>0</v>
      </c>
      <c r="AI363" s="96">
        <v>217.68</v>
      </c>
      <c r="AJ363" s="112">
        <f t="shared" si="26"/>
        <v>367.65508396946575</v>
      </c>
      <c r="AK363" s="112">
        <f t="shared" si="27"/>
        <v>0</v>
      </c>
      <c r="AL363" s="113">
        <f t="shared" si="28"/>
        <v>569.92581818181827</v>
      </c>
      <c r="AM363" s="65" t="s">
        <v>20</v>
      </c>
      <c r="AN363" s="68" t="s">
        <v>20</v>
      </c>
      <c r="AO363" s="128">
        <v>57000000</v>
      </c>
      <c r="AP363" s="127">
        <f>AM363*AJ363/SUM(AJ361:AJ363)/(AJ363*10^3*10^3)</f>
        <v>0</v>
      </c>
      <c r="AQ363" s="114" t="e">
        <f>AN363*AK363/SUM(AK361:AK363)/(AK363*10^3*10^3)</f>
        <v>#DIV/0!</v>
      </c>
      <c r="AR363" s="115">
        <f>AO363*AL363/SUM(AL361:AL363)/(AL363*10^3*10^3)</f>
        <v>1.5875012456947574E-2</v>
      </c>
      <c r="AS363" s="82"/>
      <c r="AU363" s="2"/>
      <c r="AV363" s="2"/>
      <c r="AW363" s="2"/>
      <c r="AX363" s="2"/>
      <c r="AY363" s="2"/>
    </row>
    <row r="364" spans="1:51" ht="10.5" customHeight="1" x14ac:dyDescent="0.15">
      <c r="A364" s="23"/>
      <c r="B364" s="74">
        <v>3</v>
      </c>
      <c r="C364" s="71" t="s">
        <v>13</v>
      </c>
      <c r="D364" s="65"/>
      <c r="E364" s="68"/>
      <c r="F364" s="64"/>
      <c r="G364" s="65"/>
      <c r="H364" s="68"/>
      <c r="I364" s="64"/>
      <c r="J364" s="65"/>
      <c r="K364" s="68"/>
      <c r="L364" s="67"/>
      <c r="M364" s="68"/>
      <c r="N364" s="68"/>
      <c r="O364" s="69"/>
      <c r="AF364" s="104">
        <v>40634</v>
      </c>
      <c r="AG364" s="89">
        <v>0</v>
      </c>
      <c r="AH364" s="89">
        <v>0</v>
      </c>
      <c r="AI364" s="96">
        <v>0</v>
      </c>
      <c r="AJ364" s="112">
        <f t="shared" si="26"/>
        <v>0</v>
      </c>
      <c r="AK364" s="112">
        <f t="shared" si="27"/>
        <v>0</v>
      </c>
      <c r="AL364" s="113">
        <f t="shared" si="28"/>
        <v>0</v>
      </c>
      <c r="AM364" s="225"/>
      <c r="AN364" s="136"/>
      <c r="AO364" s="226"/>
      <c r="AP364" s="114" t="e">
        <f>AM367*AJ364/SUM(AJ364:AJ367)/(AJ364*10^3*10^3)</f>
        <v>#DIV/0!</v>
      </c>
      <c r="AQ364" s="115" t="e">
        <f>AN367*AK364/SUM(AK364:AK367)/(AK364*10^3*10^3)</f>
        <v>#DIV/0!</v>
      </c>
      <c r="AR364" s="114" t="e">
        <f>AO367*AL364/SUM(AL364:AL367)/(AL364*10^3*10^3)</f>
        <v>#DIV/0!</v>
      </c>
      <c r="AS364" s="82"/>
      <c r="AU364" s="2"/>
      <c r="AV364" s="2"/>
      <c r="AW364" s="2"/>
      <c r="AX364" s="2"/>
      <c r="AY364" s="2"/>
    </row>
    <row r="365" spans="1:51" ht="10.5" customHeight="1" x14ac:dyDescent="0.15">
      <c r="A365" s="24"/>
      <c r="B365" s="75">
        <v>4</v>
      </c>
      <c r="C365" s="19" t="s">
        <v>15</v>
      </c>
      <c r="D365" s="51"/>
      <c r="E365" s="52"/>
      <c r="F365" s="42"/>
      <c r="G365" s="51"/>
      <c r="H365" s="52"/>
      <c r="I365" s="42"/>
      <c r="J365" s="51"/>
      <c r="K365" s="50"/>
      <c r="L365" s="43"/>
      <c r="M365" s="140"/>
      <c r="N365" s="140"/>
      <c r="O365" s="141"/>
      <c r="AF365" s="104">
        <v>40664</v>
      </c>
      <c r="AG365" s="89">
        <v>0</v>
      </c>
      <c r="AH365" s="89">
        <v>0</v>
      </c>
      <c r="AI365" s="96">
        <v>0</v>
      </c>
      <c r="AJ365" s="112">
        <f t="shared" si="26"/>
        <v>0</v>
      </c>
      <c r="AK365" s="112">
        <f t="shared" si="27"/>
        <v>0</v>
      </c>
      <c r="AL365" s="113">
        <f t="shared" si="28"/>
        <v>0</v>
      </c>
      <c r="AM365" s="225"/>
      <c r="AN365" s="136"/>
      <c r="AO365" s="226"/>
      <c r="AP365" s="114" t="e">
        <f>AM367*AJ365/SUM(AJ364:AJ367)/(AJ365*10^3*10^3)</f>
        <v>#DIV/0!</v>
      </c>
      <c r="AQ365" s="115" t="e">
        <f>AN367*AK365/SUM(AK364:AK367)/(AK365*10^3*10^3)</f>
        <v>#DIV/0!</v>
      </c>
      <c r="AR365" s="114" t="e">
        <f>AO367*AL365/SUM(AL364:AL367)/(AL365*10^3*10^3)</f>
        <v>#DIV/0!</v>
      </c>
      <c r="AS365" s="82"/>
      <c r="AU365" s="2"/>
      <c r="AV365" s="2"/>
      <c r="AW365" s="2"/>
      <c r="AX365" s="2"/>
      <c r="AY365" s="2"/>
    </row>
    <row r="366" spans="1:51" ht="10.5" customHeight="1" x14ac:dyDescent="0.15">
      <c r="A366" s="23" t="s">
        <v>127</v>
      </c>
      <c r="B366" s="137"/>
      <c r="C366" s="138"/>
      <c r="D366" s="237">
        <v>3800000000000000</v>
      </c>
      <c r="E366" s="238"/>
      <c r="F366" s="238"/>
      <c r="G366" s="237">
        <f>1.3*10^11</f>
        <v>130000000000</v>
      </c>
      <c r="H366" s="238"/>
      <c r="I366" s="238"/>
      <c r="J366" s="237">
        <f>1.1*10^10</f>
        <v>11000000000</v>
      </c>
      <c r="K366" s="238"/>
      <c r="L366" s="238"/>
      <c r="M366" s="237">
        <f>1.11*10^13</f>
        <v>11100000000000</v>
      </c>
      <c r="N366" s="238"/>
      <c r="O366" s="239"/>
      <c r="AF366" s="104">
        <v>40695</v>
      </c>
      <c r="AG366" s="89">
        <v>0</v>
      </c>
      <c r="AH366" s="89">
        <v>0</v>
      </c>
      <c r="AI366" s="96">
        <v>0</v>
      </c>
      <c r="AJ366" s="112">
        <v>0</v>
      </c>
      <c r="AK366" s="112">
        <v>0</v>
      </c>
      <c r="AL366" s="113">
        <v>0</v>
      </c>
      <c r="AM366" s="65" t="s">
        <v>20</v>
      </c>
      <c r="AN366" s="68" t="s">
        <v>20</v>
      </c>
      <c r="AO366" s="226" t="s">
        <v>20</v>
      </c>
      <c r="AP366" s="114" t="e">
        <v>#DIV/0!</v>
      </c>
      <c r="AQ366" s="115" t="e">
        <v>#DIV/0!</v>
      </c>
      <c r="AR366" s="114" t="e">
        <v>#DIV/0!</v>
      </c>
      <c r="AS366" s="82"/>
      <c r="AU366" s="2"/>
      <c r="AV366" s="2"/>
      <c r="AW366" s="2"/>
      <c r="AX366" s="2"/>
      <c r="AY366" s="2"/>
    </row>
    <row r="367" spans="1:51" ht="10.5" customHeight="1" x14ac:dyDescent="0.15">
      <c r="A367" s="7"/>
      <c r="B367" s="72"/>
      <c r="C367" s="38"/>
      <c r="D367" s="8" t="s">
        <v>42</v>
      </c>
      <c r="E367" s="8"/>
      <c r="F367" s="8"/>
      <c r="G367" s="9"/>
      <c r="H367" s="9"/>
      <c r="I367" s="10"/>
      <c r="J367" s="9" t="s">
        <v>43</v>
      </c>
      <c r="K367" s="9"/>
      <c r="L367" s="9"/>
      <c r="M367" s="9"/>
      <c r="N367" s="9"/>
      <c r="O367" s="10"/>
      <c r="AF367" s="104">
        <v>40725</v>
      </c>
      <c r="AG367" s="89">
        <v>0</v>
      </c>
      <c r="AH367" s="89">
        <v>0</v>
      </c>
      <c r="AI367" s="96">
        <v>0</v>
      </c>
      <c r="AJ367" s="112">
        <v>0</v>
      </c>
      <c r="AK367" s="112">
        <v>0</v>
      </c>
      <c r="AL367" s="113">
        <v>0</v>
      </c>
      <c r="AM367" s="65"/>
      <c r="AN367" s="68"/>
      <c r="AO367" s="128"/>
      <c r="AP367" s="114" t="e">
        <v>#DIV/0!</v>
      </c>
      <c r="AQ367" s="115" t="e">
        <v>#DIV/0!</v>
      </c>
      <c r="AR367" s="114" t="e">
        <v>#DIV/0!</v>
      </c>
      <c r="AS367" s="82"/>
      <c r="AU367" s="2"/>
      <c r="AV367" s="2"/>
      <c r="AW367" s="2"/>
      <c r="AX367" s="2"/>
      <c r="AY367" s="2"/>
    </row>
    <row r="368" spans="1:51" ht="10.5" customHeight="1" x14ac:dyDescent="0.15">
      <c r="A368" s="11"/>
      <c r="B368" s="14"/>
      <c r="C368" s="39"/>
      <c r="D368" s="37" t="s">
        <v>45</v>
      </c>
      <c r="E368" s="8"/>
      <c r="F368" s="12"/>
      <c r="G368" s="30" t="s">
        <v>46</v>
      </c>
      <c r="H368" s="9"/>
      <c r="I368" s="13"/>
      <c r="J368" s="30" t="s">
        <v>130</v>
      </c>
      <c r="K368" s="9"/>
      <c r="L368" s="13"/>
      <c r="M368" s="30" t="s">
        <v>126</v>
      </c>
      <c r="N368" s="9"/>
      <c r="O368" s="13"/>
      <c r="AF368" s="104">
        <v>40756</v>
      </c>
      <c r="AG368" s="89">
        <v>0</v>
      </c>
      <c r="AH368" s="89">
        <v>0</v>
      </c>
      <c r="AI368" s="96">
        <v>0</v>
      </c>
      <c r="AJ368" s="112">
        <v>0</v>
      </c>
      <c r="AK368" s="112">
        <v>0</v>
      </c>
      <c r="AL368" s="113">
        <v>0</v>
      </c>
      <c r="AM368" s="225"/>
      <c r="AN368" s="136"/>
      <c r="AO368" s="226"/>
      <c r="AP368" s="114" t="e">
        <v>#DIV/0!</v>
      </c>
      <c r="AQ368" s="115" t="e">
        <v>#DIV/0!</v>
      </c>
      <c r="AR368" s="114" t="e">
        <v>#DIV/0!</v>
      </c>
      <c r="AS368" s="82"/>
      <c r="AU368" s="2"/>
      <c r="AV368" s="2"/>
      <c r="AW368" s="2"/>
      <c r="AX368" s="2"/>
      <c r="AY368" s="2"/>
    </row>
    <row r="369" spans="1:51" ht="10.5" customHeight="1" x14ac:dyDescent="0.15">
      <c r="A369" s="37"/>
      <c r="B369" s="8"/>
      <c r="C369" s="40"/>
      <c r="D369" s="36" t="s">
        <v>1</v>
      </c>
      <c r="E369" s="36" t="s">
        <v>2</v>
      </c>
      <c r="F369" s="36" t="s">
        <v>36</v>
      </c>
      <c r="G369" s="36" t="s">
        <v>1</v>
      </c>
      <c r="H369" s="36" t="s">
        <v>2</v>
      </c>
      <c r="I369" s="36" t="s">
        <v>36</v>
      </c>
      <c r="J369" s="36" t="s">
        <v>1</v>
      </c>
      <c r="K369" s="36" t="s">
        <v>2</v>
      </c>
      <c r="L369" s="36" t="s">
        <v>36</v>
      </c>
      <c r="M369" s="36" t="s">
        <v>1</v>
      </c>
      <c r="N369" s="36" t="s">
        <v>2</v>
      </c>
      <c r="O369" s="36" t="s">
        <v>36</v>
      </c>
      <c r="AF369" s="104">
        <v>40787</v>
      </c>
      <c r="AG369" s="89">
        <v>0</v>
      </c>
      <c r="AH369" s="89">
        <v>0</v>
      </c>
      <c r="AI369" s="96">
        <v>0</v>
      </c>
      <c r="AJ369" s="112">
        <v>0</v>
      </c>
      <c r="AK369" s="112">
        <v>0</v>
      </c>
      <c r="AL369" s="113">
        <v>0</v>
      </c>
      <c r="AM369" s="65" t="s">
        <v>20</v>
      </c>
      <c r="AN369" s="68" t="s">
        <v>20</v>
      </c>
      <c r="AO369" s="128">
        <v>15000000</v>
      </c>
      <c r="AP369" s="114" t="e">
        <v>#DIV/0!</v>
      </c>
      <c r="AQ369" s="115" t="e">
        <v>#DIV/0!</v>
      </c>
      <c r="AR369" s="114" t="e">
        <v>#DIV/0!</v>
      </c>
      <c r="AS369" s="82"/>
      <c r="AU369" s="2"/>
      <c r="AV369" s="2"/>
      <c r="AW369" s="2"/>
      <c r="AX369" s="2"/>
      <c r="AY369" s="2"/>
    </row>
    <row r="370" spans="1:51" ht="10.5" customHeight="1" x14ac:dyDescent="0.15">
      <c r="C370" s="80" t="s">
        <v>68</v>
      </c>
      <c r="D370" s="3" t="s">
        <v>65</v>
      </c>
      <c r="E370" s="20"/>
      <c r="F370" s="20"/>
      <c r="G370" s="20"/>
      <c r="H370" s="20"/>
      <c r="I370" s="20"/>
      <c r="J370" s="20"/>
      <c r="O370" s="20"/>
      <c r="AF370" s="104">
        <v>40817</v>
      </c>
      <c r="AG370" s="89">
        <v>0</v>
      </c>
      <c r="AH370" s="89">
        <v>0</v>
      </c>
      <c r="AI370" s="96">
        <v>0</v>
      </c>
      <c r="AJ370" s="112">
        <v>0</v>
      </c>
      <c r="AK370" s="112">
        <v>0</v>
      </c>
      <c r="AL370" s="113">
        <v>0</v>
      </c>
      <c r="AM370" s="65"/>
      <c r="AN370" s="68"/>
      <c r="AO370" s="128"/>
      <c r="AP370" s="114" t="e">
        <v>#DIV/0!</v>
      </c>
      <c r="AQ370" s="115" t="e">
        <v>#DIV/0!</v>
      </c>
      <c r="AR370" s="114" t="e">
        <v>#DIV/0!</v>
      </c>
      <c r="AS370" s="82"/>
      <c r="AU370" s="2"/>
      <c r="AV370" s="2"/>
      <c r="AW370" s="2"/>
      <c r="AX370" s="2"/>
      <c r="AY370" s="2"/>
    </row>
    <row r="371" spans="1:51" ht="10.5" customHeight="1" x14ac:dyDescent="0.15">
      <c r="C371" s="80" t="s">
        <v>69</v>
      </c>
      <c r="D371" s="3" t="s">
        <v>66</v>
      </c>
      <c r="AF371" s="104">
        <v>40848</v>
      </c>
      <c r="AG371" s="89">
        <v>0</v>
      </c>
      <c r="AH371" s="89">
        <v>0</v>
      </c>
      <c r="AI371" s="96">
        <v>0</v>
      </c>
      <c r="AJ371" s="112">
        <v>0</v>
      </c>
      <c r="AK371" s="112">
        <v>0</v>
      </c>
      <c r="AL371" s="113">
        <v>0</v>
      </c>
      <c r="AM371" s="225"/>
      <c r="AN371" s="136"/>
      <c r="AO371" s="226"/>
      <c r="AP371" s="114" t="e">
        <v>#DIV/0!</v>
      </c>
      <c r="AQ371" s="115" t="e">
        <v>#DIV/0!</v>
      </c>
      <c r="AR371" s="114" t="e">
        <v>#DIV/0!</v>
      </c>
      <c r="AS371" s="82"/>
      <c r="AU371" s="2"/>
      <c r="AV371" s="2"/>
      <c r="AW371" s="2"/>
      <c r="AX371" s="2"/>
      <c r="AY371" s="2"/>
    </row>
    <row r="372" spans="1:51" ht="10.5" customHeight="1" x14ac:dyDescent="0.15">
      <c r="C372" s="80" t="s">
        <v>70</v>
      </c>
      <c r="D372" s="3" t="s">
        <v>78</v>
      </c>
      <c r="AF372" s="104">
        <v>40878</v>
      </c>
      <c r="AG372" s="89">
        <v>0</v>
      </c>
      <c r="AH372" s="89">
        <v>0</v>
      </c>
      <c r="AI372" s="96">
        <v>0</v>
      </c>
      <c r="AJ372" s="112">
        <v>0</v>
      </c>
      <c r="AK372" s="112">
        <v>0</v>
      </c>
      <c r="AL372" s="113">
        <v>0</v>
      </c>
      <c r="AM372" s="65" t="s">
        <v>20</v>
      </c>
      <c r="AN372" s="68">
        <v>6100000000</v>
      </c>
      <c r="AO372" s="128">
        <v>39000000</v>
      </c>
      <c r="AP372" s="114" t="e">
        <v>#DIV/0!</v>
      </c>
      <c r="AQ372" s="115" t="e">
        <v>#DIV/0!</v>
      </c>
      <c r="AR372" s="114" t="e">
        <v>#DIV/0!</v>
      </c>
      <c r="AS372" s="82"/>
      <c r="AU372" s="2"/>
      <c r="AV372" s="2"/>
      <c r="AW372" s="2"/>
      <c r="AX372" s="2"/>
      <c r="AY372" s="2"/>
    </row>
    <row r="373" spans="1:51" ht="10.5" customHeight="1" x14ac:dyDescent="0.15">
      <c r="C373" s="80" t="s">
        <v>71</v>
      </c>
      <c r="D373" s="3" t="s">
        <v>75</v>
      </c>
      <c r="AF373" s="104">
        <v>40909</v>
      </c>
      <c r="AG373" s="89">
        <v>0</v>
      </c>
      <c r="AH373" s="89">
        <v>0</v>
      </c>
      <c r="AI373" s="96">
        <v>0</v>
      </c>
      <c r="AJ373" s="112">
        <v>0</v>
      </c>
      <c r="AK373" s="112">
        <v>0</v>
      </c>
      <c r="AL373" s="113">
        <v>0</v>
      </c>
      <c r="AM373" s="65"/>
      <c r="AN373" s="68"/>
      <c r="AO373" s="128"/>
      <c r="AP373" s="114" t="e">
        <v>#DIV/0!</v>
      </c>
      <c r="AQ373" s="115" t="e">
        <v>#DIV/0!</v>
      </c>
      <c r="AR373" s="114" t="e">
        <v>#DIV/0!</v>
      </c>
      <c r="AS373" s="82"/>
      <c r="AU373" s="2"/>
      <c r="AV373" s="2"/>
      <c r="AW373" s="2"/>
      <c r="AX373" s="2"/>
      <c r="AY373" s="2"/>
    </row>
    <row r="374" spans="1:51" ht="10.5" customHeight="1" x14ac:dyDescent="0.15">
      <c r="C374" s="80" t="s">
        <v>72</v>
      </c>
      <c r="D374" s="4" t="s">
        <v>89</v>
      </c>
      <c r="AF374" s="104">
        <v>40940</v>
      </c>
      <c r="AG374" s="89">
        <v>0</v>
      </c>
      <c r="AH374" s="89">
        <v>0</v>
      </c>
      <c r="AI374" s="96">
        <v>0</v>
      </c>
      <c r="AJ374" s="112">
        <v>0</v>
      </c>
      <c r="AK374" s="112">
        <v>0</v>
      </c>
      <c r="AL374" s="113">
        <v>0</v>
      </c>
      <c r="AM374" s="225"/>
      <c r="AN374" s="136"/>
      <c r="AO374" s="226"/>
      <c r="AP374" s="126" t="e">
        <v>#DIV/0!</v>
      </c>
      <c r="AQ374" s="115" t="e">
        <v>#DIV/0!</v>
      </c>
      <c r="AR374" s="114" t="e">
        <v>#DIV/0!</v>
      </c>
      <c r="AS374" s="82"/>
      <c r="AU374" s="2"/>
      <c r="AV374" s="2"/>
      <c r="AW374" s="2"/>
      <c r="AX374" s="2"/>
      <c r="AY374" s="2"/>
    </row>
    <row r="375" spans="1:51" ht="10.5" customHeight="1" x14ac:dyDescent="0.15">
      <c r="C375" s="80" t="s">
        <v>73</v>
      </c>
      <c r="D375" s="34" t="s">
        <v>100</v>
      </c>
      <c r="AF375" s="104">
        <v>40969</v>
      </c>
      <c r="AG375" s="89">
        <v>0</v>
      </c>
      <c r="AH375" s="89">
        <v>0</v>
      </c>
      <c r="AI375" s="96">
        <v>0</v>
      </c>
      <c r="AJ375" s="112">
        <v>0</v>
      </c>
      <c r="AK375" s="112">
        <v>0</v>
      </c>
      <c r="AL375" s="113">
        <v>0</v>
      </c>
      <c r="AM375" s="65" t="s">
        <v>20</v>
      </c>
      <c r="AN375" s="68">
        <v>2200000000</v>
      </c>
      <c r="AO375" s="128">
        <v>49000000</v>
      </c>
      <c r="AP375" s="126" t="e">
        <v>#DIV/0!</v>
      </c>
      <c r="AQ375" s="115" t="e">
        <v>#DIV/0!</v>
      </c>
      <c r="AR375" s="114" t="e">
        <v>#DIV/0!</v>
      </c>
      <c r="AS375" s="82"/>
      <c r="AU375" s="2"/>
      <c r="AV375" s="2"/>
      <c r="AW375" s="2"/>
      <c r="AX375" s="2"/>
      <c r="AY375" s="2"/>
    </row>
    <row r="376" spans="1:51" ht="10.5" customHeight="1" x14ac:dyDescent="0.15">
      <c r="C376" s="80" t="s">
        <v>74</v>
      </c>
      <c r="D376" s="3" t="s">
        <v>77</v>
      </c>
      <c r="AF376" s="104">
        <v>41000</v>
      </c>
      <c r="AG376" s="89">
        <v>0</v>
      </c>
      <c r="AH376" s="89">
        <v>0</v>
      </c>
      <c r="AI376" s="96">
        <v>0</v>
      </c>
      <c r="AJ376" s="112">
        <v>0</v>
      </c>
      <c r="AK376" s="112">
        <v>0</v>
      </c>
      <c r="AL376" s="113">
        <v>0</v>
      </c>
      <c r="AM376" s="231"/>
      <c r="AN376" s="231"/>
      <c r="AO376" s="231"/>
      <c r="AP376" s="126" t="e">
        <v>#DIV/0!</v>
      </c>
      <c r="AQ376" s="115" t="e">
        <v>#DIV/0!</v>
      </c>
      <c r="AR376" s="114" t="e">
        <v>#DIV/0!</v>
      </c>
      <c r="AS376" s="82"/>
      <c r="AU376" s="2"/>
      <c r="AV376" s="2"/>
      <c r="AW376" s="2"/>
      <c r="AX376" s="2"/>
      <c r="AY376" s="2"/>
    </row>
    <row r="377" spans="1:51" ht="10.5" customHeight="1" x14ac:dyDescent="0.15">
      <c r="C377" s="80" t="s">
        <v>90</v>
      </c>
      <c r="D377" s="4" t="s">
        <v>91</v>
      </c>
      <c r="AD377" s="105">
        <v>41030</v>
      </c>
      <c r="AF377" s="105">
        <v>41030</v>
      </c>
      <c r="AG377" s="91">
        <v>0</v>
      </c>
      <c r="AH377" s="91">
        <v>0</v>
      </c>
      <c r="AI377" s="98">
        <v>0</v>
      </c>
      <c r="AJ377" s="94">
        <v>0</v>
      </c>
      <c r="AK377" s="91">
        <v>0</v>
      </c>
      <c r="AL377" s="98">
        <v>0</v>
      </c>
      <c r="AM377" s="231"/>
      <c r="AN377" s="231"/>
      <c r="AO377" s="231"/>
      <c r="AP377" s="127" t="e">
        <v>#DIV/0!</v>
      </c>
      <c r="AQ377" s="114" t="e">
        <v>#DIV/0!</v>
      </c>
      <c r="AR377" s="115" t="e">
        <v>#DIV/0!</v>
      </c>
      <c r="AS377" s="2"/>
      <c r="AU377" s="2"/>
      <c r="AV377" s="2"/>
      <c r="AW377" s="2"/>
      <c r="AX377" s="2"/>
      <c r="AY377" s="2"/>
    </row>
    <row r="378" spans="1:51" ht="10.5" customHeight="1" x14ac:dyDescent="0.15">
      <c r="C378" s="80" t="s">
        <v>96</v>
      </c>
      <c r="D378" s="129" t="s">
        <v>139</v>
      </c>
      <c r="AD378" s="105">
        <v>41061</v>
      </c>
      <c r="AF378" s="105">
        <v>41061</v>
      </c>
      <c r="AG378" s="91">
        <v>0</v>
      </c>
      <c r="AH378" s="91">
        <v>0</v>
      </c>
      <c r="AI378" s="98">
        <v>0</v>
      </c>
      <c r="AJ378" s="94">
        <v>0</v>
      </c>
      <c r="AK378" s="91">
        <v>0</v>
      </c>
      <c r="AL378" s="98">
        <v>0</v>
      </c>
      <c r="AM378" s="65" t="s">
        <v>20</v>
      </c>
      <c r="AN378" s="68">
        <v>5100000000</v>
      </c>
      <c r="AO378" s="128">
        <v>52000000</v>
      </c>
      <c r="AP378" s="127" t="e">
        <v>#DIV/0!</v>
      </c>
      <c r="AQ378" s="114" t="e">
        <v>#DIV/0!</v>
      </c>
      <c r="AR378" s="115" t="e">
        <v>#DIV/0!</v>
      </c>
      <c r="AS378" s="2"/>
      <c r="AU378" s="2"/>
      <c r="AV378" s="2"/>
      <c r="AW378" s="2"/>
      <c r="AX378" s="2"/>
      <c r="AY378" s="2"/>
    </row>
    <row r="379" spans="1:51" ht="10.5" customHeight="1" x14ac:dyDescent="0.15">
      <c r="C379" s="80" t="s">
        <v>96</v>
      </c>
      <c r="D379" s="4" t="s">
        <v>125</v>
      </c>
      <c r="AD379" s="105">
        <v>41091</v>
      </c>
      <c r="AF379" s="105">
        <v>41091</v>
      </c>
      <c r="AG379" s="90">
        <v>0</v>
      </c>
      <c r="AH379" s="90">
        <v>0</v>
      </c>
      <c r="AI379" s="99">
        <v>0</v>
      </c>
      <c r="AJ379" s="95">
        <v>0</v>
      </c>
      <c r="AK379" s="90">
        <v>0</v>
      </c>
      <c r="AL379" s="99">
        <v>0</v>
      </c>
      <c r="AM379" s="65"/>
      <c r="AN379" s="68"/>
      <c r="AO379" s="69"/>
      <c r="AP379" s="127" t="e">
        <v>#DIV/0!</v>
      </c>
      <c r="AQ379" s="114" t="e">
        <v>#DIV/0!</v>
      </c>
      <c r="AR379" s="115" t="e">
        <v>#DIV/0!</v>
      </c>
      <c r="AS379" s="2"/>
      <c r="AU379" s="2"/>
      <c r="AV379" s="2"/>
      <c r="AW379" s="2"/>
      <c r="AX379" s="2"/>
      <c r="AY379" s="2"/>
    </row>
    <row r="380" spans="1:51" ht="10.5" customHeight="1" x14ac:dyDescent="0.15">
      <c r="C380" s="80" t="s">
        <v>96</v>
      </c>
      <c r="D380" s="4" t="s">
        <v>140</v>
      </c>
      <c r="AD380" s="105">
        <v>41122</v>
      </c>
      <c r="AF380" s="105">
        <v>41122</v>
      </c>
      <c r="AG380" s="90">
        <v>0</v>
      </c>
      <c r="AH380" s="90">
        <v>0</v>
      </c>
      <c r="AI380" s="99">
        <v>0</v>
      </c>
      <c r="AJ380" s="95">
        <v>0</v>
      </c>
      <c r="AK380" s="90">
        <v>0</v>
      </c>
      <c r="AL380" s="99">
        <v>0</v>
      </c>
      <c r="AM380" s="65"/>
      <c r="AN380" s="68"/>
      <c r="AO380" s="69"/>
      <c r="AP380" s="127" t="e">
        <v>#DIV/0!</v>
      </c>
      <c r="AQ380" s="114" t="e">
        <v>#DIV/0!</v>
      </c>
      <c r="AR380" s="115" t="e">
        <v>#DIV/0!</v>
      </c>
      <c r="AS380" s="2"/>
      <c r="AU380" s="2"/>
      <c r="AV380" s="2"/>
      <c r="AW380" s="2"/>
      <c r="AX380" s="2"/>
      <c r="AY380" s="2"/>
    </row>
    <row r="381" spans="1:51" ht="10.5" customHeight="1" x14ac:dyDescent="0.15">
      <c r="C381" s="80" t="s">
        <v>96</v>
      </c>
      <c r="D381" s="4" t="s">
        <v>128</v>
      </c>
      <c r="AD381" s="105">
        <v>41153</v>
      </c>
      <c r="AF381" s="105">
        <v>41153</v>
      </c>
      <c r="AG381" s="90">
        <v>0</v>
      </c>
      <c r="AH381" s="90">
        <v>0</v>
      </c>
      <c r="AI381" s="99">
        <v>0</v>
      </c>
      <c r="AJ381" s="95">
        <v>0</v>
      </c>
      <c r="AK381" s="90">
        <v>0</v>
      </c>
      <c r="AL381" s="99">
        <v>0</v>
      </c>
      <c r="AM381" s="65" t="s">
        <v>20</v>
      </c>
      <c r="AN381" s="68">
        <v>2900000000</v>
      </c>
      <c r="AO381" s="69">
        <v>24000000</v>
      </c>
      <c r="AP381" s="127" t="e">
        <v>#DIV/0!</v>
      </c>
      <c r="AQ381" s="114" t="e">
        <v>#DIV/0!</v>
      </c>
      <c r="AR381" s="115" t="e">
        <v>#DIV/0!</v>
      </c>
      <c r="AS381" s="2"/>
      <c r="AU381" s="2"/>
      <c r="AV381" s="2"/>
      <c r="AW381" s="2"/>
      <c r="AX381" s="2"/>
      <c r="AY381" s="2"/>
    </row>
    <row r="382" spans="1:51" ht="10.5" customHeight="1" x14ac:dyDescent="0.15">
      <c r="C382" s="80" t="s">
        <v>96</v>
      </c>
      <c r="D382" s="4"/>
      <c r="AD382" s="105">
        <v>41183</v>
      </c>
      <c r="AF382" s="105">
        <v>41183</v>
      </c>
      <c r="AG382" s="90">
        <v>0</v>
      </c>
      <c r="AH382" s="90">
        <v>0</v>
      </c>
      <c r="AI382" s="99">
        <v>0</v>
      </c>
      <c r="AJ382" s="95">
        <v>0</v>
      </c>
      <c r="AK382" s="90">
        <v>0</v>
      </c>
      <c r="AL382" s="99">
        <v>0</v>
      </c>
      <c r="AM382" s="65"/>
      <c r="AN382" s="68"/>
      <c r="AO382" s="124"/>
      <c r="AP382" s="127" t="e">
        <v>#DIV/0!</v>
      </c>
      <c r="AQ382" s="114" t="e">
        <v>#DIV/0!</v>
      </c>
      <c r="AR382" s="115" t="e">
        <v>#DIV/0!</v>
      </c>
      <c r="AS382" s="2"/>
      <c r="AU382" s="2"/>
      <c r="AV382" s="2"/>
      <c r="AW382" s="2"/>
      <c r="AX382" s="2"/>
      <c r="AY382" s="2"/>
    </row>
    <row r="383" spans="1:51" ht="10.5" customHeight="1" x14ac:dyDescent="0.15">
      <c r="C383" s="80"/>
      <c r="D383" s="4"/>
      <c r="AD383" s="105">
        <v>41214</v>
      </c>
      <c r="AF383" s="105">
        <v>41214</v>
      </c>
      <c r="AG383" s="90">
        <v>0</v>
      </c>
      <c r="AH383" s="90">
        <v>0</v>
      </c>
      <c r="AI383" s="99">
        <v>0</v>
      </c>
      <c r="AJ383" s="95">
        <v>0</v>
      </c>
      <c r="AK383" s="90">
        <v>0</v>
      </c>
      <c r="AL383" s="99">
        <v>0</v>
      </c>
      <c r="AM383" s="65"/>
      <c r="AN383" s="68"/>
      <c r="AO383" s="124"/>
      <c r="AP383" s="127" t="e">
        <v>#DIV/0!</v>
      </c>
      <c r="AQ383" s="114" t="e">
        <v>#DIV/0!</v>
      </c>
      <c r="AR383" s="115" t="e">
        <v>#DIV/0!</v>
      </c>
      <c r="AS383" s="2"/>
      <c r="AU383" s="2"/>
      <c r="AV383" s="2"/>
      <c r="AW383" s="2"/>
      <c r="AX383" s="2"/>
      <c r="AY383" s="2"/>
    </row>
    <row r="384" spans="1:51" ht="10.5" customHeight="1" x14ac:dyDescent="0.15">
      <c r="C384" s="80"/>
      <c r="D384" s="4"/>
      <c r="AD384" s="105">
        <v>41244</v>
      </c>
      <c r="AF384" s="105">
        <v>41244</v>
      </c>
      <c r="AG384" s="90">
        <v>0</v>
      </c>
      <c r="AH384" s="90">
        <v>0</v>
      </c>
      <c r="AI384" s="99">
        <v>0</v>
      </c>
      <c r="AJ384" s="95">
        <v>0</v>
      </c>
      <c r="AK384" s="90">
        <v>0</v>
      </c>
      <c r="AL384" s="99">
        <v>0</v>
      </c>
      <c r="AM384" s="65" t="s">
        <v>20</v>
      </c>
      <c r="AN384" s="68">
        <v>7800000000</v>
      </c>
      <c r="AO384" s="69">
        <v>17000000</v>
      </c>
      <c r="AP384" s="127" t="e">
        <v>#DIV/0!</v>
      </c>
      <c r="AQ384" s="114" t="e">
        <v>#DIV/0!</v>
      </c>
      <c r="AR384" s="115" t="e">
        <v>#DIV/0!</v>
      </c>
      <c r="AS384" s="2"/>
      <c r="AU384" s="2"/>
      <c r="AV384" s="2"/>
      <c r="AW384" s="2"/>
      <c r="AX384" s="2"/>
      <c r="AY384" s="2"/>
    </row>
    <row r="385" spans="3:51" ht="10.5" customHeight="1" x14ac:dyDescent="0.15">
      <c r="C385" s="80"/>
      <c r="D385" s="4"/>
      <c r="AD385" s="105">
        <v>41275</v>
      </c>
      <c r="AF385" s="105">
        <v>41275</v>
      </c>
      <c r="AG385" s="90">
        <v>0</v>
      </c>
      <c r="AH385" s="90">
        <v>0</v>
      </c>
      <c r="AI385" s="99">
        <v>0</v>
      </c>
      <c r="AJ385" s="95">
        <v>0</v>
      </c>
      <c r="AK385" s="90">
        <v>0</v>
      </c>
      <c r="AL385" s="99">
        <v>0</v>
      </c>
      <c r="AM385" s="65"/>
      <c r="AN385" s="68"/>
      <c r="AO385" s="124"/>
      <c r="AP385" s="115" t="e">
        <v>#DIV/0!</v>
      </c>
      <c r="AQ385" s="114" t="e">
        <v>#DIV/0!</v>
      </c>
      <c r="AR385" s="115" t="e">
        <v>#DIV/0!</v>
      </c>
      <c r="AS385" s="2"/>
      <c r="AU385" s="2"/>
      <c r="AV385" s="2"/>
      <c r="AW385" s="2"/>
      <c r="AX385" s="2"/>
      <c r="AY385" s="2"/>
    </row>
    <row r="386" spans="3:51" ht="10.5" customHeight="1" x14ac:dyDescent="0.15">
      <c r="C386" s="80"/>
      <c r="D386" s="4"/>
      <c r="AD386" s="105">
        <v>41306</v>
      </c>
      <c r="AF386" s="105">
        <v>41306</v>
      </c>
      <c r="AG386" s="90">
        <v>0</v>
      </c>
      <c r="AH386" s="90">
        <v>0</v>
      </c>
      <c r="AI386" s="99">
        <v>0</v>
      </c>
      <c r="AJ386" s="95">
        <v>0</v>
      </c>
      <c r="AK386" s="90">
        <v>0</v>
      </c>
      <c r="AL386" s="99">
        <v>0</v>
      </c>
      <c r="AM386" s="65"/>
      <c r="AN386" s="68"/>
      <c r="AO386" s="124"/>
      <c r="AP386" s="115" t="e">
        <v>#DIV/0!</v>
      </c>
      <c r="AQ386" s="114" t="e">
        <v>#DIV/0!</v>
      </c>
      <c r="AR386" s="115" t="e">
        <v>#DIV/0!</v>
      </c>
      <c r="AS386" s="2"/>
      <c r="AU386" s="2"/>
      <c r="AV386" s="2"/>
      <c r="AW386" s="2"/>
      <c r="AX386" s="2"/>
      <c r="AY386" s="2"/>
    </row>
    <row r="387" spans="3:51" ht="10.5" customHeight="1" x14ac:dyDescent="0.15">
      <c r="C387" s="80"/>
      <c r="D387" s="4"/>
      <c r="AD387" s="105">
        <v>41334</v>
      </c>
      <c r="AF387" s="105">
        <v>41334</v>
      </c>
      <c r="AG387" s="90">
        <v>0</v>
      </c>
      <c r="AH387" s="90">
        <v>0</v>
      </c>
      <c r="AI387" s="99">
        <v>0</v>
      </c>
      <c r="AJ387" s="95">
        <v>0</v>
      </c>
      <c r="AK387" s="90">
        <v>0</v>
      </c>
      <c r="AL387" s="99">
        <v>0</v>
      </c>
      <c r="AM387" s="65" t="s">
        <v>20</v>
      </c>
      <c r="AN387" s="68">
        <v>1200000000</v>
      </c>
      <c r="AO387" s="206" t="s">
        <v>20</v>
      </c>
      <c r="AP387" s="115" t="e">
        <v>#DIV/0!</v>
      </c>
      <c r="AQ387" s="114" t="e">
        <v>#DIV/0!</v>
      </c>
      <c r="AR387" s="115" t="e">
        <v>#DIV/0!</v>
      </c>
      <c r="AS387" s="2"/>
      <c r="AU387" s="2"/>
      <c r="AV387" s="2"/>
      <c r="AW387" s="2"/>
      <c r="AX387" s="2"/>
      <c r="AY387" s="2"/>
    </row>
    <row r="388" spans="3:51" ht="10.5" customHeight="1" x14ac:dyDescent="0.15">
      <c r="C388" s="80"/>
      <c r="D388" s="4"/>
      <c r="AD388" s="105">
        <v>41365</v>
      </c>
      <c r="AF388" s="105">
        <v>41365</v>
      </c>
      <c r="AG388" s="90">
        <v>0</v>
      </c>
      <c r="AH388" s="90">
        <v>0</v>
      </c>
      <c r="AI388" s="99">
        <v>0</v>
      </c>
      <c r="AJ388" s="95">
        <v>0</v>
      </c>
      <c r="AK388" s="90">
        <v>0</v>
      </c>
      <c r="AL388" s="99">
        <v>0</v>
      </c>
      <c r="AM388" s="225"/>
      <c r="AN388" s="68"/>
      <c r="AO388" s="227"/>
      <c r="AP388" s="115" t="e">
        <v>#DIV/0!</v>
      </c>
      <c r="AQ388" s="114" t="e">
        <v>#DIV/0!</v>
      </c>
      <c r="AR388" s="115" t="e">
        <v>#DIV/0!</v>
      </c>
      <c r="AS388" s="2"/>
      <c r="AU388" s="2"/>
      <c r="AV388" s="2"/>
      <c r="AW388" s="2"/>
      <c r="AX388" s="2"/>
      <c r="AY388" s="2"/>
    </row>
    <row r="389" spans="3:51" ht="10.5" customHeight="1" x14ac:dyDescent="0.15">
      <c r="C389" s="80"/>
      <c r="D389" s="4"/>
      <c r="AD389" s="105">
        <v>41395</v>
      </c>
      <c r="AF389" s="105">
        <v>41395</v>
      </c>
      <c r="AG389" s="91">
        <v>0</v>
      </c>
      <c r="AH389" s="91">
        <v>0</v>
      </c>
      <c r="AI389" s="98">
        <v>0</v>
      </c>
      <c r="AJ389" s="94">
        <v>0</v>
      </c>
      <c r="AK389" s="91">
        <v>0</v>
      </c>
      <c r="AL389" s="98">
        <v>0</v>
      </c>
      <c r="AM389" s="225"/>
      <c r="AN389" s="68"/>
      <c r="AO389" s="227"/>
      <c r="AP389" s="127" t="e">
        <v>#DIV/0!</v>
      </c>
      <c r="AQ389" s="114" t="e">
        <v>#DIV/0!</v>
      </c>
      <c r="AR389" s="115" t="e">
        <v>#DIV/0!</v>
      </c>
      <c r="AS389" s="2"/>
      <c r="AU389" s="2"/>
      <c r="AV389" s="2"/>
      <c r="AW389" s="2"/>
      <c r="AX389" s="2"/>
      <c r="AY389" s="2"/>
    </row>
    <row r="390" spans="3:51" ht="10.5" customHeight="1" x14ac:dyDescent="0.15">
      <c r="C390" s="80"/>
      <c r="D390" s="4"/>
      <c r="AD390" s="105">
        <v>41426</v>
      </c>
      <c r="AF390" s="105">
        <v>41426</v>
      </c>
      <c r="AG390" s="91">
        <v>0</v>
      </c>
      <c r="AH390" s="91">
        <v>0</v>
      </c>
      <c r="AI390" s="98">
        <v>0</v>
      </c>
      <c r="AJ390" s="94">
        <v>0</v>
      </c>
      <c r="AK390" s="91">
        <v>0</v>
      </c>
      <c r="AL390" s="98">
        <v>0</v>
      </c>
      <c r="AM390" s="65" t="s">
        <v>20</v>
      </c>
      <c r="AN390" s="68">
        <v>2700000000</v>
      </c>
      <c r="AO390" s="206" t="s">
        <v>20</v>
      </c>
      <c r="AP390" s="127" t="e">
        <v>#DIV/0!</v>
      </c>
      <c r="AQ390" s="114" t="e">
        <v>#DIV/0!</v>
      </c>
      <c r="AR390" s="115" t="e">
        <v>#DIV/0!</v>
      </c>
      <c r="AS390" s="2"/>
      <c r="AU390" s="2"/>
      <c r="AV390" s="2"/>
      <c r="AW390" s="2"/>
      <c r="AX390" s="2"/>
      <c r="AY390" s="2"/>
    </row>
    <row r="391" spans="3:51" ht="10.5" customHeight="1" x14ac:dyDescent="0.15">
      <c r="C391" s="80"/>
      <c r="D391" s="4"/>
      <c r="AD391" s="105">
        <v>41456</v>
      </c>
      <c r="AF391" s="105">
        <v>41456</v>
      </c>
      <c r="AG391" s="90">
        <v>0</v>
      </c>
      <c r="AH391" s="90">
        <v>0</v>
      </c>
      <c r="AI391" s="99">
        <v>0</v>
      </c>
      <c r="AJ391" s="95">
        <v>0</v>
      </c>
      <c r="AK391" s="90">
        <v>0</v>
      </c>
      <c r="AL391" s="99">
        <v>0</v>
      </c>
      <c r="AM391" s="225"/>
      <c r="AN391" s="68"/>
      <c r="AO391" s="227"/>
      <c r="AP391" s="127" t="e">
        <v>#DIV/0!</v>
      </c>
      <c r="AQ391" s="114" t="e">
        <v>#DIV/0!</v>
      </c>
      <c r="AR391" s="115" t="e">
        <v>#DIV/0!</v>
      </c>
      <c r="AS391" s="2"/>
      <c r="AU391" s="2"/>
      <c r="AV391" s="2"/>
      <c r="AW391" s="2"/>
      <c r="AX391" s="2"/>
      <c r="AY391" s="2"/>
    </row>
    <row r="392" spans="3:51" ht="10.5" customHeight="1" x14ac:dyDescent="0.15">
      <c r="C392" s="80"/>
      <c r="D392" s="4"/>
      <c r="AD392" s="105">
        <v>41487</v>
      </c>
      <c r="AF392" s="105">
        <v>41487</v>
      </c>
      <c r="AG392" s="90">
        <v>0</v>
      </c>
      <c r="AH392" s="90">
        <v>0</v>
      </c>
      <c r="AI392" s="99">
        <v>0</v>
      </c>
      <c r="AJ392" s="95">
        <v>0</v>
      </c>
      <c r="AK392" s="90">
        <v>0</v>
      </c>
      <c r="AL392" s="99">
        <v>0</v>
      </c>
      <c r="AM392" s="225"/>
      <c r="AN392" s="136"/>
      <c r="AO392" s="227"/>
      <c r="AP392" s="127" t="e">
        <v>#DIV/0!</v>
      </c>
      <c r="AQ392" s="114" t="e">
        <v>#DIV/0!</v>
      </c>
      <c r="AR392" s="115" t="e">
        <v>#DIV/0!</v>
      </c>
      <c r="AS392" s="2"/>
      <c r="AU392" s="2"/>
      <c r="AV392" s="2"/>
      <c r="AW392" s="2"/>
      <c r="AX392" s="2"/>
      <c r="AY392" s="2"/>
    </row>
    <row r="393" spans="3:51" ht="10.5" customHeight="1" x14ac:dyDescent="0.15">
      <c r="C393" s="80"/>
      <c r="D393" s="4"/>
      <c r="AD393" s="105">
        <v>41518</v>
      </c>
      <c r="AF393" s="105">
        <v>41518</v>
      </c>
      <c r="AG393" s="90">
        <v>0</v>
      </c>
      <c r="AH393" s="90">
        <v>0</v>
      </c>
      <c r="AI393" s="99">
        <v>0</v>
      </c>
      <c r="AJ393" s="95">
        <v>0</v>
      </c>
      <c r="AK393" s="90">
        <v>0</v>
      </c>
      <c r="AL393" s="99">
        <v>0</v>
      </c>
      <c r="AM393" s="65" t="s">
        <v>20</v>
      </c>
      <c r="AN393" s="68">
        <v>1900000000</v>
      </c>
      <c r="AO393" s="206" t="s">
        <v>20</v>
      </c>
      <c r="AP393" s="127" t="e">
        <v>#DIV/0!</v>
      </c>
      <c r="AQ393" s="114" t="e">
        <v>#DIV/0!</v>
      </c>
      <c r="AR393" s="115" t="e">
        <v>#DIV/0!</v>
      </c>
      <c r="AS393" s="2"/>
      <c r="AU393" s="2"/>
      <c r="AV393" s="2"/>
      <c r="AW393" s="2"/>
      <c r="AX393" s="2"/>
      <c r="AY393" s="2"/>
    </row>
    <row r="394" spans="3:51" ht="10.5" customHeight="1" x14ac:dyDescent="0.15">
      <c r="AD394" s="105">
        <v>41548</v>
      </c>
      <c r="AF394" s="105">
        <v>41548</v>
      </c>
      <c r="AG394" s="90">
        <v>0</v>
      </c>
      <c r="AH394" s="90">
        <v>0</v>
      </c>
      <c r="AI394" s="99">
        <v>0</v>
      </c>
      <c r="AJ394" s="95">
        <v>0</v>
      </c>
      <c r="AK394" s="90">
        <v>0</v>
      </c>
      <c r="AL394" s="99">
        <v>0</v>
      </c>
      <c r="AM394" s="225"/>
      <c r="AN394" s="68"/>
      <c r="AO394" s="227"/>
      <c r="AP394" s="127" t="e">
        <v>#DIV/0!</v>
      </c>
      <c r="AQ394" s="114" t="e">
        <v>#DIV/0!</v>
      </c>
      <c r="AR394" s="115" t="e">
        <v>#DIV/0!</v>
      </c>
      <c r="AS394" s="2"/>
      <c r="AU394" s="2"/>
      <c r="AV394" s="2"/>
      <c r="AW394" s="2"/>
      <c r="AX394" s="2"/>
      <c r="AY394" s="2"/>
    </row>
    <row r="395" spans="3:51" ht="10.5" customHeight="1" x14ac:dyDescent="0.15">
      <c r="AD395" s="105">
        <v>41579</v>
      </c>
      <c r="AF395" s="105">
        <v>41579</v>
      </c>
      <c r="AG395" s="90">
        <v>0</v>
      </c>
      <c r="AH395" s="90">
        <v>0</v>
      </c>
      <c r="AI395" s="99">
        <v>0</v>
      </c>
      <c r="AJ395" s="95">
        <v>0</v>
      </c>
      <c r="AK395" s="90">
        <v>0</v>
      </c>
      <c r="AL395" s="99">
        <v>0</v>
      </c>
      <c r="AM395" s="225"/>
      <c r="AN395" s="68"/>
      <c r="AO395" s="227"/>
      <c r="AP395" s="127" t="e">
        <v>#DIV/0!</v>
      </c>
      <c r="AQ395" s="114" t="e">
        <v>#DIV/0!</v>
      </c>
      <c r="AR395" s="115" t="e">
        <v>#DIV/0!</v>
      </c>
      <c r="AS395" s="2"/>
      <c r="AU395" s="2"/>
      <c r="AV395" s="2"/>
      <c r="AW395" s="2"/>
      <c r="AX395" s="2"/>
      <c r="AY395" s="2"/>
    </row>
    <row r="396" spans="3:51" ht="10.5" customHeight="1" x14ac:dyDescent="0.15">
      <c r="AD396" s="105">
        <v>41609</v>
      </c>
      <c r="AF396" s="105">
        <v>41609</v>
      </c>
      <c r="AG396" s="90">
        <v>0</v>
      </c>
      <c r="AH396" s="90">
        <v>0</v>
      </c>
      <c r="AI396" s="99">
        <v>0</v>
      </c>
      <c r="AJ396" s="95">
        <v>0</v>
      </c>
      <c r="AK396" s="90">
        <v>0</v>
      </c>
      <c r="AL396" s="99">
        <v>0</v>
      </c>
      <c r="AM396" s="65" t="s">
        <v>20</v>
      </c>
      <c r="AN396" s="68">
        <v>1600000000</v>
      </c>
      <c r="AO396" s="206" t="s">
        <v>20</v>
      </c>
      <c r="AP396" s="127" t="e">
        <v>#DIV/0!</v>
      </c>
      <c r="AQ396" s="114" t="e">
        <v>#DIV/0!</v>
      </c>
      <c r="AR396" s="115" t="e">
        <v>#DIV/0!</v>
      </c>
      <c r="AS396" s="2"/>
      <c r="AU396" s="2"/>
      <c r="AV396" s="2"/>
      <c r="AW396" s="2"/>
      <c r="AX396" s="2"/>
      <c r="AY396" s="2"/>
    </row>
    <row r="397" spans="3:51" ht="10.5" customHeight="1" x14ac:dyDescent="0.15">
      <c r="AD397" s="105">
        <v>41640</v>
      </c>
      <c r="AF397" s="105">
        <v>41640</v>
      </c>
      <c r="AG397" s="90">
        <v>0</v>
      </c>
      <c r="AH397" s="90">
        <v>0</v>
      </c>
      <c r="AI397" s="99">
        <v>0</v>
      </c>
      <c r="AJ397" s="95">
        <v>0</v>
      </c>
      <c r="AK397" s="90">
        <v>0</v>
      </c>
      <c r="AL397" s="99">
        <v>0</v>
      </c>
      <c r="AM397" s="225"/>
      <c r="AN397" s="68"/>
      <c r="AO397" s="227"/>
      <c r="AP397" s="115" t="e">
        <v>#DIV/0!</v>
      </c>
      <c r="AQ397" s="114" t="e">
        <v>#DIV/0!</v>
      </c>
      <c r="AR397" s="115" t="e">
        <v>#DIV/0!</v>
      </c>
      <c r="AS397" s="2"/>
      <c r="AU397" s="2"/>
      <c r="AV397" s="2"/>
      <c r="AW397" s="2"/>
      <c r="AX397" s="2"/>
      <c r="AY397" s="2"/>
    </row>
    <row r="398" spans="3:51" ht="10.5" customHeight="1" x14ac:dyDescent="0.15">
      <c r="AD398" s="105">
        <v>41671</v>
      </c>
      <c r="AF398" s="105">
        <v>41671</v>
      </c>
      <c r="AG398" s="90">
        <v>0</v>
      </c>
      <c r="AH398" s="90">
        <v>0</v>
      </c>
      <c r="AI398" s="99">
        <v>0</v>
      </c>
      <c r="AJ398" s="95">
        <v>0</v>
      </c>
      <c r="AK398" s="90">
        <v>0</v>
      </c>
      <c r="AL398" s="99">
        <v>0</v>
      </c>
      <c r="AM398" s="225"/>
      <c r="AN398" s="136"/>
      <c r="AO398" s="227"/>
      <c r="AP398" s="115" t="e">
        <v>#DIV/0!</v>
      </c>
      <c r="AQ398" s="114" t="e">
        <v>#DIV/0!</v>
      </c>
      <c r="AR398" s="115" t="e">
        <v>#DIV/0!</v>
      </c>
      <c r="AS398" s="2"/>
      <c r="AU398" s="2"/>
      <c r="AV398" s="2"/>
      <c r="AW398" s="2"/>
      <c r="AX398" s="2"/>
      <c r="AY398" s="2"/>
    </row>
    <row r="399" spans="3:51" ht="10.5" customHeight="1" x14ac:dyDescent="0.15">
      <c r="AD399" s="105">
        <v>41699</v>
      </c>
      <c r="AF399" s="105">
        <v>41699</v>
      </c>
      <c r="AG399" s="90">
        <v>0</v>
      </c>
      <c r="AH399" s="90">
        <v>0</v>
      </c>
      <c r="AI399" s="99">
        <v>0</v>
      </c>
      <c r="AJ399" s="95">
        <v>0</v>
      </c>
      <c r="AK399" s="90">
        <v>0</v>
      </c>
      <c r="AL399" s="99">
        <v>0</v>
      </c>
      <c r="AM399" s="65" t="s">
        <v>20</v>
      </c>
      <c r="AN399" s="68">
        <v>6700000000</v>
      </c>
      <c r="AO399" s="206" t="s">
        <v>20</v>
      </c>
      <c r="AP399" s="115" t="e">
        <v>#DIV/0!</v>
      </c>
      <c r="AQ399" s="114" t="e">
        <v>#DIV/0!</v>
      </c>
      <c r="AR399" s="115" t="e">
        <v>#DIV/0!</v>
      </c>
      <c r="AS399" s="2"/>
      <c r="AU399" s="2"/>
      <c r="AV399" s="2"/>
      <c r="AW399" s="2"/>
      <c r="AX399" s="2"/>
      <c r="AY399" s="2"/>
    </row>
    <row r="400" spans="3:51" ht="10.5" customHeight="1" x14ac:dyDescent="0.15">
      <c r="AD400" s="105">
        <v>41730</v>
      </c>
      <c r="AF400" s="105">
        <v>41730</v>
      </c>
      <c r="AG400" s="90">
        <v>0</v>
      </c>
      <c r="AH400" s="90">
        <v>0</v>
      </c>
      <c r="AI400" s="99">
        <v>0</v>
      </c>
      <c r="AJ400" s="95">
        <v>0</v>
      </c>
      <c r="AK400" s="90">
        <v>0</v>
      </c>
      <c r="AL400" s="99">
        <v>0</v>
      </c>
      <c r="AM400" s="225"/>
      <c r="AN400" s="68"/>
      <c r="AO400" s="227"/>
      <c r="AP400" s="115" t="e">
        <v>#DIV/0!</v>
      </c>
      <c r="AQ400" s="114" t="e">
        <v>#DIV/0!</v>
      </c>
      <c r="AR400" s="115" t="e">
        <v>#DIV/0!</v>
      </c>
      <c r="AS400" s="2"/>
      <c r="AU400" s="2"/>
      <c r="AV400" s="2"/>
      <c r="AW400" s="2"/>
      <c r="AX400" s="2"/>
      <c r="AY400" s="2"/>
    </row>
    <row r="401" spans="30:51" ht="10.5" customHeight="1" x14ac:dyDescent="0.15">
      <c r="AD401" s="105">
        <v>41760</v>
      </c>
      <c r="AF401" s="105">
        <v>41760</v>
      </c>
      <c r="AG401" s="90">
        <v>0</v>
      </c>
      <c r="AH401" s="90">
        <v>0</v>
      </c>
      <c r="AI401" s="99">
        <v>0</v>
      </c>
      <c r="AJ401" s="95">
        <v>0</v>
      </c>
      <c r="AK401" s="90">
        <v>0</v>
      </c>
      <c r="AL401" s="99">
        <v>0</v>
      </c>
      <c r="AM401" s="65"/>
      <c r="AN401" s="68"/>
      <c r="AO401" s="206"/>
      <c r="AP401" s="115" t="e">
        <v>#DIV/0!</v>
      </c>
      <c r="AQ401" s="114" t="e">
        <v>#DIV/0!</v>
      </c>
      <c r="AR401" s="115" t="e">
        <v>#DIV/0!</v>
      </c>
      <c r="AS401" s="2"/>
      <c r="AU401" s="2"/>
      <c r="AV401" s="2"/>
      <c r="AW401" s="2"/>
      <c r="AX401" s="2"/>
      <c r="AY401" s="2"/>
    </row>
    <row r="402" spans="30:51" ht="10.5" customHeight="1" x14ac:dyDescent="0.15">
      <c r="AD402" s="105">
        <v>41791</v>
      </c>
      <c r="AF402" s="105">
        <v>41791</v>
      </c>
      <c r="AG402" s="90">
        <v>0</v>
      </c>
      <c r="AH402" s="90">
        <v>0</v>
      </c>
      <c r="AI402" s="99">
        <v>0</v>
      </c>
      <c r="AJ402" s="95">
        <v>0</v>
      </c>
      <c r="AK402" s="90">
        <v>0</v>
      </c>
      <c r="AL402" s="99">
        <v>0</v>
      </c>
      <c r="AM402" s="65" t="s">
        <v>20</v>
      </c>
      <c r="AN402" s="68">
        <v>6300000000</v>
      </c>
      <c r="AO402" s="206" t="s">
        <v>20</v>
      </c>
      <c r="AP402" s="115" t="e">
        <v>#DIV/0!</v>
      </c>
      <c r="AQ402" s="114" t="e">
        <v>#DIV/0!</v>
      </c>
      <c r="AR402" s="115" t="e">
        <v>#DIV/0!</v>
      </c>
      <c r="AS402" s="2"/>
      <c r="AU402" s="2"/>
      <c r="AV402" s="2"/>
      <c r="AW402" s="2"/>
      <c r="AX402" s="2"/>
      <c r="AY402" s="2"/>
    </row>
    <row r="403" spans="30:51" ht="10.5" customHeight="1" x14ac:dyDescent="0.15">
      <c r="AD403" s="105">
        <v>41821</v>
      </c>
      <c r="AF403" s="105">
        <v>41821</v>
      </c>
      <c r="AG403" s="90">
        <v>0</v>
      </c>
      <c r="AH403" s="90">
        <v>0</v>
      </c>
      <c r="AI403" s="99">
        <v>0</v>
      </c>
      <c r="AJ403" s="95">
        <v>0</v>
      </c>
      <c r="AK403" s="90">
        <v>0</v>
      </c>
      <c r="AL403" s="99">
        <v>0</v>
      </c>
      <c r="AM403" s="225"/>
      <c r="AN403" s="231"/>
      <c r="AO403" s="227"/>
      <c r="AP403" s="115" t="e">
        <v>#DIV/0!</v>
      </c>
      <c r="AQ403" s="114" t="e">
        <v>#DIV/0!</v>
      </c>
      <c r="AR403" s="115" t="e">
        <v>#DIV/0!</v>
      </c>
      <c r="AS403" s="2"/>
      <c r="AU403" s="2"/>
      <c r="AV403" s="2"/>
      <c r="AW403" s="2"/>
      <c r="AX403" s="2"/>
      <c r="AY403" s="2"/>
    </row>
    <row r="404" spans="30:51" ht="10.5" customHeight="1" x14ac:dyDescent="0.15">
      <c r="AD404" s="105">
        <v>41852</v>
      </c>
      <c r="AF404" s="105">
        <v>41852</v>
      </c>
      <c r="AG404" s="90">
        <v>0</v>
      </c>
      <c r="AH404" s="90">
        <v>0</v>
      </c>
      <c r="AI404" s="99">
        <v>0</v>
      </c>
      <c r="AJ404" s="95">
        <v>0</v>
      </c>
      <c r="AK404" s="90">
        <v>0</v>
      </c>
      <c r="AL404" s="99">
        <v>0</v>
      </c>
      <c r="AM404" s="65"/>
      <c r="AN404" s="231"/>
      <c r="AO404" s="206"/>
      <c r="AP404" s="115" t="e">
        <v>#DIV/0!</v>
      </c>
      <c r="AQ404" s="114" t="e">
        <v>#DIV/0!</v>
      </c>
      <c r="AR404" s="115" t="e">
        <v>#DIV/0!</v>
      </c>
      <c r="AS404" s="2"/>
      <c r="AU404" s="2"/>
      <c r="AV404" s="2"/>
      <c r="AW404" s="2"/>
      <c r="AX404" s="2"/>
      <c r="AY404" s="2"/>
    </row>
    <row r="405" spans="30:51" ht="10.5" customHeight="1" x14ac:dyDescent="0.15">
      <c r="AD405" s="105">
        <v>41883</v>
      </c>
      <c r="AF405" s="105">
        <v>41883</v>
      </c>
      <c r="AG405" s="90">
        <v>0</v>
      </c>
      <c r="AH405" s="90">
        <v>0</v>
      </c>
      <c r="AI405" s="99">
        <v>0</v>
      </c>
      <c r="AJ405" s="95">
        <v>0</v>
      </c>
      <c r="AK405" s="90">
        <v>0</v>
      </c>
      <c r="AL405" s="99">
        <v>0</v>
      </c>
      <c r="AM405" s="65" t="s">
        <v>20</v>
      </c>
      <c r="AN405" s="68">
        <v>4400000000</v>
      </c>
      <c r="AO405" s="206" t="s">
        <v>20</v>
      </c>
      <c r="AP405" s="115" t="e">
        <v>#DIV/0!</v>
      </c>
      <c r="AQ405" s="114" t="e">
        <v>#DIV/0!</v>
      </c>
      <c r="AR405" s="115" t="e">
        <v>#DIV/0!</v>
      </c>
      <c r="AS405" s="2"/>
      <c r="AU405" s="2"/>
      <c r="AV405" s="2"/>
      <c r="AW405" s="2"/>
      <c r="AX405" s="2"/>
      <c r="AY405" s="2"/>
    </row>
    <row r="406" spans="30:51" ht="10.5" customHeight="1" x14ac:dyDescent="0.15">
      <c r="AD406" s="105">
        <v>41913</v>
      </c>
      <c r="AF406" s="105">
        <v>41913</v>
      </c>
      <c r="AG406" s="90">
        <v>0</v>
      </c>
      <c r="AH406" s="90">
        <v>0</v>
      </c>
      <c r="AI406" s="99">
        <v>0</v>
      </c>
      <c r="AJ406" s="95">
        <v>0</v>
      </c>
      <c r="AK406" s="90">
        <v>0</v>
      </c>
      <c r="AL406" s="99">
        <v>0</v>
      </c>
      <c r="AM406" s="225"/>
      <c r="AN406" s="231"/>
      <c r="AO406" s="227"/>
      <c r="AP406" s="115" t="e">
        <v>#DIV/0!</v>
      </c>
      <c r="AQ406" s="114" t="e">
        <v>#DIV/0!</v>
      </c>
      <c r="AR406" s="115" t="e">
        <v>#DIV/0!</v>
      </c>
      <c r="AS406" s="2"/>
      <c r="AU406" s="2"/>
      <c r="AV406" s="2"/>
      <c r="AW406" s="2"/>
      <c r="AX406" s="2"/>
      <c r="AY406" s="2"/>
    </row>
    <row r="407" spans="30:51" ht="10.5" customHeight="1" x14ac:dyDescent="0.15">
      <c r="AD407" s="105">
        <v>41944</v>
      </c>
      <c r="AF407" s="105">
        <v>41944</v>
      </c>
      <c r="AG407" s="90">
        <v>0</v>
      </c>
      <c r="AH407" s="90">
        <v>0</v>
      </c>
      <c r="AI407" s="99">
        <v>0</v>
      </c>
      <c r="AJ407" s="95">
        <v>0</v>
      </c>
      <c r="AK407" s="90">
        <v>0</v>
      </c>
      <c r="AL407" s="99">
        <v>0</v>
      </c>
      <c r="AM407" s="65"/>
      <c r="AN407" s="231"/>
      <c r="AO407" s="206"/>
      <c r="AP407" s="115" t="e">
        <v>#DIV/0!</v>
      </c>
      <c r="AQ407" s="114" t="e">
        <v>#DIV/0!</v>
      </c>
      <c r="AR407" s="115" t="e">
        <v>#DIV/0!</v>
      </c>
      <c r="AS407" s="2"/>
      <c r="AU407" s="2"/>
      <c r="AV407" s="2"/>
      <c r="AW407" s="2"/>
      <c r="AX407" s="2"/>
      <c r="AY407" s="2"/>
    </row>
    <row r="408" spans="30:51" ht="10.5" customHeight="1" x14ac:dyDescent="0.15">
      <c r="AD408" s="105">
        <v>41974</v>
      </c>
      <c r="AF408" s="105">
        <v>41974</v>
      </c>
      <c r="AG408" s="90">
        <v>0</v>
      </c>
      <c r="AH408" s="90">
        <v>0</v>
      </c>
      <c r="AI408" s="99">
        <v>0</v>
      </c>
      <c r="AJ408" s="95">
        <v>0</v>
      </c>
      <c r="AK408" s="90">
        <v>0</v>
      </c>
      <c r="AL408" s="99">
        <v>0</v>
      </c>
      <c r="AM408" s="65" t="s">
        <v>20</v>
      </c>
      <c r="AN408" s="68">
        <v>580000000</v>
      </c>
      <c r="AO408" s="206" t="s">
        <v>20</v>
      </c>
      <c r="AP408" s="115" t="e">
        <v>#REF!</v>
      </c>
      <c r="AQ408" s="114" t="e">
        <v>#REF!</v>
      </c>
      <c r="AR408" s="115" t="e">
        <v>#REF!</v>
      </c>
      <c r="AS408" s="2"/>
      <c r="AU408" s="2"/>
      <c r="AV408" s="2"/>
      <c r="AW408" s="2"/>
      <c r="AX408" s="2"/>
      <c r="AY408" s="2"/>
    </row>
    <row r="409" spans="30:51" ht="10.5" customHeight="1" x14ac:dyDescent="0.15">
      <c r="AD409" s="105">
        <v>42005</v>
      </c>
      <c r="AF409" s="105">
        <v>42005</v>
      </c>
      <c r="AG409" s="90">
        <v>0</v>
      </c>
      <c r="AH409" s="90">
        <v>0</v>
      </c>
      <c r="AI409" s="99">
        <v>0</v>
      </c>
      <c r="AJ409" s="95">
        <v>0</v>
      </c>
      <c r="AK409" s="90">
        <v>0</v>
      </c>
      <c r="AL409" s="99">
        <v>0</v>
      </c>
      <c r="AM409" s="225"/>
      <c r="AN409" s="231"/>
      <c r="AO409" s="227"/>
      <c r="AP409" s="115" t="e">
        <v>#REF!</v>
      </c>
      <c r="AQ409" s="114" t="e">
        <v>#REF!</v>
      </c>
      <c r="AR409" s="115" t="e">
        <v>#REF!</v>
      </c>
      <c r="AS409" s="2"/>
      <c r="AU409" s="2"/>
      <c r="AV409" s="2"/>
      <c r="AW409" s="2"/>
      <c r="AX409" s="2"/>
      <c r="AY409" s="2"/>
    </row>
    <row r="410" spans="30:51" ht="10.5" customHeight="1" x14ac:dyDescent="0.15">
      <c r="AD410" s="105">
        <v>42036</v>
      </c>
      <c r="AF410" s="105">
        <v>42036</v>
      </c>
      <c r="AG410" s="90">
        <v>0</v>
      </c>
      <c r="AH410" s="90">
        <v>0</v>
      </c>
      <c r="AI410" s="99">
        <v>0</v>
      </c>
      <c r="AJ410" s="95">
        <v>0</v>
      </c>
      <c r="AK410" s="90">
        <v>0</v>
      </c>
      <c r="AL410" s="99">
        <v>0</v>
      </c>
      <c r="AM410" s="65"/>
      <c r="AN410" s="231"/>
      <c r="AO410" s="206"/>
      <c r="AP410" s="115" t="e">
        <v>#DIV/0!</v>
      </c>
      <c r="AQ410" s="114" t="e">
        <v>#DIV/0!</v>
      </c>
      <c r="AR410" s="115" t="e">
        <v>#DIV/0!</v>
      </c>
      <c r="AS410" s="2"/>
      <c r="AU410" s="2"/>
      <c r="AV410" s="2"/>
      <c r="AW410" s="2"/>
      <c r="AX410" s="2"/>
      <c r="AY410" s="2"/>
    </row>
    <row r="411" spans="30:51" ht="10.5" customHeight="1" x14ac:dyDescent="0.15">
      <c r="AD411" s="105">
        <v>42064</v>
      </c>
      <c r="AF411" s="105">
        <v>42064</v>
      </c>
      <c r="AG411" s="90">
        <v>0</v>
      </c>
      <c r="AH411" s="90">
        <v>0</v>
      </c>
      <c r="AI411" s="99">
        <v>0</v>
      </c>
      <c r="AJ411" s="95">
        <v>0</v>
      </c>
      <c r="AK411" s="90">
        <v>0</v>
      </c>
      <c r="AL411" s="99">
        <v>0</v>
      </c>
      <c r="AM411" s="230" t="s">
        <v>20</v>
      </c>
      <c r="AN411" s="68">
        <v>2900000000</v>
      </c>
      <c r="AO411" s="227" t="s">
        <v>20</v>
      </c>
      <c r="AP411" s="115" t="e">
        <v>#REF!</v>
      </c>
      <c r="AQ411" s="114" t="e">
        <v>#REF!</v>
      </c>
      <c r="AR411" s="115" t="e">
        <v>#REF!</v>
      </c>
      <c r="AS411" s="2"/>
      <c r="AU411" s="2"/>
      <c r="AV411" s="2"/>
      <c r="AW411" s="2"/>
      <c r="AX411" s="2"/>
      <c r="AY411" s="2"/>
    </row>
    <row r="412" spans="30:51" ht="10.5" customHeight="1" x14ac:dyDescent="0.15">
      <c r="AD412" s="105">
        <v>42095</v>
      </c>
      <c r="AF412" s="105">
        <v>42095</v>
      </c>
      <c r="AG412" s="90">
        <v>0</v>
      </c>
      <c r="AH412" s="90">
        <v>0</v>
      </c>
      <c r="AI412" s="99">
        <v>0</v>
      </c>
      <c r="AJ412" s="95">
        <v>0</v>
      </c>
      <c r="AK412" s="90">
        <v>0</v>
      </c>
      <c r="AL412" s="99">
        <v>0</v>
      </c>
      <c r="AM412" s="65"/>
      <c r="AN412" s="231"/>
      <c r="AO412" s="206"/>
      <c r="AP412" s="115" t="e">
        <v>#REF!</v>
      </c>
      <c r="AQ412" s="114" t="e">
        <v>#REF!</v>
      </c>
      <c r="AR412" s="115" t="e">
        <v>#REF!</v>
      </c>
      <c r="AS412" s="2"/>
      <c r="AU412" s="2"/>
      <c r="AV412" s="2"/>
      <c r="AW412" s="2"/>
      <c r="AX412" s="2"/>
      <c r="AY412" s="2"/>
    </row>
    <row r="413" spans="30:51" ht="10.5" customHeight="1" x14ac:dyDescent="0.15">
      <c r="AD413" s="105">
        <v>42125</v>
      </c>
      <c r="AF413" s="105">
        <v>42125</v>
      </c>
      <c r="AG413" s="90">
        <v>0</v>
      </c>
      <c r="AH413" s="90">
        <v>0</v>
      </c>
      <c r="AI413" s="99">
        <v>0</v>
      </c>
      <c r="AJ413" s="95">
        <v>0</v>
      </c>
      <c r="AK413" s="90">
        <v>0</v>
      </c>
      <c r="AL413" s="99">
        <v>0</v>
      </c>
      <c r="AM413" s="65"/>
      <c r="AN413" s="231"/>
      <c r="AO413" s="206"/>
      <c r="AP413" s="115" t="e">
        <v>#DIV/0!</v>
      </c>
      <c r="AQ413" s="114" t="e">
        <v>#DIV/0!</v>
      </c>
      <c r="AR413" s="115" t="e">
        <v>#DIV/0!</v>
      </c>
      <c r="AS413" s="2"/>
      <c r="AU413" s="2"/>
      <c r="AV413" s="2"/>
      <c r="AW413" s="2"/>
      <c r="AX413" s="2"/>
      <c r="AY413" s="2"/>
    </row>
    <row r="414" spans="30:51" ht="10.5" customHeight="1" x14ac:dyDescent="0.15">
      <c r="AD414" s="105">
        <v>42156</v>
      </c>
      <c r="AF414" s="105">
        <v>42156</v>
      </c>
      <c r="AG414" s="90">
        <v>0</v>
      </c>
      <c r="AH414" s="90">
        <v>0</v>
      </c>
      <c r="AI414" s="99">
        <v>0</v>
      </c>
      <c r="AJ414" s="95">
        <v>0</v>
      </c>
      <c r="AK414" s="90">
        <v>0</v>
      </c>
      <c r="AL414" s="99">
        <v>0</v>
      </c>
      <c r="AM414" s="230" t="s">
        <v>20</v>
      </c>
      <c r="AN414" s="68">
        <v>1100000000</v>
      </c>
      <c r="AO414" s="227" t="s">
        <v>20</v>
      </c>
      <c r="AP414" s="115" t="e">
        <v>#DIV/0!</v>
      </c>
      <c r="AQ414" s="114" t="e">
        <v>#DIV/0!</v>
      </c>
      <c r="AR414" s="115" t="e">
        <v>#DIV/0!</v>
      </c>
      <c r="AS414" s="2"/>
      <c r="AU414" s="2"/>
      <c r="AV414" s="2"/>
      <c r="AW414" s="2"/>
      <c r="AX414" s="2"/>
      <c r="AY414" s="2"/>
    </row>
    <row r="415" spans="30:51" ht="10.5" customHeight="1" x14ac:dyDescent="0.15">
      <c r="AD415" s="105">
        <v>42186</v>
      </c>
      <c r="AF415" s="105">
        <v>42186</v>
      </c>
      <c r="AG415" s="90">
        <v>0</v>
      </c>
      <c r="AH415" s="90">
        <v>0</v>
      </c>
      <c r="AI415" s="99">
        <v>0</v>
      </c>
      <c r="AJ415" s="95">
        <v>0</v>
      </c>
      <c r="AK415" s="90">
        <v>0</v>
      </c>
      <c r="AL415" s="99">
        <v>0</v>
      </c>
      <c r="AM415" s="65"/>
      <c r="AN415" s="231"/>
      <c r="AO415" s="206"/>
      <c r="AP415" s="115" t="e">
        <v>#DIV/0!</v>
      </c>
      <c r="AQ415" s="114" t="e">
        <v>#DIV/0!</v>
      </c>
      <c r="AR415" s="115" t="e">
        <v>#DIV/0!</v>
      </c>
      <c r="AS415" s="2"/>
      <c r="AU415" s="2"/>
      <c r="AV415" s="2"/>
      <c r="AW415" s="2"/>
      <c r="AX415" s="2"/>
      <c r="AY415" s="2"/>
    </row>
    <row r="416" spans="30:51" ht="10.5" customHeight="1" x14ac:dyDescent="0.15">
      <c r="AD416" s="105">
        <v>42217</v>
      </c>
      <c r="AF416" s="105">
        <v>42217</v>
      </c>
      <c r="AG416" s="90">
        <v>0</v>
      </c>
      <c r="AH416" s="90">
        <v>0</v>
      </c>
      <c r="AI416" s="99">
        <v>0</v>
      </c>
      <c r="AJ416" s="95">
        <v>0</v>
      </c>
      <c r="AK416" s="90">
        <v>0</v>
      </c>
      <c r="AL416" s="99">
        <v>0</v>
      </c>
      <c r="AM416" s="65"/>
      <c r="AN416" s="231"/>
      <c r="AO416" s="206"/>
      <c r="AP416" s="115" t="e">
        <v>#DIV/0!</v>
      </c>
      <c r="AQ416" s="114" t="e">
        <v>#DIV/0!</v>
      </c>
      <c r="AR416" s="115" t="e">
        <v>#DIV/0!</v>
      </c>
      <c r="AS416" s="3"/>
      <c r="AT416" s="3"/>
      <c r="AU416" s="2"/>
      <c r="AV416" s="2"/>
      <c r="AW416" s="2"/>
      <c r="AX416" s="2"/>
      <c r="AY416" s="2"/>
    </row>
    <row r="417" spans="30:51" ht="10.5" customHeight="1" x14ac:dyDescent="0.15">
      <c r="AD417" s="105">
        <v>42248</v>
      </c>
      <c r="AF417" s="105">
        <v>42248</v>
      </c>
      <c r="AG417" s="90">
        <v>0</v>
      </c>
      <c r="AH417" s="90">
        <v>0</v>
      </c>
      <c r="AI417" s="99">
        <v>0</v>
      </c>
      <c r="AJ417" s="95">
        <v>0</v>
      </c>
      <c r="AK417" s="90">
        <v>0</v>
      </c>
      <c r="AL417" s="99">
        <v>0</v>
      </c>
      <c r="AM417" s="230" t="s">
        <v>20</v>
      </c>
      <c r="AN417" s="68">
        <v>520000000</v>
      </c>
      <c r="AO417" s="227" t="s">
        <v>20</v>
      </c>
      <c r="AP417" s="115" t="e">
        <v>#DIV/0!</v>
      </c>
      <c r="AQ417" s="114" t="e">
        <v>#DIV/0!</v>
      </c>
      <c r="AR417" s="115" t="e">
        <v>#DIV/0!</v>
      </c>
      <c r="AS417" s="3"/>
      <c r="AT417" s="3"/>
      <c r="AU417" s="2"/>
      <c r="AV417" s="2"/>
      <c r="AW417" s="2"/>
      <c r="AX417" s="2"/>
      <c r="AY417" s="2"/>
    </row>
    <row r="418" spans="30:51" ht="10.5" customHeight="1" x14ac:dyDescent="0.15">
      <c r="AD418" s="105">
        <v>42278</v>
      </c>
      <c r="AF418" s="105">
        <v>42278</v>
      </c>
      <c r="AG418" s="90">
        <v>0</v>
      </c>
      <c r="AH418" s="90">
        <v>0</v>
      </c>
      <c r="AI418" s="99">
        <v>0</v>
      </c>
      <c r="AJ418" s="95">
        <v>0</v>
      </c>
      <c r="AK418" s="90">
        <v>0</v>
      </c>
      <c r="AL418" s="99">
        <v>0</v>
      </c>
      <c r="AM418" s="65"/>
      <c r="AN418" s="231"/>
      <c r="AO418" s="206"/>
      <c r="AP418" s="115" t="e">
        <v>#DIV/0!</v>
      </c>
      <c r="AQ418" s="114" t="e">
        <v>#DIV/0!</v>
      </c>
      <c r="AR418" s="115" t="e">
        <v>#DIV/0!</v>
      </c>
      <c r="AS418" s="3"/>
      <c r="AT418" s="3"/>
      <c r="AU418" s="2"/>
      <c r="AV418" s="2"/>
      <c r="AW418" s="2"/>
      <c r="AX418" s="2"/>
      <c r="AY418" s="2"/>
    </row>
    <row r="419" spans="30:51" ht="10.5" customHeight="1" x14ac:dyDescent="0.15">
      <c r="AD419" s="105">
        <v>42309</v>
      </c>
      <c r="AF419" s="105">
        <v>42309</v>
      </c>
      <c r="AG419" s="90">
        <v>0</v>
      </c>
      <c r="AH419" s="90">
        <v>0</v>
      </c>
      <c r="AI419" s="99">
        <v>0</v>
      </c>
      <c r="AJ419" s="95">
        <v>0</v>
      </c>
      <c r="AK419" s="90">
        <v>0</v>
      </c>
      <c r="AL419" s="99">
        <v>0</v>
      </c>
      <c r="AM419" s="65"/>
      <c r="AN419" s="231"/>
      <c r="AO419" s="206"/>
      <c r="AP419" s="115" t="e">
        <v>#DIV/0!</v>
      </c>
      <c r="AQ419" s="114" t="e">
        <v>#DIV/0!</v>
      </c>
      <c r="AR419" s="115" t="e">
        <v>#DIV/0!</v>
      </c>
      <c r="AS419" s="3"/>
      <c r="AT419" s="3"/>
      <c r="AU419" s="2"/>
      <c r="AV419" s="2"/>
      <c r="AW419" s="2"/>
      <c r="AX419" s="2"/>
      <c r="AY419" s="2"/>
    </row>
    <row r="420" spans="30:51" ht="10.5" customHeight="1" x14ac:dyDescent="0.15">
      <c r="AD420" s="105">
        <v>42339</v>
      </c>
      <c r="AF420" s="105">
        <v>42339</v>
      </c>
      <c r="AG420" s="90">
        <v>0</v>
      </c>
      <c r="AH420" s="90">
        <v>0</v>
      </c>
      <c r="AI420" s="99">
        <v>0</v>
      </c>
      <c r="AJ420" s="95">
        <v>0</v>
      </c>
      <c r="AK420" s="90">
        <v>0</v>
      </c>
      <c r="AL420" s="99">
        <v>0</v>
      </c>
      <c r="AM420" s="230" t="s">
        <v>20</v>
      </c>
      <c r="AN420" s="68" t="s">
        <v>20</v>
      </c>
      <c r="AO420" s="227" t="s">
        <v>20</v>
      </c>
      <c r="AP420" s="115" t="e">
        <v>#DIV/0!</v>
      </c>
      <c r="AQ420" s="114" t="e">
        <v>#DIV/0!</v>
      </c>
      <c r="AR420" s="115" t="e">
        <v>#DIV/0!</v>
      </c>
      <c r="AS420" s="3"/>
      <c r="AT420" s="3"/>
      <c r="AU420" s="2"/>
      <c r="AV420" s="2"/>
      <c r="AW420" s="2"/>
      <c r="AX420" s="2"/>
      <c r="AY420" s="2"/>
    </row>
    <row r="421" spans="30:51" ht="10.5" customHeight="1" x14ac:dyDescent="0.15">
      <c r="AD421" s="105">
        <v>42370</v>
      </c>
      <c r="AF421" s="105">
        <v>42370</v>
      </c>
      <c r="AG421" s="90">
        <v>0</v>
      </c>
      <c r="AH421" s="90">
        <v>0</v>
      </c>
      <c r="AI421" s="99">
        <v>0</v>
      </c>
      <c r="AJ421" s="95">
        <v>0</v>
      </c>
      <c r="AK421" s="90">
        <v>0</v>
      </c>
      <c r="AL421" s="99">
        <v>0</v>
      </c>
      <c r="AM421" s="65"/>
      <c r="AN421" s="231"/>
      <c r="AO421" s="206"/>
      <c r="AP421" s="115" t="e">
        <v>#DIV/0!</v>
      </c>
      <c r="AQ421" s="114" t="e">
        <v>#DIV/0!</v>
      </c>
      <c r="AR421" s="115" t="e">
        <v>#DIV/0!</v>
      </c>
      <c r="AU421" s="2"/>
      <c r="AV421" s="2"/>
      <c r="AW421" s="2"/>
      <c r="AX421" s="2"/>
      <c r="AY421" s="2"/>
    </row>
    <row r="422" spans="30:51" ht="10.5" customHeight="1" x14ac:dyDescent="0.15">
      <c r="AD422" s="105">
        <v>42401</v>
      </c>
      <c r="AF422" s="105">
        <v>42401</v>
      </c>
      <c r="AG422" s="90">
        <v>0</v>
      </c>
      <c r="AH422" s="90">
        <v>0</v>
      </c>
      <c r="AI422" s="99">
        <v>0</v>
      </c>
      <c r="AJ422" s="95">
        <v>0</v>
      </c>
      <c r="AK422" s="90">
        <v>0</v>
      </c>
      <c r="AL422" s="99">
        <v>0</v>
      </c>
      <c r="AM422" s="231"/>
      <c r="AN422" s="231"/>
      <c r="AO422" s="227" t="s">
        <v>20</v>
      </c>
      <c r="AP422" s="115" t="e">
        <v>#DIV/0!</v>
      </c>
      <c r="AQ422" s="114" t="e">
        <v>#DIV/0!</v>
      </c>
      <c r="AR422" s="115" t="e">
        <v>#DIV/0!</v>
      </c>
      <c r="AU422" s="2"/>
      <c r="AV422" s="2"/>
      <c r="AW422" s="2"/>
      <c r="AX422" s="2"/>
      <c r="AY422" s="2"/>
    </row>
    <row r="423" spans="30:51" ht="10.5" customHeight="1" x14ac:dyDescent="0.15">
      <c r="AD423" s="105">
        <v>42430</v>
      </c>
      <c r="AF423" s="105">
        <v>42430</v>
      </c>
      <c r="AG423" s="90">
        <v>0</v>
      </c>
      <c r="AH423" s="90">
        <v>0</v>
      </c>
      <c r="AI423" s="99">
        <v>0</v>
      </c>
      <c r="AJ423" s="95">
        <v>0</v>
      </c>
      <c r="AK423" s="90">
        <v>0</v>
      </c>
      <c r="AL423" s="99">
        <v>0</v>
      </c>
      <c r="AM423" s="65" t="s">
        <v>20</v>
      </c>
      <c r="AN423" s="68">
        <v>1300000000</v>
      </c>
      <c r="AO423" s="206"/>
      <c r="AP423" s="115" t="e">
        <v>#DIV/0!</v>
      </c>
      <c r="AQ423" s="114" t="e">
        <v>#DIV/0!</v>
      </c>
      <c r="AR423" s="115" t="e">
        <v>#DIV/0!</v>
      </c>
      <c r="AU423" s="2"/>
      <c r="AV423" s="2"/>
      <c r="AW423" s="2"/>
      <c r="AX423" s="2"/>
      <c r="AY423" s="2"/>
    </row>
    <row r="424" spans="30:51" ht="10.5" customHeight="1" x14ac:dyDescent="0.15">
      <c r="AD424" s="105">
        <v>42461</v>
      </c>
      <c r="AF424" s="105">
        <v>42461</v>
      </c>
      <c r="AG424" s="90">
        <v>0</v>
      </c>
      <c r="AH424" s="90">
        <v>0</v>
      </c>
      <c r="AI424" s="99">
        <v>0</v>
      </c>
      <c r="AJ424" s="95">
        <v>0</v>
      </c>
      <c r="AK424" s="90">
        <v>0</v>
      </c>
      <c r="AL424" s="99">
        <v>0</v>
      </c>
      <c r="AM424" s="225"/>
      <c r="AN424" s="231"/>
      <c r="AO424" s="206"/>
      <c r="AP424" s="115" t="e">
        <v>#DIV/0!</v>
      </c>
      <c r="AQ424" s="114" t="e">
        <v>#DIV/0!</v>
      </c>
      <c r="AR424" s="115" t="e">
        <v>#DIV/0!</v>
      </c>
      <c r="AU424" s="2"/>
      <c r="AV424" s="2"/>
      <c r="AW424" s="2"/>
      <c r="AX424" s="2"/>
      <c r="AY424" s="2"/>
    </row>
    <row r="425" spans="30:51" ht="10.5" customHeight="1" x14ac:dyDescent="0.15">
      <c r="AD425" s="105">
        <v>42491</v>
      </c>
      <c r="AF425" s="105">
        <v>42491</v>
      </c>
      <c r="AG425" s="90">
        <v>0</v>
      </c>
      <c r="AH425" s="90">
        <v>0</v>
      </c>
      <c r="AI425" s="99">
        <v>0</v>
      </c>
      <c r="AJ425" s="95">
        <v>0</v>
      </c>
      <c r="AK425" s="90">
        <v>0</v>
      </c>
      <c r="AL425" s="99">
        <v>0</v>
      </c>
      <c r="AM425" s="65"/>
      <c r="AN425" s="231"/>
      <c r="AO425" s="227" t="s">
        <v>20</v>
      </c>
      <c r="AP425" s="115" t="e">
        <v>#DIV/0!</v>
      </c>
      <c r="AQ425" s="114" t="e">
        <v>#DIV/0!</v>
      </c>
      <c r="AR425" s="115" t="e">
        <v>#DIV/0!</v>
      </c>
      <c r="AU425" s="2"/>
      <c r="AV425" s="2"/>
      <c r="AW425" s="2"/>
      <c r="AX425" s="2"/>
      <c r="AY425" s="2"/>
    </row>
    <row r="426" spans="30:51" ht="10.5" customHeight="1" x14ac:dyDescent="0.15">
      <c r="AD426" s="105">
        <v>42522</v>
      </c>
      <c r="AF426" s="105">
        <v>42522</v>
      </c>
      <c r="AG426" s="90">
        <v>0</v>
      </c>
      <c r="AH426" s="90">
        <v>0</v>
      </c>
      <c r="AI426" s="99">
        <v>0</v>
      </c>
      <c r="AJ426" s="95">
        <v>0</v>
      </c>
      <c r="AK426" s="90">
        <v>0</v>
      </c>
      <c r="AL426" s="99">
        <v>0</v>
      </c>
      <c r="AM426" s="65" t="s">
        <v>20</v>
      </c>
      <c r="AN426" s="68">
        <v>3000000000</v>
      </c>
      <c r="AO426" s="206"/>
      <c r="AP426" s="115" t="e">
        <v>#DIV/0!</v>
      </c>
      <c r="AQ426" s="114" t="e">
        <v>#DIV/0!</v>
      </c>
      <c r="AR426" s="115" t="e">
        <v>#DIV/0!</v>
      </c>
      <c r="AU426" s="2"/>
      <c r="AV426" s="2"/>
      <c r="AW426" s="2"/>
      <c r="AX426" s="2"/>
      <c r="AY426" s="2"/>
    </row>
    <row r="427" spans="30:51" ht="10.5" customHeight="1" x14ac:dyDescent="0.15">
      <c r="AD427" s="105">
        <v>42552</v>
      </c>
      <c r="AF427" s="105">
        <v>42552</v>
      </c>
      <c r="AG427" s="90">
        <v>0</v>
      </c>
      <c r="AH427" s="90">
        <v>0</v>
      </c>
      <c r="AI427" s="99">
        <v>0</v>
      </c>
      <c r="AJ427" s="95">
        <v>0</v>
      </c>
      <c r="AK427" s="90">
        <v>0</v>
      </c>
      <c r="AL427" s="99">
        <v>0</v>
      </c>
      <c r="AM427" s="225"/>
      <c r="AN427" s="231"/>
      <c r="AO427" s="206"/>
      <c r="AP427" s="115" t="e">
        <v>#DIV/0!</v>
      </c>
      <c r="AQ427" s="114" t="e">
        <v>#DIV/0!</v>
      </c>
      <c r="AR427" s="115" t="e">
        <v>#DIV/0!</v>
      </c>
      <c r="AU427" s="2"/>
      <c r="AV427" s="2"/>
      <c r="AW427" s="2"/>
      <c r="AX427" s="2"/>
      <c r="AY427" s="2"/>
    </row>
    <row r="428" spans="30:51" ht="10.5" customHeight="1" x14ac:dyDescent="0.15">
      <c r="AD428" s="105">
        <v>42583</v>
      </c>
      <c r="AF428" s="105">
        <v>42583</v>
      </c>
      <c r="AG428" s="90">
        <v>0</v>
      </c>
      <c r="AH428" s="90">
        <v>0</v>
      </c>
      <c r="AI428" s="99">
        <v>0</v>
      </c>
      <c r="AJ428" s="95">
        <v>0</v>
      </c>
      <c r="AK428" s="90">
        <v>0</v>
      </c>
      <c r="AL428" s="99">
        <v>0</v>
      </c>
      <c r="AM428" s="65"/>
      <c r="AN428" s="231"/>
      <c r="AO428" s="227" t="s">
        <v>20</v>
      </c>
      <c r="AP428" s="115" t="e">
        <v>#DIV/0!</v>
      </c>
      <c r="AQ428" s="114" t="e">
        <v>#DIV/0!</v>
      </c>
      <c r="AR428" s="115" t="e">
        <v>#DIV/0!</v>
      </c>
      <c r="AU428" s="2"/>
      <c r="AV428" s="2"/>
      <c r="AW428" s="2"/>
      <c r="AX428" s="2"/>
      <c r="AY428" s="2"/>
    </row>
    <row r="429" spans="30:51" ht="10.5" customHeight="1" x14ac:dyDescent="0.15">
      <c r="AD429" s="105">
        <v>42614</v>
      </c>
      <c r="AF429" s="105">
        <v>42614</v>
      </c>
      <c r="AG429" s="90">
        <v>0</v>
      </c>
      <c r="AH429" s="90">
        <v>0</v>
      </c>
      <c r="AI429" s="99">
        <v>0</v>
      </c>
      <c r="AJ429" s="95">
        <v>0</v>
      </c>
      <c r="AK429" s="90">
        <v>0</v>
      </c>
      <c r="AL429" s="99">
        <v>0</v>
      </c>
      <c r="AM429" s="230" t="s">
        <v>20</v>
      </c>
      <c r="AN429" s="68" t="s">
        <v>20</v>
      </c>
      <c r="AO429" s="206"/>
      <c r="AP429" s="115" t="e">
        <v>#DIV/0!</v>
      </c>
      <c r="AQ429" s="114" t="e">
        <v>#DIV/0!</v>
      </c>
      <c r="AR429" s="115" t="e">
        <v>#DIV/0!</v>
      </c>
      <c r="AU429" s="2"/>
      <c r="AV429" s="2"/>
      <c r="AW429" s="2"/>
      <c r="AX429" s="2"/>
      <c r="AY429" s="2"/>
    </row>
    <row r="430" spans="30:51" ht="10.5" customHeight="1" x14ac:dyDescent="0.15">
      <c r="AD430" s="105">
        <v>42644</v>
      </c>
      <c r="AF430" s="105">
        <v>42644</v>
      </c>
      <c r="AG430" s="90">
        <v>0</v>
      </c>
      <c r="AH430" s="90">
        <v>0</v>
      </c>
      <c r="AI430" s="99">
        <v>0</v>
      </c>
      <c r="AJ430" s="95">
        <v>0</v>
      </c>
      <c r="AK430" s="90">
        <v>0</v>
      </c>
      <c r="AL430" s="99">
        <v>0</v>
      </c>
      <c r="AM430" s="65"/>
      <c r="AN430" s="231"/>
      <c r="AO430" s="206"/>
      <c r="AP430" s="115" t="e">
        <v>#DIV/0!</v>
      </c>
      <c r="AQ430" s="114" t="e">
        <v>#DIV/0!</v>
      </c>
      <c r="AR430" s="115" t="e">
        <v>#DIV/0!</v>
      </c>
      <c r="AU430" s="2"/>
      <c r="AV430" s="2"/>
      <c r="AW430" s="2"/>
      <c r="AX430" s="2"/>
      <c r="AY430" s="2"/>
    </row>
    <row r="431" spans="30:51" ht="10.5" customHeight="1" x14ac:dyDescent="0.15">
      <c r="AD431" s="105">
        <v>42675</v>
      </c>
      <c r="AF431" s="105">
        <v>42675</v>
      </c>
      <c r="AG431" s="90">
        <v>0</v>
      </c>
      <c r="AH431" s="90">
        <v>0</v>
      </c>
      <c r="AI431" s="99">
        <v>0</v>
      </c>
      <c r="AJ431" s="95">
        <v>0</v>
      </c>
      <c r="AK431" s="90">
        <v>0</v>
      </c>
      <c r="AL431" s="99">
        <v>0</v>
      </c>
      <c r="AM431" s="65"/>
      <c r="AN431" s="231"/>
      <c r="AO431" s="227" t="s">
        <v>20</v>
      </c>
      <c r="AP431" s="115" t="e">
        <v>#DIV/0!</v>
      </c>
      <c r="AQ431" s="114" t="e">
        <v>#DIV/0!</v>
      </c>
      <c r="AR431" s="115" t="e">
        <v>#DIV/0!</v>
      </c>
      <c r="AU431" s="2"/>
      <c r="AV431" s="2"/>
      <c r="AW431" s="2"/>
      <c r="AX431" s="2"/>
      <c r="AY431" s="2"/>
    </row>
    <row r="432" spans="30:51" ht="10.5" customHeight="1" x14ac:dyDescent="0.15">
      <c r="AD432" s="105">
        <v>42705</v>
      </c>
      <c r="AF432" s="105">
        <v>42705</v>
      </c>
      <c r="AG432" s="90">
        <v>0</v>
      </c>
      <c r="AH432" s="90">
        <v>0</v>
      </c>
      <c r="AI432" s="99">
        <v>0</v>
      </c>
      <c r="AJ432" s="95">
        <v>0</v>
      </c>
      <c r="AK432" s="90">
        <v>0</v>
      </c>
      <c r="AL432" s="99">
        <v>0</v>
      </c>
      <c r="AM432" s="230" t="s">
        <v>20</v>
      </c>
      <c r="AN432" s="68" t="s">
        <v>20</v>
      </c>
      <c r="AO432" s="206"/>
      <c r="AP432" s="115" t="e">
        <v>#DIV/0!</v>
      </c>
      <c r="AQ432" s="114" t="e">
        <v>#DIV/0!</v>
      </c>
      <c r="AR432" s="115" t="e">
        <v>#DIV/0!</v>
      </c>
      <c r="AU432" s="2"/>
      <c r="AV432" s="2"/>
      <c r="AW432" s="2"/>
      <c r="AX432" s="2"/>
      <c r="AY432" s="2"/>
    </row>
    <row r="433" spans="30:51" ht="10.5" customHeight="1" x14ac:dyDescent="0.15">
      <c r="AD433" s="105">
        <v>42736</v>
      </c>
      <c r="AF433" s="105">
        <v>42736</v>
      </c>
      <c r="AG433" s="90">
        <v>0</v>
      </c>
      <c r="AH433" s="90">
        <v>0</v>
      </c>
      <c r="AI433" s="99">
        <v>0</v>
      </c>
      <c r="AJ433" s="95">
        <v>0</v>
      </c>
      <c r="AK433" s="90">
        <v>0</v>
      </c>
      <c r="AL433" s="99">
        <v>0</v>
      </c>
      <c r="AM433" s="65"/>
      <c r="AN433" s="231"/>
      <c r="AO433" s="206"/>
      <c r="AP433" s="115" t="e">
        <v>#DIV/0!</v>
      </c>
      <c r="AQ433" s="114" t="e">
        <v>#DIV/0!</v>
      </c>
      <c r="AR433" s="115" t="e">
        <v>#DIV/0!</v>
      </c>
      <c r="AU433" s="2"/>
      <c r="AV433" s="2"/>
      <c r="AW433" s="2"/>
      <c r="AX433" s="2"/>
      <c r="AY433" s="2"/>
    </row>
    <row r="434" spans="30:51" ht="10.5" customHeight="1" x14ac:dyDescent="0.15">
      <c r="AD434" s="105">
        <v>42767</v>
      </c>
      <c r="AF434" s="105">
        <v>42767</v>
      </c>
      <c r="AG434" s="90">
        <v>0</v>
      </c>
      <c r="AH434" s="90">
        <v>0</v>
      </c>
      <c r="AI434" s="99">
        <v>0</v>
      </c>
      <c r="AJ434" s="95">
        <v>0</v>
      </c>
      <c r="AK434" s="90">
        <v>0</v>
      </c>
      <c r="AL434" s="99">
        <v>0</v>
      </c>
      <c r="AM434" s="65"/>
      <c r="AN434" s="231"/>
      <c r="AO434" s="227" t="s">
        <v>20</v>
      </c>
      <c r="AP434" s="115" t="e">
        <v>#DIV/0!</v>
      </c>
      <c r="AQ434" s="114" t="e">
        <v>#DIV/0!</v>
      </c>
      <c r="AR434" s="115" t="e">
        <v>#DIV/0!</v>
      </c>
      <c r="AU434" s="2"/>
      <c r="AV434" s="2"/>
      <c r="AW434" s="2"/>
      <c r="AX434" s="2"/>
      <c r="AY434" s="2"/>
    </row>
    <row r="435" spans="30:51" ht="10.5" customHeight="1" x14ac:dyDescent="0.15">
      <c r="AD435" s="105">
        <v>42795</v>
      </c>
      <c r="AF435" s="105">
        <v>42795</v>
      </c>
      <c r="AG435" s="90">
        <v>0</v>
      </c>
      <c r="AH435" s="90">
        <v>0</v>
      </c>
      <c r="AI435" s="99">
        <v>0</v>
      </c>
      <c r="AJ435" s="95">
        <v>0</v>
      </c>
      <c r="AK435" s="90">
        <v>0</v>
      </c>
      <c r="AL435" s="99">
        <v>0</v>
      </c>
      <c r="AM435" s="65" t="s">
        <v>20</v>
      </c>
      <c r="AN435" s="68" t="s">
        <v>20</v>
      </c>
      <c r="AO435" s="206"/>
      <c r="AP435" s="115" t="e">
        <v>#DIV/0!</v>
      </c>
      <c r="AQ435" s="114" t="e">
        <v>#DIV/0!</v>
      </c>
      <c r="AR435" s="115" t="e">
        <v>#DIV/0!</v>
      </c>
      <c r="AU435" s="2"/>
      <c r="AV435" s="2"/>
      <c r="AW435" s="2"/>
      <c r="AX435" s="2"/>
      <c r="AY435" s="2"/>
    </row>
    <row r="436" spans="30:51" ht="10.5" customHeight="1" x14ac:dyDescent="0.15">
      <c r="AD436" s="105">
        <v>42826</v>
      </c>
      <c r="AF436" s="105">
        <v>42826</v>
      </c>
      <c r="AG436" s="90">
        <v>0</v>
      </c>
      <c r="AH436" s="90">
        <v>0</v>
      </c>
      <c r="AI436" s="99">
        <v>0</v>
      </c>
      <c r="AJ436" s="95">
        <v>0</v>
      </c>
      <c r="AK436" s="90">
        <v>0</v>
      </c>
      <c r="AL436" s="99">
        <v>0</v>
      </c>
      <c r="AM436" s="225"/>
      <c r="AN436" s="231"/>
      <c r="AO436" s="206"/>
      <c r="AP436" s="115" t="e">
        <v>#DIV/0!</v>
      </c>
      <c r="AQ436" s="114" t="e">
        <v>#DIV/0!</v>
      </c>
      <c r="AR436" s="115" t="e">
        <v>#DIV/0!</v>
      </c>
      <c r="AU436" s="2"/>
      <c r="AV436" s="2"/>
      <c r="AW436" s="2"/>
      <c r="AX436" s="2"/>
      <c r="AY436" s="2"/>
    </row>
    <row r="437" spans="30:51" ht="10.5" customHeight="1" x14ac:dyDescent="0.15">
      <c r="AD437" s="105">
        <v>42856</v>
      </c>
      <c r="AF437" s="105">
        <v>42856</v>
      </c>
      <c r="AG437" s="90">
        <v>0</v>
      </c>
      <c r="AH437" s="90">
        <v>0</v>
      </c>
      <c r="AI437" s="99">
        <v>0</v>
      </c>
      <c r="AJ437" s="95">
        <v>0</v>
      </c>
      <c r="AK437" s="90">
        <v>0</v>
      </c>
      <c r="AL437" s="99">
        <v>0</v>
      </c>
      <c r="AM437" s="225"/>
      <c r="AN437" s="231"/>
      <c r="AO437" s="227" t="s">
        <v>20</v>
      </c>
      <c r="AP437" s="115" t="e">
        <v>#DIV/0!</v>
      </c>
      <c r="AQ437" s="114" t="e">
        <v>#DIV/0!</v>
      </c>
      <c r="AR437" s="115" t="e">
        <v>#DIV/0!</v>
      </c>
      <c r="AU437" s="2"/>
      <c r="AV437" s="2"/>
      <c r="AW437" s="2"/>
      <c r="AX437" s="2"/>
      <c r="AY437" s="2"/>
    </row>
    <row r="438" spans="30:51" ht="10.5" customHeight="1" x14ac:dyDescent="0.15">
      <c r="AD438" s="105">
        <v>42887</v>
      </c>
      <c r="AF438" s="105">
        <v>42887</v>
      </c>
      <c r="AG438" s="90">
        <v>0</v>
      </c>
      <c r="AH438" s="90">
        <v>0</v>
      </c>
      <c r="AI438" s="99">
        <v>0</v>
      </c>
      <c r="AJ438" s="95">
        <v>0</v>
      </c>
      <c r="AK438" s="90">
        <v>0</v>
      </c>
      <c r="AL438" s="99">
        <v>0</v>
      </c>
      <c r="AM438" s="65" t="s">
        <v>20</v>
      </c>
      <c r="AN438" s="68" t="s">
        <v>20</v>
      </c>
      <c r="AO438" s="206"/>
      <c r="AP438" s="115" t="e">
        <v>#DIV/0!</v>
      </c>
      <c r="AQ438" s="114" t="e">
        <v>#DIV/0!</v>
      </c>
      <c r="AR438" s="115" t="e">
        <v>#DIV/0!</v>
      </c>
      <c r="AU438" s="2"/>
      <c r="AV438" s="2"/>
      <c r="AW438" s="2"/>
      <c r="AX438" s="2"/>
      <c r="AY438" s="2"/>
    </row>
    <row r="439" spans="30:51" ht="10.5" customHeight="1" x14ac:dyDescent="0.15">
      <c r="AD439" s="105">
        <v>42917</v>
      </c>
      <c r="AF439" s="105">
        <v>42917</v>
      </c>
      <c r="AG439" s="90">
        <v>0</v>
      </c>
      <c r="AH439" s="90">
        <v>0</v>
      </c>
      <c r="AI439" s="99">
        <v>0</v>
      </c>
      <c r="AJ439" s="95">
        <v>0</v>
      </c>
      <c r="AK439" s="90">
        <v>0</v>
      </c>
      <c r="AL439" s="99">
        <v>0</v>
      </c>
      <c r="AM439" s="225"/>
      <c r="AN439" s="231"/>
      <c r="AO439" s="206"/>
      <c r="AP439" s="115" t="e">
        <v>#DIV/0!</v>
      </c>
      <c r="AQ439" s="114" t="e">
        <v>#DIV/0!</v>
      </c>
      <c r="AR439" s="115" t="e">
        <v>#DIV/0!</v>
      </c>
      <c r="AU439" s="2"/>
      <c r="AV439" s="2"/>
      <c r="AW439" s="2"/>
      <c r="AX439" s="2"/>
      <c r="AY439" s="2"/>
    </row>
    <row r="440" spans="30:51" ht="10.5" customHeight="1" x14ac:dyDescent="0.15">
      <c r="AD440" s="105">
        <v>42948</v>
      </c>
      <c r="AF440" s="105">
        <v>42948</v>
      </c>
      <c r="AG440" s="90">
        <v>0</v>
      </c>
      <c r="AH440" s="90">
        <v>0</v>
      </c>
      <c r="AI440" s="99">
        <v>0</v>
      </c>
      <c r="AJ440" s="95">
        <v>0</v>
      </c>
      <c r="AK440" s="90">
        <v>0</v>
      </c>
      <c r="AL440" s="99">
        <v>0</v>
      </c>
      <c r="AM440" s="225"/>
      <c r="AN440" s="231"/>
      <c r="AO440" s="227" t="s">
        <v>20</v>
      </c>
      <c r="AP440" s="115" t="e">
        <v>#DIV/0!</v>
      </c>
      <c r="AQ440" s="114" t="e">
        <v>#DIV/0!</v>
      </c>
      <c r="AR440" s="115" t="e">
        <v>#DIV/0!</v>
      </c>
      <c r="AU440" s="2"/>
      <c r="AV440" s="2"/>
      <c r="AW440" s="2"/>
      <c r="AX440" s="2"/>
      <c r="AY440" s="2"/>
    </row>
    <row r="441" spans="30:51" ht="10.5" customHeight="1" x14ac:dyDescent="0.15">
      <c r="AD441" s="105">
        <v>42979</v>
      </c>
      <c r="AF441" s="105">
        <v>42979</v>
      </c>
      <c r="AG441" s="90">
        <v>0</v>
      </c>
      <c r="AH441" s="90">
        <v>0</v>
      </c>
      <c r="AI441" s="99">
        <v>0</v>
      </c>
      <c r="AJ441" s="95">
        <v>0</v>
      </c>
      <c r="AK441" s="90">
        <v>0</v>
      </c>
      <c r="AL441" s="99">
        <v>0</v>
      </c>
      <c r="AM441" s="65" t="s">
        <v>20</v>
      </c>
      <c r="AN441" s="68" t="s">
        <v>20</v>
      </c>
      <c r="AO441" s="206"/>
      <c r="AP441" s="115" t="e">
        <v>#DIV/0!</v>
      </c>
      <c r="AQ441" s="114" t="e">
        <v>#DIV/0!</v>
      </c>
      <c r="AR441" s="115" t="e">
        <v>#DIV/0!</v>
      </c>
      <c r="AU441" s="2"/>
      <c r="AV441" s="2"/>
      <c r="AW441" s="2"/>
      <c r="AX441" s="2"/>
      <c r="AY441" s="2"/>
    </row>
    <row r="442" spans="30:51" ht="10.5" customHeight="1" x14ac:dyDescent="0.15">
      <c r="AD442" s="105">
        <v>43009</v>
      </c>
      <c r="AF442" s="105">
        <v>43009</v>
      </c>
      <c r="AG442" s="90">
        <v>0</v>
      </c>
      <c r="AH442" s="90">
        <v>0</v>
      </c>
      <c r="AI442" s="99">
        <v>0</v>
      </c>
      <c r="AJ442" s="95">
        <v>0</v>
      </c>
      <c r="AK442" s="90">
        <v>0</v>
      </c>
      <c r="AL442" s="99">
        <v>0</v>
      </c>
      <c r="AM442" s="225"/>
      <c r="AN442" s="231"/>
      <c r="AO442" s="227" t="s">
        <v>20</v>
      </c>
      <c r="AP442" s="115" t="e">
        <v>#DIV/0!</v>
      </c>
      <c r="AQ442" s="114" t="e">
        <v>#DIV/0!</v>
      </c>
      <c r="AR442" s="115" t="e">
        <v>#DIV/0!</v>
      </c>
      <c r="AU442" s="2"/>
      <c r="AV442" s="2"/>
      <c r="AW442" s="2"/>
      <c r="AX442" s="2"/>
      <c r="AY442" s="2"/>
    </row>
    <row r="443" spans="30:51" ht="10.5" customHeight="1" x14ac:dyDescent="0.15">
      <c r="AD443" s="105">
        <v>43040</v>
      </c>
      <c r="AF443" s="105">
        <v>43040</v>
      </c>
      <c r="AG443" s="90">
        <v>0</v>
      </c>
      <c r="AH443" s="90">
        <v>0</v>
      </c>
      <c r="AI443" s="99">
        <v>0</v>
      </c>
      <c r="AJ443" s="95">
        <v>0</v>
      </c>
      <c r="AK443" s="90">
        <v>0</v>
      </c>
      <c r="AL443" s="99">
        <v>0</v>
      </c>
      <c r="AM443" s="225"/>
      <c r="AN443" s="231"/>
      <c r="AO443" s="206"/>
      <c r="AP443" s="115" t="e">
        <v>#DIV/0!</v>
      </c>
      <c r="AQ443" s="114" t="e">
        <v>#DIV/0!</v>
      </c>
      <c r="AR443" s="115" t="e">
        <v>#DIV/0!</v>
      </c>
      <c r="AU443" s="2"/>
      <c r="AV443" s="2"/>
      <c r="AW443" s="2"/>
      <c r="AX443" s="2"/>
      <c r="AY443" s="2"/>
    </row>
    <row r="444" spans="30:51" ht="10.5" customHeight="1" x14ac:dyDescent="0.15">
      <c r="AD444" s="105">
        <v>43070</v>
      </c>
      <c r="AF444" s="105">
        <v>43070</v>
      </c>
      <c r="AG444" s="90">
        <v>0</v>
      </c>
      <c r="AH444" s="90">
        <v>0</v>
      </c>
      <c r="AI444" s="99">
        <v>0</v>
      </c>
      <c r="AJ444" s="95">
        <v>0</v>
      </c>
      <c r="AK444" s="90">
        <v>0</v>
      </c>
      <c r="AL444" s="99">
        <v>0</v>
      </c>
      <c r="AM444" s="65" t="s">
        <v>20</v>
      </c>
      <c r="AN444" s="68">
        <v>120000000</v>
      </c>
      <c r="AO444" s="206"/>
      <c r="AP444" s="115" t="e">
        <v>#DIV/0!</v>
      </c>
      <c r="AQ444" s="114" t="e">
        <v>#DIV/0!</v>
      </c>
      <c r="AR444" s="115" t="e">
        <v>#DIV/0!</v>
      </c>
      <c r="AU444" s="2"/>
      <c r="AV444" s="2"/>
      <c r="AW444" s="2"/>
      <c r="AX444" s="2"/>
      <c r="AY444" s="2"/>
    </row>
    <row r="445" spans="30:51" ht="10.5" customHeight="1" x14ac:dyDescent="0.15">
      <c r="AD445" s="105">
        <v>43101</v>
      </c>
      <c r="AF445" s="105">
        <v>43101</v>
      </c>
      <c r="AG445" s="90">
        <v>0</v>
      </c>
      <c r="AH445" s="90">
        <v>0</v>
      </c>
      <c r="AI445" s="99">
        <v>0</v>
      </c>
      <c r="AJ445" s="95">
        <v>0</v>
      </c>
      <c r="AK445" s="90">
        <v>0</v>
      </c>
      <c r="AL445" s="99">
        <v>0</v>
      </c>
      <c r="AM445" s="225"/>
      <c r="AN445" s="231"/>
      <c r="AO445" s="227" t="s">
        <v>20</v>
      </c>
      <c r="AP445" s="115" t="e">
        <v>#DIV/0!</v>
      </c>
      <c r="AQ445" s="114" t="e">
        <v>#DIV/0!</v>
      </c>
      <c r="AR445" s="115" t="e">
        <v>#DIV/0!</v>
      </c>
      <c r="AU445" s="2"/>
      <c r="AV445" s="2"/>
      <c r="AW445" s="2"/>
      <c r="AX445" s="2"/>
      <c r="AY445" s="2"/>
    </row>
    <row r="446" spans="30:51" ht="10.5" customHeight="1" x14ac:dyDescent="0.15">
      <c r="AD446" s="105">
        <v>43132</v>
      </c>
      <c r="AF446" s="105">
        <v>43132</v>
      </c>
      <c r="AG446" s="90">
        <v>0</v>
      </c>
      <c r="AH446" s="90">
        <v>0</v>
      </c>
      <c r="AI446" s="99">
        <v>0</v>
      </c>
      <c r="AJ446" s="95">
        <v>0</v>
      </c>
      <c r="AK446" s="90">
        <v>0</v>
      </c>
      <c r="AL446" s="99">
        <v>0</v>
      </c>
      <c r="AM446" s="65"/>
      <c r="AN446" s="231"/>
      <c r="AO446" s="206"/>
      <c r="AP446" s="115" t="e">
        <v>#DIV/0!</v>
      </c>
      <c r="AQ446" s="114" t="e">
        <v>#DIV/0!</v>
      </c>
      <c r="AR446" s="115" t="e">
        <v>#DIV/0!</v>
      </c>
      <c r="AU446" s="2"/>
      <c r="AV446" s="2"/>
      <c r="AW446" s="2"/>
      <c r="AX446" s="2"/>
      <c r="AY446" s="2"/>
    </row>
    <row r="447" spans="30:51" ht="10.5" customHeight="1" x14ac:dyDescent="0.15">
      <c r="AD447" s="105">
        <v>43160</v>
      </c>
      <c r="AF447" s="105">
        <v>43160</v>
      </c>
      <c r="AG447" s="90">
        <v>0</v>
      </c>
      <c r="AH447" s="90">
        <v>0</v>
      </c>
      <c r="AI447" s="99">
        <v>0</v>
      </c>
      <c r="AJ447" s="95">
        <v>0</v>
      </c>
      <c r="AK447" s="90">
        <v>0</v>
      </c>
      <c r="AL447" s="99">
        <v>0</v>
      </c>
      <c r="AM447" s="65" t="s">
        <v>20</v>
      </c>
      <c r="AN447" s="68">
        <v>250000000</v>
      </c>
      <c r="AO447" s="206"/>
      <c r="AP447" s="115" t="e">
        <v>#DIV/0!</v>
      </c>
      <c r="AQ447" s="114" t="e">
        <v>#DIV/0!</v>
      </c>
      <c r="AR447" s="115" t="e">
        <v>#DIV/0!</v>
      </c>
      <c r="AU447" s="2"/>
      <c r="AV447" s="2"/>
      <c r="AW447" s="2"/>
      <c r="AX447" s="2"/>
      <c r="AY447" s="2"/>
    </row>
    <row r="448" spans="30:51" ht="10.5" customHeight="1" x14ac:dyDescent="0.15">
      <c r="AD448" s="105">
        <v>43191</v>
      </c>
      <c r="AF448" s="105">
        <v>43191</v>
      </c>
      <c r="AG448" s="90">
        <v>0</v>
      </c>
      <c r="AH448" s="90">
        <v>0</v>
      </c>
      <c r="AI448" s="99">
        <v>0</v>
      </c>
      <c r="AJ448" s="95">
        <v>0</v>
      </c>
      <c r="AK448" s="90">
        <v>0</v>
      </c>
      <c r="AL448" s="99">
        <v>0</v>
      </c>
      <c r="AM448" s="225"/>
      <c r="AN448" s="231"/>
      <c r="AO448" s="227" t="s">
        <v>20</v>
      </c>
      <c r="AP448" s="115" t="e">
        <v>#DIV/0!</v>
      </c>
      <c r="AQ448" s="114" t="e">
        <v>#DIV/0!</v>
      </c>
      <c r="AR448" s="115" t="e">
        <v>#DIV/0!</v>
      </c>
      <c r="AU448" s="2"/>
      <c r="AV448" s="2"/>
      <c r="AW448" s="2"/>
      <c r="AX448" s="2"/>
      <c r="AY448" s="2"/>
    </row>
    <row r="449" spans="30:51" ht="10.5" customHeight="1" x14ac:dyDescent="0.15">
      <c r="AD449" s="105">
        <v>43221</v>
      </c>
      <c r="AF449" s="105">
        <v>43221</v>
      </c>
      <c r="AG449" s="90">
        <v>0</v>
      </c>
      <c r="AH449" s="90">
        <v>0</v>
      </c>
      <c r="AI449" s="99">
        <v>0</v>
      </c>
      <c r="AJ449" s="95">
        <v>0</v>
      </c>
      <c r="AK449" s="90">
        <v>0</v>
      </c>
      <c r="AL449" s="99">
        <v>0</v>
      </c>
      <c r="AM449" s="65"/>
      <c r="AN449" s="231"/>
      <c r="AO449" s="206"/>
      <c r="AP449" s="115" t="e">
        <v>#DIV/0!</v>
      </c>
      <c r="AQ449" s="114" t="e">
        <v>#DIV/0!</v>
      </c>
      <c r="AR449" s="115" t="e">
        <v>#DIV/0!</v>
      </c>
      <c r="AU449" s="2"/>
      <c r="AV449" s="2"/>
      <c r="AW449" s="2"/>
      <c r="AX449" s="2"/>
      <c r="AY449" s="2"/>
    </row>
    <row r="450" spans="30:51" ht="10.5" customHeight="1" x14ac:dyDescent="0.15">
      <c r="AD450" s="105">
        <v>43252</v>
      </c>
      <c r="AF450" s="105">
        <v>43252</v>
      </c>
      <c r="AG450" s="90">
        <v>0</v>
      </c>
      <c r="AH450" s="90">
        <v>0</v>
      </c>
      <c r="AI450" s="99">
        <v>0</v>
      </c>
      <c r="AJ450" s="95">
        <v>0</v>
      </c>
      <c r="AK450" s="90">
        <v>0</v>
      </c>
      <c r="AL450" s="99">
        <v>0</v>
      </c>
      <c r="AM450" s="65" t="s">
        <v>20</v>
      </c>
      <c r="AN450" s="68">
        <v>120000000</v>
      </c>
      <c r="AO450" s="206"/>
      <c r="AP450" s="115" t="e">
        <v>#DIV/0!</v>
      </c>
      <c r="AQ450" s="114" t="e">
        <v>#DIV/0!</v>
      </c>
      <c r="AR450" s="115" t="e">
        <v>#DIV/0!</v>
      </c>
      <c r="AU450" s="2"/>
      <c r="AV450" s="2"/>
      <c r="AW450" s="2"/>
      <c r="AX450" s="2"/>
      <c r="AY450" s="2"/>
    </row>
    <row r="451" spans="30:51" ht="10.5" customHeight="1" x14ac:dyDescent="0.15">
      <c r="AD451" s="105">
        <v>43282</v>
      </c>
      <c r="AF451" s="105">
        <v>43282</v>
      </c>
      <c r="AG451" s="90">
        <v>0</v>
      </c>
      <c r="AH451" s="90">
        <v>0</v>
      </c>
      <c r="AI451" s="99">
        <v>0</v>
      </c>
      <c r="AJ451" s="95">
        <v>0</v>
      </c>
      <c r="AK451" s="90">
        <v>0</v>
      </c>
      <c r="AL451" s="99">
        <v>0</v>
      </c>
      <c r="AM451" s="225"/>
      <c r="AN451" s="231"/>
      <c r="AO451" s="227" t="s">
        <v>20</v>
      </c>
      <c r="AP451" s="115" t="e">
        <v>#DIV/0!</v>
      </c>
      <c r="AQ451" s="114" t="e">
        <v>#DIV/0!</v>
      </c>
      <c r="AR451" s="115" t="e">
        <v>#DIV/0!</v>
      </c>
      <c r="AU451" s="2"/>
      <c r="AV451" s="2"/>
      <c r="AW451" s="2"/>
      <c r="AX451" s="2"/>
      <c r="AY451" s="2"/>
    </row>
    <row r="452" spans="30:51" ht="10.5" customHeight="1" x14ac:dyDescent="0.15">
      <c r="AD452" s="105">
        <v>43313</v>
      </c>
      <c r="AF452" s="105">
        <v>43313</v>
      </c>
      <c r="AG452" s="90">
        <v>0</v>
      </c>
      <c r="AH452" s="90">
        <v>0</v>
      </c>
      <c r="AI452" s="99">
        <v>0</v>
      </c>
      <c r="AJ452" s="95">
        <v>0</v>
      </c>
      <c r="AK452" s="90">
        <v>0</v>
      </c>
      <c r="AL452" s="99">
        <v>0</v>
      </c>
      <c r="AM452" s="65"/>
      <c r="AN452" s="231"/>
      <c r="AO452" s="206"/>
      <c r="AP452" s="115" t="e">
        <v>#DIV/0!</v>
      </c>
      <c r="AQ452" s="114" t="e">
        <v>#DIV/0!</v>
      </c>
      <c r="AR452" s="115" t="e">
        <v>#DIV/0!</v>
      </c>
      <c r="AU452" s="2"/>
      <c r="AV452" s="2"/>
      <c r="AW452" s="2"/>
      <c r="AX452" s="2"/>
      <c r="AY452" s="2"/>
    </row>
    <row r="453" spans="30:51" ht="10.5" customHeight="1" x14ac:dyDescent="0.15">
      <c r="AD453" s="105">
        <v>43344</v>
      </c>
      <c r="AF453" s="105">
        <v>43344</v>
      </c>
      <c r="AG453" s="90">
        <v>0</v>
      </c>
      <c r="AH453" s="90">
        <v>0</v>
      </c>
      <c r="AI453" s="99">
        <v>0</v>
      </c>
      <c r="AJ453" s="95">
        <v>0</v>
      </c>
      <c r="AK453" s="90">
        <v>0</v>
      </c>
      <c r="AL453" s="99">
        <v>0</v>
      </c>
      <c r="AM453" s="65" t="s">
        <v>20</v>
      </c>
      <c r="AN453" s="68">
        <v>530000000</v>
      </c>
      <c r="AO453" s="227" t="s">
        <v>20</v>
      </c>
      <c r="AP453" s="115" t="e">
        <v>#DIV/0!</v>
      </c>
      <c r="AQ453" s="114" t="e">
        <v>#DIV/0!</v>
      </c>
      <c r="AR453" s="115" t="e">
        <v>#DIV/0!</v>
      </c>
      <c r="AU453" s="2"/>
      <c r="AV453" s="2"/>
      <c r="AW453" s="2"/>
      <c r="AX453" s="2"/>
      <c r="AY453" s="2"/>
    </row>
    <row r="454" spans="30:51" ht="10.5" customHeight="1" x14ac:dyDescent="0.15">
      <c r="AD454" s="105">
        <v>43374</v>
      </c>
      <c r="AF454" s="105">
        <v>43374</v>
      </c>
      <c r="AG454" s="90">
        <v>0</v>
      </c>
      <c r="AH454" s="90">
        <v>0</v>
      </c>
      <c r="AI454" s="99">
        <v>0</v>
      </c>
      <c r="AJ454" s="95">
        <v>0</v>
      </c>
      <c r="AK454" s="90">
        <v>0</v>
      </c>
      <c r="AL454" s="99">
        <v>0</v>
      </c>
      <c r="AM454" s="225"/>
      <c r="AN454" s="231"/>
      <c r="AO454" s="206"/>
      <c r="AP454" s="115" t="e">
        <v>#DIV/0!</v>
      </c>
      <c r="AQ454" s="114" t="e">
        <v>#DIV/0!</v>
      </c>
      <c r="AR454" s="115" t="e">
        <v>#DIV/0!</v>
      </c>
      <c r="AU454" s="2"/>
      <c r="AV454" s="2"/>
      <c r="AW454" s="2"/>
      <c r="AX454" s="2"/>
      <c r="AY454" s="2"/>
    </row>
    <row r="455" spans="30:51" ht="10.5" customHeight="1" x14ac:dyDescent="0.15">
      <c r="AD455" s="105">
        <v>43405</v>
      </c>
      <c r="AF455" s="105">
        <v>43405</v>
      </c>
      <c r="AG455" s="90">
        <v>0</v>
      </c>
      <c r="AH455" s="90">
        <v>0</v>
      </c>
      <c r="AI455" s="99">
        <v>0</v>
      </c>
      <c r="AJ455" s="95">
        <v>0</v>
      </c>
      <c r="AK455" s="90">
        <v>0</v>
      </c>
      <c r="AL455" s="99">
        <v>0</v>
      </c>
      <c r="AM455" s="65"/>
      <c r="AN455" s="68"/>
      <c r="AO455" s="206"/>
      <c r="AP455" s="115" t="e">
        <v>#DIV/0!</v>
      </c>
      <c r="AQ455" s="114" t="e">
        <v>#DIV/0!</v>
      </c>
      <c r="AR455" s="115" t="e">
        <v>#DIV/0!</v>
      </c>
      <c r="AU455" s="2"/>
      <c r="AV455" s="2"/>
      <c r="AW455" s="2"/>
      <c r="AX455" s="2"/>
      <c r="AY455" s="2"/>
    </row>
    <row r="456" spans="30:51" ht="10.5" customHeight="1" x14ac:dyDescent="0.15">
      <c r="AD456" s="105">
        <v>43435</v>
      </c>
      <c r="AF456" s="105">
        <v>43435</v>
      </c>
      <c r="AG456" s="90">
        <v>0</v>
      </c>
      <c r="AH456" s="90">
        <v>0</v>
      </c>
      <c r="AI456" s="99">
        <v>0</v>
      </c>
      <c r="AJ456" s="95">
        <v>0</v>
      </c>
      <c r="AK456" s="90">
        <v>0</v>
      </c>
      <c r="AL456" s="99">
        <v>0</v>
      </c>
      <c r="AM456" s="230" t="s">
        <v>20</v>
      </c>
      <c r="AN456" s="68">
        <v>550000000</v>
      </c>
      <c r="AO456" s="227" t="s">
        <v>20</v>
      </c>
      <c r="AP456" s="115" t="e">
        <v>#DIV/0!</v>
      </c>
      <c r="AQ456" s="114" t="e">
        <v>#DIV/0!</v>
      </c>
      <c r="AR456" s="115" t="e">
        <v>#DIV/0!</v>
      </c>
      <c r="AU456" s="2"/>
      <c r="AV456" s="2"/>
      <c r="AW456" s="2"/>
      <c r="AX456" s="2"/>
      <c r="AY456" s="2"/>
    </row>
    <row r="457" spans="30:51" ht="10.5" customHeight="1" x14ac:dyDescent="0.15">
      <c r="AD457" s="105">
        <v>43466</v>
      </c>
      <c r="AF457" s="105">
        <v>43466</v>
      </c>
      <c r="AG457" s="90">
        <v>0</v>
      </c>
      <c r="AH457" s="90">
        <v>0</v>
      </c>
      <c r="AI457" s="99">
        <v>0</v>
      </c>
      <c r="AJ457" s="95">
        <v>0</v>
      </c>
      <c r="AK457" s="90">
        <v>0</v>
      </c>
      <c r="AL457" s="99">
        <v>0</v>
      </c>
      <c r="AM457" s="65"/>
      <c r="AN457" s="68"/>
      <c r="AO457" s="206"/>
      <c r="AP457" s="115" t="e">
        <v>#DIV/0!</v>
      </c>
      <c r="AQ457" s="114" t="e">
        <v>#DIV/0!</v>
      </c>
      <c r="AR457" s="115" t="e">
        <v>#DIV/0!</v>
      </c>
      <c r="AU457" s="2"/>
      <c r="AV457" s="2"/>
      <c r="AW457" s="2"/>
      <c r="AX457" s="2"/>
      <c r="AY457" s="2"/>
    </row>
    <row r="458" spans="30:51" ht="10.5" customHeight="1" x14ac:dyDescent="0.15">
      <c r="AD458" s="105">
        <v>43497</v>
      </c>
      <c r="AF458" s="105">
        <v>43497</v>
      </c>
      <c r="AG458" s="90">
        <v>0</v>
      </c>
      <c r="AH458" s="90">
        <v>0</v>
      </c>
      <c r="AI458" s="99">
        <v>0</v>
      </c>
      <c r="AJ458" s="95">
        <v>0</v>
      </c>
      <c r="AK458" s="90">
        <v>0</v>
      </c>
      <c r="AL458" s="99">
        <v>0</v>
      </c>
      <c r="AM458" s="65"/>
      <c r="AN458" s="68"/>
      <c r="AO458" s="206"/>
      <c r="AP458" s="115" t="e">
        <v>#DIV/0!</v>
      </c>
      <c r="AQ458" s="114" t="e">
        <v>#DIV/0!</v>
      </c>
      <c r="AR458" s="115" t="e">
        <v>#DIV/0!</v>
      </c>
      <c r="AU458" s="2"/>
      <c r="AV458" s="2"/>
      <c r="AW458" s="2"/>
      <c r="AX458" s="2"/>
      <c r="AY458" s="2"/>
    </row>
    <row r="459" spans="30:51" ht="10.5" customHeight="1" x14ac:dyDescent="0.15">
      <c r="AD459" s="105">
        <v>43525</v>
      </c>
      <c r="AF459" s="105">
        <v>43525</v>
      </c>
      <c r="AG459" s="90">
        <v>0</v>
      </c>
      <c r="AH459" s="90">
        <v>0</v>
      </c>
      <c r="AI459" s="99">
        <v>0</v>
      </c>
      <c r="AJ459" s="95">
        <v>0</v>
      </c>
      <c r="AK459" s="90">
        <v>0</v>
      </c>
      <c r="AL459" s="99">
        <v>0</v>
      </c>
      <c r="AM459" s="230" t="s">
        <v>20</v>
      </c>
      <c r="AN459" s="68">
        <v>770000000</v>
      </c>
      <c r="AO459" s="227" t="s">
        <v>20</v>
      </c>
      <c r="AP459" s="115" t="e">
        <v>#DIV/0!</v>
      </c>
      <c r="AQ459" s="114" t="e">
        <v>#DIV/0!</v>
      </c>
      <c r="AR459" s="115" t="e">
        <v>#DIV/0!</v>
      </c>
      <c r="AU459" s="2"/>
      <c r="AV459" s="2"/>
      <c r="AW459" s="2"/>
      <c r="AX459" s="2"/>
      <c r="AY459" s="2"/>
    </row>
    <row r="460" spans="30:51" ht="10.5" customHeight="1" x14ac:dyDescent="0.15">
      <c r="AD460" s="105">
        <v>43556</v>
      </c>
      <c r="AF460" s="105">
        <v>43556</v>
      </c>
      <c r="AG460" s="90">
        <v>0</v>
      </c>
      <c r="AH460" s="90">
        <v>0</v>
      </c>
      <c r="AI460" s="99">
        <v>0</v>
      </c>
      <c r="AJ460" s="95">
        <v>0</v>
      </c>
      <c r="AK460" s="90">
        <v>0</v>
      </c>
      <c r="AL460" s="99">
        <v>0</v>
      </c>
      <c r="AM460" s="65"/>
      <c r="AN460" s="68"/>
      <c r="AO460" s="206"/>
      <c r="AP460" s="115" t="e">
        <v>#DIV/0!</v>
      </c>
      <c r="AQ460" s="114" t="e">
        <v>#DIV/0!</v>
      </c>
      <c r="AR460" s="115" t="e">
        <v>#DIV/0!</v>
      </c>
      <c r="AU460" s="2"/>
      <c r="AV460" s="2"/>
      <c r="AW460" s="2"/>
      <c r="AX460" s="2"/>
      <c r="AY460" s="2"/>
    </row>
    <row r="461" spans="30:51" ht="10.5" customHeight="1" x14ac:dyDescent="0.15">
      <c r="AD461" s="105">
        <v>43586</v>
      </c>
      <c r="AF461" s="105">
        <v>43586</v>
      </c>
      <c r="AG461" s="90">
        <v>0</v>
      </c>
      <c r="AH461" s="90">
        <v>0</v>
      </c>
      <c r="AI461" s="99">
        <v>0</v>
      </c>
      <c r="AJ461" s="95">
        <v>0</v>
      </c>
      <c r="AK461" s="90">
        <v>0</v>
      </c>
      <c r="AL461" s="99">
        <v>0</v>
      </c>
      <c r="AM461" s="65"/>
      <c r="AN461" s="68"/>
      <c r="AO461" s="206"/>
      <c r="AP461" s="115" t="e">
        <v>#DIV/0!</v>
      </c>
      <c r="AQ461" s="114" t="e">
        <v>#DIV/0!</v>
      </c>
      <c r="AR461" s="115" t="e">
        <v>#DIV/0!</v>
      </c>
      <c r="AU461" s="2"/>
      <c r="AV461" s="2"/>
      <c r="AW461" s="2"/>
      <c r="AX461" s="2"/>
      <c r="AY461" s="2"/>
    </row>
    <row r="462" spans="30:51" ht="10.5" customHeight="1" x14ac:dyDescent="0.15">
      <c r="AD462" s="105">
        <v>43617</v>
      </c>
      <c r="AF462" s="105">
        <v>43617</v>
      </c>
      <c r="AG462" s="90">
        <v>0</v>
      </c>
      <c r="AH462" s="90">
        <v>0</v>
      </c>
      <c r="AI462" s="99">
        <v>0</v>
      </c>
      <c r="AJ462" s="95">
        <v>0</v>
      </c>
      <c r="AK462" s="90">
        <v>0</v>
      </c>
      <c r="AL462" s="99">
        <v>0</v>
      </c>
      <c r="AM462" s="230" t="s">
        <v>20</v>
      </c>
      <c r="AN462" s="68"/>
      <c r="AO462" s="227" t="s">
        <v>20</v>
      </c>
      <c r="AP462" s="115" t="e">
        <v>#DIV/0!</v>
      </c>
      <c r="AQ462" s="114" t="e">
        <v>#DIV/0!</v>
      </c>
      <c r="AR462" s="115" t="e">
        <v>#DIV/0!</v>
      </c>
      <c r="AU462" s="2"/>
      <c r="AV462" s="2"/>
      <c r="AW462" s="2"/>
      <c r="AX462" s="2"/>
      <c r="AY462" s="2"/>
    </row>
    <row r="463" spans="30:51" ht="10.5" customHeight="1" x14ac:dyDescent="0.15">
      <c r="AD463" s="105">
        <v>43647</v>
      </c>
      <c r="AF463" s="105">
        <v>43647</v>
      </c>
      <c r="AG463" s="90">
        <v>0</v>
      </c>
      <c r="AH463" s="90">
        <v>0</v>
      </c>
      <c r="AI463" s="99">
        <v>0</v>
      </c>
      <c r="AJ463" s="95">
        <v>0</v>
      </c>
      <c r="AK463" s="90">
        <v>0</v>
      </c>
      <c r="AL463" s="99">
        <v>0</v>
      </c>
      <c r="AM463" s="65"/>
      <c r="AN463" s="68"/>
      <c r="AO463" s="206"/>
      <c r="AP463" s="115" t="e">
        <v>#DIV/0!</v>
      </c>
      <c r="AQ463" s="114" t="e">
        <v>#DIV/0!</v>
      </c>
      <c r="AR463" s="115" t="e">
        <v>#DIV/0!</v>
      </c>
      <c r="AU463" s="2"/>
      <c r="AV463" s="2"/>
      <c r="AW463" s="2"/>
      <c r="AX463" s="2"/>
      <c r="AY463" s="2"/>
    </row>
    <row r="464" spans="30:51" ht="10.5" customHeight="1" x14ac:dyDescent="0.15">
      <c r="AD464" s="105">
        <v>43678</v>
      </c>
      <c r="AF464" s="105">
        <v>43678</v>
      </c>
      <c r="AG464" s="90">
        <v>0</v>
      </c>
      <c r="AH464" s="90">
        <v>0</v>
      </c>
      <c r="AI464" s="99">
        <v>0</v>
      </c>
      <c r="AJ464" s="95">
        <v>0</v>
      </c>
      <c r="AK464" s="90">
        <v>0</v>
      </c>
      <c r="AL464" s="99">
        <v>0</v>
      </c>
      <c r="AM464" s="65"/>
      <c r="AN464" s="68"/>
      <c r="AO464" s="206"/>
      <c r="AP464" s="115" t="e">
        <v>#DIV/0!</v>
      </c>
      <c r="AQ464" s="114" t="e">
        <v>#DIV/0!</v>
      </c>
      <c r="AR464" s="115" t="e">
        <v>#DIV/0!</v>
      </c>
      <c r="AU464" s="2"/>
      <c r="AV464" s="2"/>
      <c r="AW464" s="2"/>
      <c r="AX464" s="2"/>
      <c r="AY464" s="2"/>
    </row>
    <row r="465" spans="30:51" ht="10.5" customHeight="1" x14ac:dyDescent="0.15">
      <c r="AD465" s="105">
        <v>43709</v>
      </c>
      <c r="AF465" s="105">
        <v>43709</v>
      </c>
      <c r="AG465" s="90">
        <v>0</v>
      </c>
      <c r="AH465" s="90">
        <v>0</v>
      </c>
      <c r="AI465" s="99">
        <v>0</v>
      </c>
      <c r="AJ465" s="95">
        <v>0</v>
      </c>
      <c r="AK465" s="90">
        <v>0</v>
      </c>
      <c r="AL465" s="99">
        <v>0</v>
      </c>
      <c r="AM465" s="230" t="s">
        <v>20</v>
      </c>
      <c r="AN465" s="68"/>
      <c r="AO465" s="227" t="s">
        <v>20</v>
      </c>
      <c r="AP465" s="115" t="e">
        <v>#DIV/0!</v>
      </c>
      <c r="AQ465" s="114" t="e">
        <v>#DIV/0!</v>
      </c>
      <c r="AR465" s="115" t="e">
        <v>#DIV/0!</v>
      </c>
      <c r="AU465" s="2"/>
      <c r="AV465" s="2"/>
      <c r="AW465" s="2"/>
      <c r="AX465" s="2"/>
      <c r="AY465" s="2"/>
    </row>
    <row r="466" spans="30:51" ht="10.5" customHeight="1" x14ac:dyDescent="0.15">
      <c r="AD466" s="105">
        <v>43739</v>
      </c>
      <c r="AF466" s="105">
        <v>43739</v>
      </c>
      <c r="AG466" s="90">
        <v>0</v>
      </c>
      <c r="AH466" s="90">
        <v>0</v>
      </c>
      <c r="AI466" s="99">
        <v>0</v>
      </c>
      <c r="AJ466" s="95">
        <v>0</v>
      </c>
      <c r="AK466" s="90">
        <v>0</v>
      </c>
      <c r="AL466" s="99">
        <v>0</v>
      </c>
      <c r="AM466" s="65"/>
      <c r="AN466" s="68"/>
      <c r="AO466" s="206"/>
      <c r="AP466" s="115" t="e">
        <v>#DIV/0!</v>
      </c>
      <c r="AQ466" s="114" t="e">
        <v>#DIV/0!</v>
      </c>
      <c r="AR466" s="115" t="e">
        <v>#DIV/0!</v>
      </c>
      <c r="AU466" s="2"/>
      <c r="AV466" s="2"/>
      <c r="AW466" s="2"/>
      <c r="AX466" s="2"/>
      <c r="AY466" s="2"/>
    </row>
    <row r="467" spans="30:51" ht="10.5" customHeight="1" x14ac:dyDescent="0.15">
      <c r="AD467" s="105">
        <v>43770</v>
      </c>
      <c r="AF467" s="105">
        <v>43770</v>
      </c>
      <c r="AG467" s="90">
        <v>0</v>
      </c>
      <c r="AH467" s="90">
        <v>0</v>
      </c>
      <c r="AI467" s="99">
        <v>0</v>
      </c>
      <c r="AJ467" s="95">
        <v>0</v>
      </c>
      <c r="AK467" s="90">
        <v>0</v>
      </c>
      <c r="AL467" s="99">
        <v>0</v>
      </c>
      <c r="AM467" s="231"/>
      <c r="AN467" s="68"/>
      <c r="AO467" s="206"/>
      <c r="AP467" s="115" t="e">
        <v>#DIV/0!</v>
      </c>
      <c r="AQ467" s="114" t="e">
        <v>#DIV/0!</v>
      </c>
      <c r="AR467" s="115" t="e">
        <v>#DIV/0!</v>
      </c>
      <c r="AU467" s="2"/>
      <c r="AV467" s="2"/>
      <c r="AW467" s="2"/>
      <c r="AX467" s="2"/>
      <c r="AY467" s="2"/>
    </row>
    <row r="468" spans="30:51" ht="10.5" customHeight="1" x14ac:dyDescent="0.15">
      <c r="AD468" s="105">
        <v>43800</v>
      </c>
      <c r="AF468" s="105">
        <v>43800</v>
      </c>
      <c r="AG468" s="90">
        <v>0</v>
      </c>
      <c r="AH468" s="90">
        <v>0</v>
      </c>
      <c r="AI468" s="99">
        <v>0</v>
      </c>
      <c r="AJ468" s="95">
        <v>0</v>
      </c>
      <c r="AK468" s="90">
        <v>0</v>
      </c>
      <c r="AL468" s="99">
        <v>0</v>
      </c>
      <c r="AM468" s="65" t="s">
        <v>20</v>
      </c>
      <c r="AN468" s="68"/>
      <c r="AO468" s="227" t="s">
        <v>20</v>
      </c>
      <c r="AP468" s="115" t="e">
        <v>#DIV/0!</v>
      </c>
      <c r="AQ468" s="114" t="e">
        <v>#DIV/0!</v>
      </c>
      <c r="AR468" s="115" t="e">
        <v>#DIV/0!</v>
      </c>
      <c r="AU468" s="2"/>
      <c r="AV468" s="2"/>
      <c r="AW468" s="2"/>
      <c r="AX468" s="2"/>
      <c r="AY468" s="2"/>
    </row>
    <row r="469" spans="30:51" ht="10.5" customHeight="1" x14ac:dyDescent="0.15">
      <c r="AD469" s="105">
        <v>43831</v>
      </c>
      <c r="AF469" s="105">
        <v>43831</v>
      </c>
      <c r="AG469" s="90">
        <v>0</v>
      </c>
      <c r="AH469" s="90">
        <v>0</v>
      </c>
      <c r="AI469" s="99">
        <v>0</v>
      </c>
      <c r="AJ469" s="95">
        <v>0</v>
      </c>
      <c r="AK469" s="90">
        <v>0</v>
      </c>
      <c r="AL469" s="99">
        <v>0</v>
      </c>
      <c r="AM469" s="225"/>
      <c r="AN469" s="68"/>
      <c r="AO469" s="206"/>
      <c r="AP469" s="115" t="e">
        <v>#DIV/0!</v>
      </c>
      <c r="AQ469" s="114" t="e">
        <v>#DIV/0!</v>
      </c>
      <c r="AR469" s="115" t="e">
        <v>#DIV/0!</v>
      </c>
      <c r="AU469" s="2"/>
      <c r="AV469" s="2"/>
      <c r="AW469" s="2"/>
      <c r="AX469" s="2"/>
      <c r="AY469" s="2"/>
    </row>
    <row r="470" spans="30:51" ht="10.5" customHeight="1" x14ac:dyDescent="0.15">
      <c r="AD470" s="105">
        <v>43862</v>
      </c>
      <c r="AF470" s="105">
        <v>43862</v>
      </c>
      <c r="AG470" s="90">
        <v>0</v>
      </c>
      <c r="AH470" s="90">
        <v>0</v>
      </c>
      <c r="AI470" s="99">
        <v>0</v>
      </c>
      <c r="AJ470" s="95">
        <v>0</v>
      </c>
      <c r="AK470" s="90">
        <v>0</v>
      </c>
      <c r="AL470" s="99">
        <v>0</v>
      </c>
      <c r="AM470" s="65"/>
      <c r="AN470" s="68"/>
      <c r="AO470" s="206"/>
      <c r="AP470" s="115" t="e">
        <v>#DIV/0!</v>
      </c>
      <c r="AQ470" s="114" t="e">
        <v>#DIV/0!</v>
      </c>
      <c r="AR470" s="115" t="e">
        <v>#DIV/0!</v>
      </c>
      <c r="AU470" s="2"/>
      <c r="AV470" s="2"/>
      <c r="AW470" s="2"/>
      <c r="AX470" s="2"/>
      <c r="AY470" s="2"/>
    </row>
    <row r="471" spans="30:51" ht="10.5" customHeight="1" x14ac:dyDescent="0.15">
      <c r="AD471" s="105">
        <v>43891</v>
      </c>
      <c r="AF471" s="105">
        <v>43891</v>
      </c>
      <c r="AG471" s="90">
        <v>0</v>
      </c>
      <c r="AH471" s="90">
        <v>0</v>
      </c>
      <c r="AI471" s="99">
        <v>0</v>
      </c>
      <c r="AJ471" s="95">
        <v>0</v>
      </c>
      <c r="AK471" s="90">
        <v>0</v>
      </c>
      <c r="AL471" s="99">
        <v>0</v>
      </c>
      <c r="AM471" s="65" t="s">
        <v>20</v>
      </c>
      <c r="AN471" s="68"/>
      <c r="AO471" s="227" t="s">
        <v>20</v>
      </c>
      <c r="AP471" s="115" t="e">
        <v>#DIV/0!</v>
      </c>
      <c r="AQ471" s="114" t="e">
        <v>#DIV/0!</v>
      </c>
      <c r="AR471" s="115" t="e">
        <v>#DIV/0!</v>
      </c>
      <c r="AU471" s="2"/>
      <c r="AV471" s="2"/>
      <c r="AW471" s="2"/>
      <c r="AX471" s="2"/>
      <c r="AY471" s="2"/>
    </row>
    <row r="472" spans="30:51" ht="10.5" customHeight="1" x14ac:dyDescent="0.15">
      <c r="AD472" s="105">
        <v>43922</v>
      </c>
      <c r="AF472" s="105">
        <v>43922</v>
      </c>
      <c r="AG472" s="90">
        <v>0</v>
      </c>
      <c r="AH472" s="90">
        <v>0</v>
      </c>
      <c r="AI472" s="99">
        <v>0</v>
      </c>
      <c r="AJ472" s="95">
        <v>0</v>
      </c>
      <c r="AK472" s="90">
        <v>0</v>
      </c>
      <c r="AL472" s="99">
        <v>0</v>
      </c>
      <c r="AM472" s="230"/>
      <c r="AN472" s="68"/>
      <c r="AO472" s="206"/>
      <c r="AP472" s="115" t="e">
        <v>#DIV/0!</v>
      </c>
      <c r="AQ472" s="114" t="e">
        <v>#DIV/0!</v>
      </c>
      <c r="AR472" s="115" t="e">
        <v>#DIV/0!</v>
      </c>
      <c r="AU472" s="2"/>
      <c r="AV472" s="2"/>
      <c r="AW472" s="2"/>
      <c r="AX472" s="2"/>
      <c r="AY472" s="2"/>
    </row>
    <row r="473" spans="30:51" ht="10.5" customHeight="1" x14ac:dyDescent="0.15">
      <c r="AD473" s="105">
        <v>43952</v>
      </c>
      <c r="AF473" s="105">
        <v>43952</v>
      </c>
      <c r="AG473" s="90">
        <v>0</v>
      </c>
      <c r="AH473" s="90">
        <v>0</v>
      </c>
      <c r="AI473" s="99">
        <v>0</v>
      </c>
      <c r="AJ473" s="95">
        <v>0</v>
      </c>
      <c r="AK473" s="90">
        <v>0</v>
      </c>
      <c r="AL473" s="99">
        <v>0</v>
      </c>
      <c r="AM473" s="65"/>
      <c r="AN473" s="68"/>
      <c r="AO473" s="206"/>
      <c r="AP473" s="115" t="e">
        <v>#DIV/0!</v>
      </c>
      <c r="AQ473" s="114" t="e">
        <v>#DIV/0!</v>
      </c>
      <c r="AR473" s="115" t="e">
        <v>#DIV/0!</v>
      </c>
      <c r="AU473" s="2"/>
      <c r="AV473" s="2"/>
      <c r="AW473" s="2"/>
      <c r="AX473" s="2"/>
      <c r="AY473" s="2"/>
    </row>
    <row r="474" spans="30:51" ht="10.5" customHeight="1" x14ac:dyDescent="0.15">
      <c r="AD474" s="105">
        <v>43983</v>
      </c>
      <c r="AF474" s="105">
        <v>43983</v>
      </c>
      <c r="AG474" s="90">
        <v>0</v>
      </c>
      <c r="AH474" s="90">
        <v>0</v>
      </c>
      <c r="AI474" s="99">
        <v>0</v>
      </c>
      <c r="AJ474" s="95">
        <v>0</v>
      </c>
      <c r="AK474" s="90">
        <v>0</v>
      </c>
      <c r="AL474" s="99">
        <v>0</v>
      </c>
      <c r="AM474" s="65" t="s">
        <v>20</v>
      </c>
      <c r="AN474" s="68"/>
      <c r="AO474" s="227" t="s">
        <v>20</v>
      </c>
      <c r="AP474" s="115" t="e">
        <v>#DIV/0!</v>
      </c>
      <c r="AQ474" s="114" t="e">
        <v>#DIV/0!</v>
      </c>
      <c r="AR474" s="115" t="e">
        <v>#DIV/0!</v>
      </c>
      <c r="AU474" s="2"/>
      <c r="AV474" s="2"/>
      <c r="AW474" s="2"/>
      <c r="AX474" s="2"/>
      <c r="AY474" s="2"/>
    </row>
    <row r="475" spans="30:51" ht="10.5" customHeight="1" x14ac:dyDescent="0.15">
      <c r="AD475" s="105">
        <v>44013</v>
      </c>
      <c r="AF475" s="105">
        <v>44013</v>
      </c>
      <c r="AG475" s="90">
        <v>0</v>
      </c>
      <c r="AH475" s="90">
        <v>0</v>
      </c>
      <c r="AI475" s="99">
        <v>0</v>
      </c>
      <c r="AJ475" s="95">
        <v>0</v>
      </c>
      <c r="AK475" s="90">
        <v>0</v>
      </c>
      <c r="AL475" s="99">
        <v>0</v>
      </c>
      <c r="AM475" s="230"/>
      <c r="AN475" s="68"/>
      <c r="AO475" s="206"/>
      <c r="AP475" s="115" t="e">
        <v>#DIV/0!</v>
      </c>
      <c r="AQ475" s="114" t="e">
        <v>#DIV/0!</v>
      </c>
      <c r="AR475" s="115" t="e">
        <v>#DIV/0!</v>
      </c>
      <c r="AU475" s="2"/>
      <c r="AV475" s="2"/>
      <c r="AW475" s="2"/>
      <c r="AX475" s="2"/>
      <c r="AY475" s="2"/>
    </row>
    <row r="476" spans="30:51" ht="10.5" customHeight="1" x14ac:dyDescent="0.15">
      <c r="AD476" s="105">
        <v>44044</v>
      </c>
      <c r="AF476" s="105">
        <v>44044</v>
      </c>
      <c r="AG476" s="90">
        <v>0</v>
      </c>
      <c r="AH476" s="90">
        <v>0</v>
      </c>
      <c r="AI476" s="99">
        <v>0</v>
      </c>
      <c r="AJ476" s="95">
        <v>0</v>
      </c>
      <c r="AK476" s="90">
        <v>0</v>
      </c>
      <c r="AL476" s="99">
        <v>0</v>
      </c>
      <c r="AM476" s="65"/>
      <c r="AN476" s="68"/>
      <c r="AO476" s="206"/>
      <c r="AP476" s="115" t="e">
        <v>#DIV/0!</v>
      </c>
      <c r="AQ476" s="114" t="e">
        <v>#DIV/0!</v>
      </c>
      <c r="AR476" s="115" t="e">
        <v>#DIV/0!</v>
      </c>
      <c r="AU476" s="2"/>
      <c r="AV476" s="2"/>
      <c r="AW476" s="2"/>
      <c r="AX476" s="2"/>
      <c r="AY476" s="2"/>
    </row>
    <row r="477" spans="30:51" ht="10.5" customHeight="1" x14ac:dyDescent="0.15">
      <c r="AD477" s="105">
        <v>44075</v>
      </c>
      <c r="AF477" s="105">
        <v>44075</v>
      </c>
      <c r="AG477" s="90">
        <v>0</v>
      </c>
      <c r="AH477" s="90">
        <v>0</v>
      </c>
      <c r="AI477" s="99">
        <v>0</v>
      </c>
      <c r="AJ477" s="95">
        <v>0</v>
      </c>
      <c r="AK477" s="90">
        <v>0</v>
      </c>
      <c r="AL477" s="99">
        <v>0</v>
      </c>
      <c r="AM477" s="65" t="s">
        <v>20</v>
      </c>
      <c r="AN477" s="68"/>
      <c r="AO477" s="227" t="s">
        <v>20</v>
      </c>
      <c r="AP477" s="115" t="e">
        <v>#DIV/0!</v>
      </c>
      <c r="AQ477" s="114" t="e">
        <v>#DIV/0!</v>
      </c>
      <c r="AR477" s="115" t="e">
        <v>#DIV/0!</v>
      </c>
      <c r="AU477" s="2"/>
      <c r="AV477" s="2"/>
      <c r="AW477" s="2"/>
      <c r="AX477" s="2"/>
      <c r="AY477" s="2"/>
    </row>
    <row r="478" spans="30:51" ht="10.5" customHeight="1" x14ac:dyDescent="0.15">
      <c r="AD478" s="105">
        <v>44105</v>
      </c>
      <c r="AF478" s="105">
        <v>44105</v>
      </c>
      <c r="AG478" s="90">
        <v>0</v>
      </c>
      <c r="AH478" s="90">
        <v>0</v>
      </c>
      <c r="AI478" s="99">
        <v>0</v>
      </c>
      <c r="AJ478" s="95">
        <v>0</v>
      </c>
      <c r="AK478" s="90">
        <v>0</v>
      </c>
      <c r="AL478" s="99">
        <v>0</v>
      </c>
      <c r="AM478" s="65"/>
      <c r="AN478" s="68"/>
      <c r="AO478" s="206"/>
      <c r="AP478" s="115" t="e">
        <v>#DIV/0!</v>
      </c>
      <c r="AQ478" s="114" t="e">
        <v>#DIV/0!</v>
      </c>
      <c r="AR478" s="115" t="e">
        <v>#DIV/0!</v>
      </c>
      <c r="AU478" s="2"/>
      <c r="AV478" s="2"/>
      <c r="AW478" s="2"/>
      <c r="AX478" s="2"/>
      <c r="AY478" s="2"/>
    </row>
    <row r="479" spans="30:51" ht="10.5" customHeight="1" x14ac:dyDescent="0.15">
      <c r="AD479" s="105">
        <v>44136</v>
      </c>
      <c r="AF479" s="105">
        <v>44136</v>
      </c>
      <c r="AG479" s="90">
        <v>0</v>
      </c>
      <c r="AH479" s="90">
        <v>0</v>
      </c>
      <c r="AI479" s="99">
        <v>0</v>
      </c>
      <c r="AJ479" s="95">
        <v>0</v>
      </c>
      <c r="AK479" s="90">
        <v>0</v>
      </c>
      <c r="AL479" s="99">
        <v>0</v>
      </c>
      <c r="AM479" s="230"/>
      <c r="AN479" s="68"/>
      <c r="AO479" s="206"/>
      <c r="AP479" s="115" t="e">
        <v>#DIV/0!</v>
      </c>
      <c r="AQ479" s="114" t="e">
        <v>#DIV/0!</v>
      </c>
      <c r="AR479" s="115" t="e">
        <v>#DIV/0!</v>
      </c>
      <c r="AU479" s="2"/>
      <c r="AV479" s="2"/>
      <c r="AW479" s="2"/>
      <c r="AX479" s="2"/>
      <c r="AY479" s="2"/>
    </row>
    <row r="480" spans="30:51" ht="10.5" customHeight="1" x14ac:dyDescent="0.15">
      <c r="AF480" s="105">
        <v>44166</v>
      </c>
      <c r="AG480" s="90">
        <v>0</v>
      </c>
      <c r="AH480" s="90">
        <v>0</v>
      </c>
      <c r="AI480" s="99">
        <v>0</v>
      </c>
      <c r="AJ480" s="95">
        <v>0</v>
      </c>
      <c r="AK480" s="90">
        <v>0</v>
      </c>
      <c r="AL480" s="99">
        <v>0</v>
      </c>
      <c r="AM480" s="65" t="s">
        <v>20</v>
      </c>
      <c r="AN480" s="68"/>
      <c r="AO480" s="227" t="s">
        <v>20</v>
      </c>
      <c r="AP480" s="115" t="e">
        <v>#DIV/0!</v>
      </c>
      <c r="AQ480" s="114" t="e">
        <v>#DIV/0!</v>
      </c>
      <c r="AR480" s="115" t="e">
        <v>#DIV/0!</v>
      </c>
      <c r="AU480" s="2"/>
      <c r="AV480" s="2"/>
      <c r="AW480" s="2"/>
      <c r="AX480" s="2"/>
      <c r="AY480" s="2"/>
    </row>
    <row r="481" spans="32:51" ht="10.5" customHeight="1" x14ac:dyDescent="0.15">
      <c r="AF481" s="105">
        <v>44197</v>
      </c>
      <c r="AG481" s="90">
        <v>0</v>
      </c>
      <c r="AH481" s="90">
        <v>0</v>
      </c>
      <c r="AI481" s="99">
        <v>0</v>
      </c>
      <c r="AJ481" s="95">
        <v>0</v>
      </c>
      <c r="AK481" s="90">
        <v>0</v>
      </c>
      <c r="AL481" s="99">
        <v>0</v>
      </c>
      <c r="AM481" s="232"/>
      <c r="AN481" s="68"/>
      <c r="AO481" s="206"/>
      <c r="AP481" s="115" t="e">
        <v>#DIV/0!</v>
      </c>
      <c r="AQ481" s="114" t="e">
        <v>#DIV/0!</v>
      </c>
      <c r="AR481" s="115" t="e">
        <v>#DIV/0!</v>
      </c>
      <c r="AU481" s="2"/>
      <c r="AV481" s="2"/>
      <c r="AW481" s="2"/>
      <c r="AX481" s="2"/>
      <c r="AY481" s="2"/>
    </row>
    <row r="482" spans="32:51" ht="10.5" customHeight="1" x14ac:dyDescent="0.15">
      <c r="AF482" s="105">
        <v>44228</v>
      </c>
      <c r="AG482" s="90">
        <v>0</v>
      </c>
      <c r="AH482" s="90">
        <v>0</v>
      </c>
      <c r="AI482" s="99">
        <v>0</v>
      </c>
      <c r="AJ482" s="95">
        <v>0</v>
      </c>
      <c r="AK482" s="90">
        <v>0</v>
      </c>
      <c r="AL482" s="99">
        <v>0</v>
      </c>
      <c r="AM482" s="65"/>
      <c r="AN482" s="68"/>
      <c r="AO482" s="206"/>
      <c r="AP482" s="115" t="e">
        <v>#DIV/0!</v>
      </c>
      <c r="AQ482" s="114" t="e">
        <v>#DIV/0!</v>
      </c>
      <c r="AR482" s="115" t="e">
        <v>#DIV/0!</v>
      </c>
      <c r="AU482" s="2"/>
      <c r="AV482" s="2"/>
      <c r="AW482" s="2"/>
      <c r="AX482" s="2"/>
      <c r="AY482" s="2"/>
    </row>
    <row r="483" spans="32:51" ht="10.5" customHeight="1" x14ac:dyDescent="0.15">
      <c r="AF483" s="105">
        <v>44256</v>
      </c>
      <c r="AG483" s="90">
        <v>0</v>
      </c>
      <c r="AH483" s="90">
        <v>0</v>
      </c>
      <c r="AI483" s="99">
        <v>0</v>
      </c>
      <c r="AJ483" s="95">
        <v>0</v>
      </c>
      <c r="AK483" s="90">
        <v>0</v>
      </c>
      <c r="AL483" s="99">
        <v>0</v>
      </c>
      <c r="AM483" s="230" t="s">
        <v>20</v>
      </c>
      <c r="AN483" s="68"/>
      <c r="AO483" s="227" t="s">
        <v>20</v>
      </c>
      <c r="AP483" s="115" t="e">
        <v>#DIV/0!</v>
      </c>
      <c r="AQ483" s="114" t="e">
        <v>#DIV/0!</v>
      </c>
      <c r="AR483" s="115" t="e">
        <v>#DIV/0!</v>
      </c>
      <c r="AU483" s="2"/>
      <c r="AV483" s="2"/>
      <c r="AW483" s="2"/>
      <c r="AX483" s="2"/>
      <c r="AY483" s="2"/>
    </row>
    <row r="484" spans="32:51" ht="10.5" customHeight="1" x14ac:dyDescent="0.15">
      <c r="AF484" s="105"/>
      <c r="AG484" s="90" t="s">
        <v>80</v>
      </c>
      <c r="AH484" s="90" t="s">
        <v>81</v>
      </c>
      <c r="AI484" s="99" t="s">
        <v>82</v>
      </c>
      <c r="AJ484" s="95" t="s">
        <v>80</v>
      </c>
      <c r="AK484" s="90" t="s">
        <v>81</v>
      </c>
      <c r="AL484" s="99" t="s">
        <v>82</v>
      </c>
      <c r="AM484" s="65" t="s">
        <v>1</v>
      </c>
      <c r="AN484" s="68" t="s">
        <v>2</v>
      </c>
      <c r="AO484" s="128" t="s">
        <v>132</v>
      </c>
      <c r="AP484" s="115" t="s">
        <v>1</v>
      </c>
      <c r="AQ484" s="114" t="s">
        <v>2</v>
      </c>
      <c r="AR484" s="115" t="s">
        <v>132</v>
      </c>
      <c r="AU484" s="2"/>
      <c r="AV484" s="2"/>
      <c r="AW484" s="2"/>
      <c r="AX484" s="2"/>
      <c r="AY484" s="2"/>
    </row>
    <row r="485" spans="32:51" ht="10.5" customHeight="1" x14ac:dyDescent="0.15">
      <c r="AF485" s="233" t="s">
        <v>133</v>
      </c>
      <c r="AG485" s="234"/>
      <c r="AH485" s="234"/>
      <c r="AI485" s="235"/>
      <c r="AJ485" s="236" t="s">
        <v>85</v>
      </c>
      <c r="AK485" s="116"/>
      <c r="AL485" s="117"/>
      <c r="AM485" s="118" t="s">
        <v>83</v>
      </c>
      <c r="AN485" s="118"/>
      <c r="AO485" s="117"/>
      <c r="AP485" s="122" t="s">
        <v>86</v>
      </c>
      <c r="AQ485" s="122"/>
      <c r="AR485" s="123"/>
      <c r="AU485" s="2"/>
      <c r="AV485" s="2"/>
      <c r="AW485" s="2"/>
      <c r="AX485" s="2"/>
      <c r="AY485" s="2"/>
    </row>
    <row r="486" spans="32:51" ht="10.5" customHeight="1" x14ac:dyDescent="0.15">
      <c r="AF486" s="106" t="s">
        <v>84</v>
      </c>
      <c r="AG486" s="107"/>
      <c r="AH486" s="108"/>
      <c r="AI486" s="109"/>
      <c r="AJ486" s="108"/>
      <c r="AK486" s="109"/>
      <c r="AL486" s="109"/>
      <c r="AM486" s="106"/>
      <c r="AN486" s="107"/>
      <c r="AO486" s="108"/>
      <c r="AP486" s="119"/>
      <c r="AQ486" s="108"/>
      <c r="AR486" s="108"/>
      <c r="AU486" s="2"/>
      <c r="AV486" s="2"/>
      <c r="AW486" s="2"/>
      <c r="AX486" s="2"/>
      <c r="AY486" s="2"/>
    </row>
    <row r="487" spans="32:51" ht="10.5" customHeight="1" x14ac:dyDescent="0.25">
      <c r="AF487" s="110"/>
      <c r="AG487" s="81"/>
      <c r="AH487" s="81"/>
      <c r="AU487" s="2"/>
      <c r="AV487" s="2"/>
      <c r="AW487" s="2"/>
      <c r="AX487" s="2"/>
      <c r="AY487" s="2"/>
    </row>
    <row r="488" spans="32:51" ht="10.5" customHeight="1" x14ac:dyDescent="0.15">
      <c r="AF488" s="2"/>
      <c r="AG488" s="2"/>
      <c r="AH488" s="2"/>
      <c r="AI488" s="2"/>
      <c r="AJ488" s="2"/>
      <c r="AK488" s="2"/>
      <c r="AL488" s="2"/>
      <c r="AM488" s="2"/>
      <c r="AN488" s="2"/>
      <c r="AO488" s="2"/>
      <c r="AP488" s="82"/>
      <c r="AQ488" s="82"/>
      <c r="AR488" s="82"/>
      <c r="AU488" s="2"/>
      <c r="AV488" s="2"/>
      <c r="AW488" s="2"/>
      <c r="AX488" s="2"/>
      <c r="AY488" s="2"/>
    </row>
    <row r="489" spans="32:51" ht="10.5" customHeight="1" x14ac:dyDescent="0.15">
      <c r="AF489" s="2"/>
      <c r="AG489" s="2"/>
      <c r="AH489" s="2"/>
      <c r="AI489" s="2"/>
      <c r="AJ489" s="2"/>
      <c r="AK489" s="2"/>
      <c r="AL489" s="2"/>
      <c r="AM489" s="2"/>
      <c r="AN489" s="2"/>
      <c r="AO489" s="2"/>
      <c r="AP489" s="82"/>
      <c r="AQ489" s="82"/>
      <c r="AR489" s="82"/>
      <c r="AU489" s="2"/>
      <c r="AV489" s="2"/>
      <c r="AW489" s="2"/>
      <c r="AX489" s="2"/>
      <c r="AY489" s="2"/>
    </row>
    <row r="490" spans="32:51" ht="10.5" customHeight="1" x14ac:dyDescent="0.15">
      <c r="AF490" s="2"/>
      <c r="AG490" s="2"/>
      <c r="AH490" s="2"/>
      <c r="AI490" s="2"/>
      <c r="AJ490" s="2"/>
      <c r="AK490" s="2"/>
      <c r="AL490" s="2"/>
      <c r="AM490" s="2"/>
      <c r="AN490" s="2"/>
      <c r="AO490" s="2"/>
      <c r="AP490" s="82"/>
      <c r="AQ490" s="82"/>
      <c r="AR490" s="82"/>
      <c r="AU490" s="2"/>
      <c r="AV490" s="2"/>
      <c r="AW490" s="2"/>
      <c r="AX490" s="2"/>
      <c r="AY490" s="2"/>
    </row>
    <row r="491" spans="32:51" ht="10.5" customHeight="1" x14ac:dyDescent="0.15">
      <c r="AF491" s="2"/>
      <c r="AG491" s="2"/>
      <c r="AH491" s="2"/>
      <c r="AI491" s="2"/>
      <c r="AJ491" s="2"/>
      <c r="AK491" s="2"/>
      <c r="AL491" s="2"/>
      <c r="AM491" s="2"/>
      <c r="AN491" s="2"/>
      <c r="AO491" s="2"/>
      <c r="AP491" s="82"/>
      <c r="AQ491" s="82"/>
      <c r="AR491" s="82"/>
      <c r="AU491" s="2"/>
      <c r="AV491" s="2"/>
      <c r="AW491" s="2"/>
      <c r="AX491" s="2"/>
      <c r="AY491" s="2"/>
    </row>
    <row r="492" spans="32:51" ht="10.5" customHeight="1" x14ac:dyDescent="0.15">
      <c r="AF492" s="2"/>
      <c r="AG492" s="2"/>
      <c r="AH492" s="2"/>
      <c r="AI492" s="2"/>
      <c r="AJ492" s="2"/>
      <c r="AK492" s="2"/>
      <c r="AL492" s="2"/>
      <c r="AM492" s="2"/>
      <c r="AN492" s="2"/>
      <c r="AO492" s="2"/>
      <c r="AP492" s="82"/>
      <c r="AQ492" s="82"/>
      <c r="AR492" s="82"/>
      <c r="AU492" s="2"/>
      <c r="AV492" s="2"/>
      <c r="AW492" s="2"/>
      <c r="AX492" s="2"/>
      <c r="AY492" s="2"/>
    </row>
    <row r="493" spans="32:51" ht="10.5" customHeight="1" x14ac:dyDescent="0.15">
      <c r="AF493" s="2"/>
      <c r="AG493" s="2"/>
      <c r="AH493" s="2"/>
      <c r="AI493" s="2"/>
      <c r="AJ493" s="2"/>
      <c r="AK493" s="2"/>
      <c r="AL493" s="2"/>
      <c r="AM493" s="2"/>
      <c r="AN493" s="2"/>
      <c r="AO493" s="2"/>
      <c r="AP493" s="82"/>
      <c r="AQ493" s="82"/>
      <c r="AR493" s="82"/>
      <c r="AU493" s="2"/>
      <c r="AV493" s="2"/>
      <c r="AW493" s="2"/>
      <c r="AX493" s="2"/>
      <c r="AY493" s="2"/>
    </row>
    <row r="494" spans="32:51" ht="10.5" customHeight="1" x14ac:dyDescent="0.15">
      <c r="AF494" s="2"/>
      <c r="AG494" s="2"/>
      <c r="AH494" s="2"/>
      <c r="AI494" s="2"/>
      <c r="AJ494" s="2"/>
      <c r="AK494" s="2"/>
      <c r="AL494" s="2"/>
      <c r="AM494" s="2"/>
      <c r="AN494" s="2"/>
      <c r="AO494" s="2"/>
      <c r="AP494" s="82"/>
      <c r="AQ494" s="82"/>
      <c r="AR494" s="82"/>
      <c r="AU494" s="2"/>
      <c r="AV494" s="2"/>
      <c r="AW494" s="2"/>
      <c r="AX494" s="2"/>
      <c r="AY494" s="2"/>
    </row>
    <row r="495" spans="32:51" ht="10.5" customHeight="1" x14ac:dyDescent="0.15">
      <c r="AF495" s="2"/>
      <c r="AG495" s="2"/>
      <c r="AH495" s="2"/>
      <c r="AI495" s="2"/>
      <c r="AJ495" s="2"/>
      <c r="AK495" s="2"/>
      <c r="AL495" s="2"/>
      <c r="AM495" s="2"/>
      <c r="AN495" s="2"/>
      <c r="AO495" s="2"/>
      <c r="AP495" s="82"/>
      <c r="AQ495" s="82"/>
      <c r="AR495" s="82"/>
      <c r="AU495" s="2"/>
      <c r="AV495" s="2"/>
      <c r="AW495" s="2"/>
      <c r="AX495" s="2"/>
      <c r="AY495" s="2"/>
    </row>
    <row r="496" spans="32:51" ht="10.5" customHeight="1" x14ac:dyDescent="0.15">
      <c r="AF496" s="2"/>
      <c r="AG496" s="2"/>
      <c r="AH496" s="2"/>
      <c r="AI496" s="2"/>
      <c r="AJ496" s="2"/>
      <c r="AK496" s="2"/>
      <c r="AL496" s="2"/>
      <c r="AM496" s="2"/>
      <c r="AN496" s="2"/>
      <c r="AO496" s="2"/>
      <c r="AP496" s="82"/>
      <c r="AQ496" s="82"/>
      <c r="AR496" s="82"/>
      <c r="AU496" s="2"/>
      <c r="AV496" s="2"/>
      <c r="AW496" s="2"/>
      <c r="AX496" s="2"/>
      <c r="AY496" s="2"/>
    </row>
    <row r="497" spans="32:51" ht="10.5" customHeight="1" x14ac:dyDescent="0.15">
      <c r="AF497" s="2"/>
      <c r="AG497" s="2"/>
      <c r="AH497" s="2"/>
      <c r="AI497" s="2"/>
      <c r="AJ497" s="2"/>
      <c r="AK497" s="2"/>
      <c r="AL497" s="2"/>
      <c r="AM497" s="2"/>
      <c r="AN497" s="2"/>
      <c r="AO497" s="2"/>
      <c r="AP497" s="82"/>
      <c r="AQ497" s="82"/>
      <c r="AR497" s="82"/>
      <c r="AU497" s="2"/>
      <c r="AV497" s="2"/>
      <c r="AW497" s="2"/>
      <c r="AX497" s="2"/>
      <c r="AY497" s="2"/>
    </row>
    <row r="498" spans="32:51" ht="10.5" customHeight="1" x14ac:dyDescent="0.15">
      <c r="AF498" s="2"/>
      <c r="AG498" s="2"/>
      <c r="AH498" s="2"/>
      <c r="AI498" s="2"/>
      <c r="AJ498" s="2"/>
      <c r="AK498" s="2"/>
      <c r="AL498" s="2"/>
      <c r="AM498" s="2"/>
      <c r="AN498" s="2"/>
      <c r="AO498" s="2"/>
      <c r="AP498" s="82"/>
      <c r="AQ498" s="82"/>
      <c r="AR498" s="82"/>
      <c r="AU498" s="2"/>
      <c r="AV498" s="2"/>
      <c r="AW498" s="2"/>
      <c r="AX498" s="2"/>
      <c r="AY498" s="2"/>
    </row>
    <row r="499" spans="32:51" ht="10.5" customHeight="1" x14ac:dyDescent="0.15">
      <c r="AF499" s="2"/>
      <c r="AG499" s="2"/>
      <c r="AH499" s="2"/>
      <c r="AI499" s="2"/>
      <c r="AJ499" s="2"/>
      <c r="AK499" s="2"/>
      <c r="AL499" s="2"/>
      <c r="AM499" s="2"/>
      <c r="AN499" s="2"/>
      <c r="AO499" s="2"/>
      <c r="AP499" s="82"/>
      <c r="AQ499" s="82"/>
      <c r="AR499" s="82"/>
      <c r="AU499" s="2"/>
      <c r="AV499" s="2"/>
      <c r="AW499" s="2"/>
      <c r="AX499" s="2"/>
      <c r="AY499" s="2"/>
    </row>
    <row r="500" spans="32:51" ht="10.5" customHeight="1" x14ac:dyDescent="0.15">
      <c r="AF500" s="2"/>
      <c r="AG500" s="2"/>
      <c r="AH500" s="2"/>
      <c r="AI500" s="2"/>
      <c r="AJ500" s="2"/>
      <c r="AK500" s="2"/>
      <c r="AL500" s="2"/>
      <c r="AM500" s="2"/>
      <c r="AN500" s="2"/>
      <c r="AO500" s="2"/>
      <c r="AP500" s="82"/>
      <c r="AQ500" s="82"/>
      <c r="AR500" s="82"/>
      <c r="AU500" s="2"/>
      <c r="AV500" s="2"/>
      <c r="AW500" s="2"/>
      <c r="AX500" s="2"/>
      <c r="AY500" s="2"/>
    </row>
    <row r="501" spans="32:51" ht="10.5" customHeight="1" x14ac:dyDescent="0.15">
      <c r="AF501" s="2"/>
      <c r="AG501" s="2"/>
      <c r="AH501" s="2"/>
      <c r="AI501" s="2"/>
      <c r="AJ501" s="2"/>
      <c r="AK501" s="2"/>
      <c r="AL501" s="2"/>
      <c r="AM501" s="2"/>
      <c r="AN501" s="2"/>
      <c r="AO501" s="2"/>
      <c r="AP501" s="82"/>
      <c r="AQ501" s="82"/>
      <c r="AR501" s="82"/>
      <c r="AU501" s="2"/>
      <c r="AV501" s="2"/>
      <c r="AW501" s="2"/>
      <c r="AX501" s="2"/>
      <c r="AY501" s="2"/>
    </row>
    <row r="502" spans="32:51" ht="10.5" customHeight="1" x14ac:dyDescent="0.15">
      <c r="AF502" s="2"/>
      <c r="AG502" s="2"/>
      <c r="AH502" s="2"/>
      <c r="AI502" s="2"/>
      <c r="AJ502" s="2"/>
      <c r="AK502" s="2"/>
      <c r="AL502" s="2"/>
      <c r="AM502" s="2"/>
      <c r="AN502" s="2"/>
      <c r="AO502" s="2"/>
      <c r="AP502" s="82"/>
      <c r="AQ502" s="82"/>
      <c r="AR502" s="82"/>
      <c r="AU502" s="2"/>
      <c r="AV502" s="2"/>
      <c r="AW502" s="2"/>
      <c r="AX502" s="2"/>
      <c r="AY502" s="2"/>
    </row>
    <row r="503" spans="32:51" ht="10.5" customHeight="1" x14ac:dyDescent="0.15">
      <c r="AF503" s="2"/>
      <c r="AG503" s="2"/>
      <c r="AH503" s="2"/>
      <c r="AI503" s="2"/>
      <c r="AJ503" s="2"/>
      <c r="AK503" s="2"/>
      <c r="AL503" s="2"/>
      <c r="AM503" s="2"/>
      <c r="AN503" s="2"/>
      <c r="AO503" s="2"/>
      <c r="AP503" s="82"/>
      <c r="AQ503" s="82"/>
      <c r="AR503" s="82"/>
      <c r="AU503" s="2"/>
      <c r="AV503" s="2"/>
      <c r="AW503" s="2"/>
      <c r="AX503" s="2"/>
      <c r="AY503" s="2"/>
    </row>
    <row r="504" spans="32:51" ht="10.5" customHeight="1" x14ac:dyDescent="0.15">
      <c r="AF504" s="2"/>
      <c r="AG504" s="2"/>
      <c r="AH504" s="2"/>
      <c r="AI504" s="2"/>
      <c r="AJ504" s="2"/>
      <c r="AK504" s="2"/>
      <c r="AL504" s="2"/>
      <c r="AM504" s="2"/>
      <c r="AN504" s="2"/>
      <c r="AO504" s="2"/>
      <c r="AP504" s="82"/>
      <c r="AQ504" s="82"/>
      <c r="AR504" s="82"/>
      <c r="AU504" s="2"/>
      <c r="AV504" s="2"/>
      <c r="AW504" s="2"/>
      <c r="AX504" s="2"/>
      <c r="AY504" s="2"/>
    </row>
    <row r="505" spans="32:51" ht="10.5" customHeight="1" x14ac:dyDescent="0.15">
      <c r="AF505" s="2"/>
      <c r="AG505" s="2"/>
      <c r="AH505" s="2"/>
      <c r="AI505" s="2"/>
      <c r="AJ505" s="2"/>
      <c r="AK505" s="2"/>
      <c r="AL505" s="2"/>
      <c r="AM505" s="2"/>
      <c r="AN505" s="2"/>
      <c r="AO505" s="2"/>
      <c r="AP505" s="82"/>
      <c r="AQ505" s="82"/>
      <c r="AR505" s="82"/>
      <c r="AU505" s="2"/>
      <c r="AV505" s="2"/>
      <c r="AW505" s="2"/>
      <c r="AX505" s="2"/>
      <c r="AY505" s="2"/>
    </row>
    <row r="506" spans="32:51" ht="10.5" customHeight="1" x14ac:dyDescent="0.15">
      <c r="AF506" s="2"/>
      <c r="AG506" s="2"/>
      <c r="AH506" s="2"/>
      <c r="AI506" s="2"/>
      <c r="AJ506" s="2"/>
      <c r="AK506" s="2"/>
      <c r="AL506" s="2"/>
      <c r="AM506" s="2"/>
      <c r="AN506" s="2"/>
      <c r="AO506" s="2"/>
      <c r="AP506" s="82"/>
      <c r="AQ506" s="82"/>
      <c r="AR506" s="82"/>
      <c r="AU506" s="2"/>
      <c r="AV506" s="2"/>
      <c r="AW506" s="2"/>
      <c r="AX506" s="2"/>
      <c r="AY506" s="2"/>
    </row>
    <row r="507" spans="32:51" ht="10.5" customHeight="1" x14ac:dyDescent="0.15">
      <c r="AF507" s="2"/>
      <c r="AG507" s="2"/>
      <c r="AH507" s="2"/>
      <c r="AI507" s="2"/>
      <c r="AJ507" s="2"/>
      <c r="AK507" s="2"/>
      <c r="AL507" s="2"/>
      <c r="AM507" s="2"/>
      <c r="AN507" s="2"/>
      <c r="AO507" s="2"/>
      <c r="AP507" s="82"/>
      <c r="AQ507" s="82"/>
      <c r="AR507" s="82"/>
      <c r="AU507" s="2"/>
      <c r="AV507" s="2"/>
      <c r="AW507" s="2"/>
      <c r="AX507" s="2"/>
      <c r="AY507" s="2"/>
    </row>
    <row r="508" spans="32:51" ht="10.5" customHeight="1" x14ac:dyDescent="0.15">
      <c r="AF508" s="2"/>
      <c r="AG508" s="2"/>
      <c r="AH508" s="2"/>
      <c r="AI508" s="2"/>
      <c r="AJ508" s="2"/>
      <c r="AK508" s="2"/>
      <c r="AL508" s="2"/>
      <c r="AM508" s="2"/>
      <c r="AN508" s="2"/>
      <c r="AO508" s="2"/>
      <c r="AP508" s="82"/>
      <c r="AQ508" s="82"/>
      <c r="AR508" s="82"/>
      <c r="AU508" s="2"/>
      <c r="AV508" s="2"/>
      <c r="AW508" s="2"/>
      <c r="AX508" s="2"/>
      <c r="AY508" s="2"/>
    </row>
    <row r="509" spans="32:51" ht="10.5" customHeight="1" x14ac:dyDescent="0.15">
      <c r="AF509" s="2"/>
      <c r="AG509" s="2"/>
      <c r="AH509" s="2"/>
      <c r="AI509" s="2"/>
      <c r="AJ509" s="2"/>
      <c r="AK509" s="2"/>
      <c r="AL509" s="2"/>
      <c r="AM509" s="2"/>
      <c r="AN509" s="2"/>
      <c r="AO509" s="2"/>
      <c r="AP509" s="82"/>
      <c r="AQ509" s="82"/>
      <c r="AR509" s="82"/>
      <c r="AU509" s="2"/>
      <c r="AV509" s="2"/>
      <c r="AW509" s="2"/>
      <c r="AX509" s="2"/>
      <c r="AY509" s="2"/>
    </row>
    <row r="510" spans="32:51" ht="10.5" customHeight="1" x14ac:dyDescent="0.15">
      <c r="AF510" s="2"/>
      <c r="AG510" s="2"/>
      <c r="AH510" s="2"/>
      <c r="AI510" s="2"/>
      <c r="AJ510" s="2"/>
      <c r="AK510" s="2"/>
      <c r="AL510" s="2"/>
      <c r="AM510" s="2"/>
      <c r="AN510" s="2"/>
      <c r="AO510" s="2"/>
      <c r="AP510" s="82"/>
      <c r="AQ510" s="82"/>
      <c r="AR510" s="82"/>
      <c r="AU510" s="2"/>
      <c r="AV510" s="2"/>
      <c r="AW510" s="2"/>
      <c r="AX510" s="2"/>
      <c r="AY510" s="2"/>
    </row>
    <row r="511" spans="32:51" ht="10.5" customHeight="1" x14ac:dyDescent="0.15">
      <c r="AF511" s="2"/>
      <c r="AG511" s="2"/>
      <c r="AH511" s="2"/>
      <c r="AI511" s="2"/>
      <c r="AJ511" s="2"/>
      <c r="AK511" s="2"/>
      <c r="AL511" s="2"/>
      <c r="AM511" s="2"/>
      <c r="AN511" s="2"/>
      <c r="AO511" s="2"/>
      <c r="AP511" s="82"/>
      <c r="AQ511" s="82"/>
      <c r="AR511" s="82"/>
      <c r="AU511" s="2"/>
      <c r="AV511" s="2"/>
      <c r="AW511" s="2"/>
      <c r="AX511" s="2"/>
      <c r="AY511" s="2"/>
    </row>
    <row r="512" spans="32:51" ht="10.5" customHeight="1" x14ac:dyDescent="0.15">
      <c r="AF512" s="2"/>
      <c r="AG512" s="2"/>
      <c r="AH512" s="2"/>
      <c r="AI512" s="2"/>
      <c r="AJ512" s="2"/>
      <c r="AK512" s="2"/>
      <c r="AL512" s="2"/>
      <c r="AM512" s="2"/>
      <c r="AN512" s="2"/>
      <c r="AO512" s="2"/>
      <c r="AP512" s="82"/>
      <c r="AQ512" s="82"/>
      <c r="AR512" s="82"/>
      <c r="AU512" s="2"/>
      <c r="AV512" s="2"/>
      <c r="AW512" s="2"/>
      <c r="AX512" s="2"/>
      <c r="AY512" s="2"/>
    </row>
    <row r="513" spans="32:51" ht="10.5" customHeight="1" x14ac:dyDescent="0.15">
      <c r="AF513" s="2"/>
      <c r="AG513" s="2"/>
      <c r="AH513" s="2"/>
      <c r="AI513" s="2"/>
      <c r="AJ513" s="2"/>
      <c r="AK513" s="2"/>
      <c r="AL513" s="2"/>
      <c r="AM513" s="2"/>
      <c r="AN513" s="2"/>
      <c r="AO513" s="2"/>
      <c r="AP513" s="82"/>
      <c r="AQ513" s="82"/>
      <c r="AR513" s="82"/>
      <c r="AU513" s="2"/>
      <c r="AV513" s="2"/>
      <c r="AW513" s="2"/>
      <c r="AX513" s="2"/>
      <c r="AY513" s="2"/>
    </row>
    <row r="514" spans="32:51" ht="10.5" customHeight="1" x14ac:dyDescent="0.15">
      <c r="AF514" s="2"/>
      <c r="AG514" s="2"/>
      <c r="AH514" s="2"/>
      <c r="AI514" s="2"/>
      <c r="AJ514" s="2"/>
      <c r="AK514" s="2"/>
      <c r="AL514" s="2"/>
      <c r="AM514" s="2"/>
      <c r="AN514" s="2"/>
      <c r="AO514" s="2"/>
      <c r="AP514" s="82"/>
      <c r="AQ514" s="82"/>
      <c r="AR514" s="82"/>
      <c r="AU514" s="2"/>
      <c r="AV514" s="2"/>
      <c r="AW514" s="2"/>
      <c r="AX514" s="2"/>
      <c r="AY514" s="2"/>
    </row>
    <row r="515" spans="32:51" ht="10.5" customHeight="1" x14ac:dyDescent="0.15">
      <c r="AF515" s="2"/>
      <c r="AG515" s="2"/>
      <c r="AH515" s="2"/>
      <c r="AI515" s="2"/>
      <c r="AJ515" s="2"/>
      <c r="AK515" s="2"/>
      <c r="AL515" s="2"/>
      <c r="AM515" s="2"/>
      <c r="AN515" s="2"/>
      <c r="AO515" s="2"/>
      <c r="AP515" s="82"/>
      <c r="AQ515" s="82"/>
      <c r="AR515" s="82"/>
      <c r="AU515" s="2"/>
      <c r="AV515" s="2"/>
      <c r="AW515" s="2"/>
      <c r="AX515" s="2"/>
      <c r="AY515" s="2"/>
    </row>
    <row r="516" spans="32:51" ht="10.5" customHeight="1" x14ac:dyDescent="0.15">
      <c r="AF516" s="2"/>
      <c r="AG516" s="2"/>
      <c r="AH516" s="2"/>
      <c r="AI516" s="2"/>
      <c r="AJ516" s="2"/>
      <c r="AK516" s="2"/>
      <c r="AL516" s="2"/>
      <c r="AM516" s="2"/>
      <c r="AN516" s="2"/>
      <c r="AO516" s="2"/>
      <c r="AP516" s="82"/>
      <c r="AQ516" s="82"/>
      <c r="AR516" s="82"/>
      <c r="AU516" s="2"/>
      <c r="AV516" s="2"/>
      <c r="AW516" s="2"/>
      <c r="AX516" s="2"/>
      <c r="AY516" s="2"/>
    </row>
    <row r="517" spans="32:51" ht="10.5" customHeight="1" x14ac:dyDescent="0.15">
      <c r="AF517" s="2"/>
      <c r="AG517" s="2"/>
      <c r="AH517" s="2"/>
      <c r="AI517" s="2"/>
      <c r="AJ517" s="2"/>
      <c r="AK517" s="2"/>
      <c r="AL517" s="2"/>
      <c r="AM517" s="2"/>
      <c r="AN517" s="2"/>
      <c r="AO517" s="2"/>
      <c r="AP517" s="82"/>
      <c r="AQ517" s="82"/>
      <c r="AR517" s="82"/>
      <c r="AU517" s="2"/>
      <c r="AV517" s="2"/>
      <c r="AW517" s="2"/>
      <c r="AX517" s="2"/>
      <c r="AY517" s="2"/>
    </row>
    <row r="518" spans="32:51" ht="10.5" customHeight="1" x14ac:dyDescent="0.15">
      <c r="AF518" s="2"/>
      <c r="AG518" s="2"/>
      <c r="AH518" s="2"/>
      <c r="AI518" s="2"/>
      <c r="AJ518" s="2"/>
      <c r="AK518" s="2"/>
      <c r="AL518" s="2"/>
      <c r="AM518" s="2"/>
      <c r="AN518" s="2"/>
      <c r="AO518" s="2"/>
      <c r="AP518" s="82"/>
      <c r="AQ518" s="82"/>
      <c r="AR518" s="82"/>
      <c r="AU518" s="2"/>
      <c r="AV518" s="2"/>
      <c r="AW518" s="2"/>
      <c r="AX518" s="2"/>
      <c r="AY518" s="2"/>
    </row>
    <row r="519" spans="32:51" ht="10.5" customHeight="1" x14ac:dyDescent="0.15">
      <c r="AF519" s="2"/>
      <c r="AG519" s="2"/>
      <c r="AH519" s="2"/>
      <c r="AI519" s="2"/>
      <c r="AJ519" s="2"/>
      <c r="AK519" s="2"/>
      <c r="AL519" s="2"/>
      <c r="AM519" s="2"/>
      <c r="AN519" s="2"/>
      <c r="AO519" s="2"/>
      <c r="AP519" s="82"/>
      <c r="AQ519" s="82"/>
      <c r="AR519" s="82"/>
      <c r="AU519" s="2"/>
      <c r="AV519" s="2"/>
      <c r="AW519" s="2"/>
      <c r="AX519" s="2"/>
      <c r="AY519" s="2"/>
    </row>
    <row r="520" spans="32:51" ht="10.5" customHeight="1" x14ac:dyDescent="0.15">
      <c r="AF520" s="2"/>
      <c r="AG520" s="2"/>
      <c r="AH520" s="2"/>
      <c r="AI520" s="2"/>
      <c r="AJ520" s="2"/>
      <c r="AK520" s="2"/>
      <c r="AL520" s="2"/>
      <c r="AM520" s="2"/>
      <c r="AN520" s="2"/>
      <c r="AO520" s="2"/>
      <c r="AP520" s="82"/>
      <c r="AQ520" s="82"/>
      <c r="AR520" s="82"/>
      <c r="AU520" s="2"/>
      <c r="AV520" s="2"/>
      <c r="AW520" s="2"/>
      <c r="AX520" s="2"/>
      <c r="AY520" s="2"/>
    </row>
    <row r="521" spans="32:51" ht="10.5" customHeight="1" x14ac:dyDescent="0.15">
      <c r="AF521" s="2"/>
      <c r="AG521" s="2"/>
      <c r="AH521" s="2"/>
      <c r="AI521" s="2"/>
      <c r="AJ521" s="2"/>
      <c r="AK521" s="2"/>
      <c r="AL521" s="2"/>
      <c r="AM521" s="2"/>
      <c r="AN521" s="2"/>
      <c r="AO521" s="2"/>
      <c r="AP521" s="82"/>
      <c r="AQ521" s="82"/>
      <c r="AR521" s="82"/>
      <c r="AU521" s="2"/>
      <c r="AV521" s="2"/>
      <c r="AW521" s="2"/>
      <c r="AX521" s="2"/>
      <c r="AY521" s="2"/>
    </row>
    <row r="522" spans="32:51" ht="10.5" customHeight="1" x14ac:dyDescent="0.15">
      <c r="AF522" s="2"/>
      <c r="AG522" s="2"/>
      <c r="AH522" s="2"/>
      <c r="AI522" s="2"/>
      <c r="AJ522" s="2"/>
      <c r="AK522" s="2"/>
      <c r="AL522" s="2"/>
      <c r="AM522" s="2"/>
      <c r="AN522" s="2"/>
      <c r="AO522" s="2"/>
      <c r="AP522" s="82"/>
      <c r="AQ522" s="82"/>
      <c r="AR522" s="82"/>
      <c r="AU522" s="2"/>
      <c r="AV522" s="2"/>
      <c r="AW522" s="2"/>
      <c r="AX522" s="2"/>
      <c r="AY522" s="2"/>
    </row>
    <row r="523" spans="32:51" ht="10.5" customHeight="1" x14ac:dyDescent="0.15">
      <c r="AF523" s="2"/>
      <c r="AG523" s="2"/>
      <c r="AH523" s="2"/>
      <c r="AI523" s="2"/>
      <c r="AJ523" s="2"/>
      <c r="AK523" s="2"/>
      <c r="AL523" s="2"/>
      <c r="AM523" s="2"/>
      <c r="AN523" s="2"/>
      <c r="AO523" s="2"/>
      <c r="AP523" s="82"/>
      <c r="AQ523" s="82"/>
      <c r="AR523" s="82"/>
      <c r="AU523" s="2"/>
      <c r="AV523" s="2"/>
      <c r="AW523" s="2"/>
      <c r="AX523" s="2"/>
      <c r="AY523" s="2"/>
    </row>
    <row r="524" spans="32:51" ht="10.5" customHeight="1" x14ac:dyDescent="0.15">
      <c r="AF524" s="2"/>
      <c r="AG524" s="2"/>
      <c r="AH524" s="2"/>
      <c r="AI524" s="2"/>
      <c r="AJ524" s="2"/>
      <c r="AK524" s="2"/>
      <c r="AL524" s="2"/>
      <c r="AM524" s="2"/>
      <c r="AN524" s="2"/>
      <c r="AO524" s="2"/>
      <c r="AP524" s="82"/>
      <c r="AQ524" s="82"/>
      <c r="AR524" s="82"/>
      <c r="AU524" s="2"/>
      <c r="AV524" s="2"/>
      <c r="AW524" s="2"/>
      <c r="AX524" s="2"/>
      <c r="AY524" s="2"/>
    </row>
    <row r="525" spans="32:51" ht="10.5" customHeight="1" x14ac:dyDescent="0.15">
      <c r="AF525" s="2"/>
      <c r="AG525" s="2"/>
      <c r="AH525" s="2"/>
      <c r="AI525" s="2"/>
      <c r="AJ525" s="2"/>
      <c r="AK525" s="2"/>
      <c r="AL525" s="2"/>
      <c r="AM525" s="2"/>
      <c r="AN525" s="2"/>
      <c r="AO525" s="2"/>
      <c r="AP525" s="82"/>
      <c r="AQ525" s="82"/>
      <c r="AR525" s="82"/>
      <c r="AU525" s="2"/>
      <c r="AV525" s="2"/>
      <c r="AW525" s="2"/>
      <c r="AX525" s="2"/>
      <c r="AY525" s="2"/>
    </row>
    <row r="526" spans="32:51" ht="10.5" customHeight="1" x14ac:dyDescent="0.15">
      <c r="AF526" s="2"/>
      <c r="AG526" s="2"/>
      <c r="AH526" s="2"/>
      <c r="AI526" s="2"/>
      <c r="AJ526" s="2"/>
      <c r="AK526" s="2"/>
      <c r="AL526" s="2"/>
      <c r="AM526" s="2"/>
      <c r="AN526" s="2"/>
      <c r="AO526" s="2"/>
      <c r="AP526" s="82"/>
      <c r="AQ526" s="82"/>
      <c r="AR526" s="82"/>
      <c r="AU526" s="2"/>
      <c r="AV526" s="2"/>
      <c r="AW526" s="2"/>
      <c r="AX526" s="2"/>
      <c r="AY526" s="2"/>
    </row>
    <row r="527" spans="32:51" ht="10.5" customHeight="1" x14ac:dyDescent="0.15">
      <c r="AF527" s="2"/>
      <c r="AG527" s="2"/>
      <c r="AH527" s="2"/>
      <c r="AI527" s="2"/>
      <c r="AJ527" s="2"/>
      <c r="AK527" s="2"/>
      <c r="AL527" s="2"/>
      <c r="AM527" s="2"/>
      <c r="AN527" s="2"/>
      <c r="AO527" s="2"/>
      <c r="AP527" s="82"/>
      <c r="AQ527" s="82"/>
      <c r="AR527" s="82"/>
      <c r="AU527" s="2"/>
      <c r="AV527" s="2"/>
      <c r="AW527" s="2"/>
      <c r="AX527" s="2"/>
      <c r="AY527" s="2"/>
    </row>
    <row r="528" spans="32:51" ht="10.5" customHeight="1" x14ac:dyDescent="0.15">
      <c r="AF528" s="2"/>
      <c r="AG528" s="2"/>
      <c r="AH528" s="2"/>
      <c r="AI528" s="2"/>
      <c r="AJ528" s="2"/>
      <c r="AK528" s="2"/>
      <c r="AL528" s="2"/>
      <c r="AM528" s="2"/>
      <c r="AN528" s="2"/>
      <c r="AO528" s="2"/>
      <c r="AP528" s="82"/>
      <c r="AQ528" s="82"/>
      <c r="AR528" s="82"/>
    </row>
    <row r="529" spans="32:44" ht="10.5" customHeight="1" x14ac:dyDescent="0.15">
      <c r="AF529" s="2"/>
      <c r="AG529" s="2"/>
      <c r="AH529" s="2"/>
      <c r="AI529" s="2"/>
      <c r="AJ529" s="2"/>
      <c r="AK529" s="2"/>
      <c r="AL529" s="2"/>
      <c r="AM529" s="2"/>
      <c r="AN529" s="2"/>
      <c r="AO529" s="2"/>
      <c r="AP529" s="82"/>
      <c r="AQ529" s="82"/>
      <c r="AR529" s="82"/>
    </row>
    <row r="530" spans="32:44" ht="10.5" customHeight="1" x14ac:dyDescent="0.15">
      <c r="AF530" s="2"/>
      <c r="AG530" s="2"/>
      <c r="AH530" s="2"/>
      <c r="AI530" s="2"/>
      <c r="AJ530" s="2"/>
      <c r="AK530" s="2"/>
      <c r="AL530" s="2"/>
      <c r="AM530" s="2"/>
      <c r="AN530" s="2"/>
      <c r="AO530" s="2"/>
      <c r="AP530" s="82"/>
      <c r="AQ530" s="82"/>
      <c r="AR530" s="82"/>
    </row>
    <row r="531" spans="32:44" ht="10.5" customHeight="1" x14ac:dyDescent="0.15">
      <c r="AF531" s="2"/>
      <c r="AG531" s="2"/>
      <c r="AH531" s="2"/>
      <c r="AI531" s="2"/>
      <c r="AJ531" s="2"/>
      <c r="AK531" s="2"/>
      <c r="AL531" s="2"/>
      <c r="AM531" s="2"/>
      <c r="AN531" s="2"/>
      <c r="AO531" s="2"/>
      <c r="AP531" s="82"/>
      <c r="AQ531" s="82"/>
      <c r="AR531" s="82"/>
    </row>
    <row r="532" spans="32:44" ht="10.5" customHeight="1" x14ac:dyDescent="0.15">
      <c r="AF532" s="2"/>
      <c r="AG532" s="2"/>
      <c r="AH532" s="2"/>
      <c r="AI532" s="2"/>
      <c r="AJ532" s="2"/>
      <c r="AK532" s="2"/>
      <c r="AL532" s="2"/>
      <c r="AM532" s="2"/>
      <c r="AN532" s="2"/>
      <c r="AO532" s="2"/>
      <c r="AP532" s="82"/>
      <c r="AQ532" s="82"/>
      <c r="AR532" s="82"/>
    </row>
    <row r="533" spans="32:44" ht="10.5" customHeight="1" x14ac:dyDescent="0.15">
      <c r="AF533" s="2"/>
      <c r="AG533" s="2"/>
      <c r="AH533" s="2"/>
      <c r="AI533" s="2"/>
      <c r="AJ533" s="2"/>
      <c r="AK533" s="2"/>
      <c r="AL533" s="2"/>
      <c r="AM533" s="2"/>
      <c r="AN533" s="2"/>
      <c r="AO533" s="2"/>
      <c r="AP533" s="82"/>
      <c r="AQ533" s="82"/>
      <c r="AR533" s="82"/>
    </row>
    <row r="534" spans="32:44" ht="10.5" customHeight="1" x14ac:dyDescent="0.15">
      <c r="AF534" s="2"/>
      <c r="AG534" s="2"/>
      <c r="AH534" s="2"/>
      <c r="AI534" s="2"/>
      <c r="AJ534" s="2"/>
      <c r="AK534" s="2"/>
      <c r="AL534" s="2"/>
      <c r="AM534" s="2"/>
      <c r="AN534" s="2"/>
      <c r="AO534" s="2"/>
      <c r="AP534" s="82"/>
      <c r="AQ534" s="82"/>
      <c r="AR534" s="82"/>
    </row>
    <row r="535" spans="32:44" ht="10.5" customHeight="1" x14ac:dyDescent="0.15">
      <c r="AF535" s="2"/>
      <c r="AG535" s="2"/>
      <c r="AH535" s="2"/>
      <c r="AI535" s="2"/>
      <c r="AJ535" s="2"/>
      <c r="AK535" s="2"/>
      <c r="AL535" s="2"/>
      <c r="AM535" s="2"/>
      <c r="AN535" s="2"/>
      <c r="AO535" s="2"/>
      <c r="AP535" s="82"/>
      <c r="AQ535" s="82"/>
      <c r="AR535" s="82"/>
    </row>
    <row r="536" spans="32:44" ht="10.5" customHeight="1" x14ac:dyDescent="0.15">
      <c r="AF536" s="2"/>
      <c r="AG536" s="2"/>
      <c r="AH536" s="2"/>
      <c r="AI536" s="2"/>
      <c r="AJ536" s="2"/>
      <c r="AK536" s="2"/>
      <c r="AL536" s="2"/>
      <c r="AM536" s="2"/>
      <c r="AN536" s="2"/>
      <c r="AO536" s="2"/>
      <c r="AP536" s="82"/>
      <c r="AQ536" s="82"/>
      <c r="AR536" s="82"/>
    </row>
    <row r="537" spans="32:44" ht="10.5" customHeight="1" x14ac:dyDescent="0.15"/>
    <row r="538" spans="32:44" ht="10.5" customHeight="1" x14ac:dyDescent="0.15"/>
    <row r="539" spans="32:44" ht="10.5" customHeight="1" x14ac:dyDescent="0.15"/>
    <row r="540" spans="32:44" ht="10.5" customHeight="1" x14ac:dyDescent="0.15"/>
    <row r="541" spans="32:44" ht="10.5" customHeight="1" x14ac:dyDescent="0.15"/>
    <row r="542" spans="32:44" ht="10.5" customHeight="1" x14ac:dyDescent="0.15"/>
    <row r="543" spans="32:44" ht="10.5" customHeight="1" x14ac:dyDescent="0.15"/>
    <row r="544" spans="32:44" ht="10.5" customHeight="1" x14ac:dyDescent="0.15"/>
    <row r="545" ht="10.5" customHeight="1" x14ac:dyDescent="0.15"/>
    <row r="546" ht="10.5" customHeight="1" x14ac:dyDescent="0.15"/>
    <row r="547" ht="10.5" customHeight="1" x14ac:dyDescent="0.15"/>
    <row r="548" ht="10.5" customHeight="1" x14ac:dyDescent="0.15"/>
    <row r="549" ht="10.5" customHeight="1" x14ac:dyDescent="0.15"/>
    <row r="550" ht="10.5" customHeight="1" x14ac:dyDescent="0.15"/>
    <row r="551" ht="10.5" customHeight="1" x14ac:dyDescent="0.15"/>
    <row r="552" ht="10.5" customHeight="1" x14ac:dyDescent="0.15"/>
    <row r="553" ht="10.5" customHeight="1" x14ac:dyDescent="0.15"/>
    <row r="554" ht="10.5" customHeight="1" x14ac:dyDescent="0.15"/>
    <row r="555" ht="10.5" customHeight="1" x14ac:dyDescent="0.15"/>
    <row r="556" ht="10.5" customHeight="1" x14ac:dyDescent="0.15"/>
    <row r="557" ht="10.5" customHeight="1" x14ac:dyDescent="0.15"/>
    <row r="558" ht="10.5" customHeight="1" x14ac:dyDescent="0.15"/>
    <row r="559" ht="10.5" customHeight="1" x14ac:dyDescent="0.15"/>
    <row r="560" ht="10.5" customHeight="1" x14ac:dyDescent="0.15"/>
    <row r="561" ht="10.5" customHeight="1" x14ac:dyDescent="0.15"/>
    <row r="562" ht="10.5" customHeight="1" x14ac:dyDescent="0.15"/>
    <row r="563" ht="10.5" customHeight="1" x14ac:dyDescent="0.15"/>
    <row r="564" ht="10.5" customHeight="1" x14ac:dyDescent="0.15"/>
    <row r="565" ht="10.5" customHeight="1" x14ac:dyDescent="0.15"/>
    <row r="566" ht="10.5" customHeight="1" x14ac:dyDescent="0.15"/>
    <row r="567" ht="10.5" customHeight="1" x14ac:dyDescent="0.15"/>
    <row r="568" ht="10.5" customHeight="1" x14ac:dyDescent="0.15"/>
    <row r="569" ht="10.5" customHeight="1" x14ac:dyDescent="0.15"/>
    <row r="570" ht="10.5" customHeight="1" x14ac:dyDescent="0.15"/>
    <row r="571" ht="10.5" customHeight="1" x14ac:dyDescent="0.15"/>
    <row r="572" ht="10.5" customHeight="1" x14ac:dyDescent="0.15"/>
    <row r="573" ht="10.5" customHeight="1" x14ac:dyDescent="0.15"/>
    <row r="574" ht="10.5" customHeight="1" x14ac:dyDescent="0.15"/>
    <row r="575" ht="10.5" customHeight="1" x14ac:dyDescent="0.15"/>
    <row r="576" ht="10.5" customHeight="1" x14ac:dyDescent="0.15"/>
    <row r="577" ht="10.5" customHeight="1" x14ac:dyDescent="0.15"/>
    <row r="578" ht="10.5" customHeight="1" x14ac:dyDescent="0.15"/>
    <row r="579" ht="10.5" customHeight="1" x14ac:dyDescent="0.15"/>
    <row r="580" ht="10.5" customHeight="1" x14ac:dyDescent="0.15"/>
    <row r="581" ht="10.5" customHeight="1" x14ac:dyDescent="0.15"/>
    <row r="582" ht="10.5" customHeight="1" x14ac:dyDescent="0.15"/>
    <row r="583" ht="10.5" customHeight="1" x14ac:dyDescent="0.15"/>
    <row r="584" ht="10.5" customHeight="1" x14ac:dyDescent="0.15"/>
    <row r="585" ht="10.5" customHeight="1" x14ac:dyDescent="0.15"/>
    <row r="586" ht="10.5" customHeight="1" x14ac:dyDescent="0.15"/>
    <row r="587" ht="10.5" customHeight="1" x14ac:dyDescent="0.15"/>
    <row r="588" ht="10.5" customHeight="1" x14ac:dyDescent="0.15"/>
    <row r="589" ht="10.5" customHeight="1" x14ac:dyDescent="0.15"/>
    <row r="590" ht="10.5" customHeight="1" x14ac:dyDescent="0.15"/>
    <row r="591" ht="10.5" customHeight="1" x14ac:dyDescent="0.15"/>
    <row r="592" ht="10.5" customHeight="1" x14ac:dyDescent="0.15"/>
    <row r="593" ht="10.5" customHeight="1" x14ac:dyDescent="0.15"/>
    <row r="594" ht="10.5" customHeight="1" x14ac:dyDescent="0.15"/>
    <row r="595" ht="10.5" customHeight="1" x14ac:dyDescent="0.15"/>
    <row r="741" spans="49:50" ht="12" customHeight="1" x14ac:dyDescent="0.15">
      <c r="AW741" s="82"/>
      <c r="AX741" s="82"/>
    </row>
  </sheetData>
  <mergeCells count="4">
    <mergeCell ref="D366:F366"/>
    <mergeCell ref="G366:I366"/>
    <mergeCell ref="J366:L366"/>
    <mergeCell ref="M366:O366"/>
  </mergeCells>
  <phoneticPr fontId="1"/>
  <hyperlinks>
    <hyperlink ref="D160" r:id="rId1"/>
    <hyperlink ref="B2" r:id="rId2" display="県原セの関連ページ"/>
    <hyperlink ref="F2" r:id="rId3"/>
    <hyperlink ref="I2" r:id="rId4"/>
    <hyperlink ref="M2" r:id="rId5"/>
  </hyperlinks>
  <printOptions gridLinesSet="0"/>
  <pageMargins left="0.19685039370078741" right="0" top="0.59055118110236227" bottom="0.19685039370078741" header="0" footer="0"/>
  <pageSetup paperSize="9" scale="85" orientation="portrait" horizontalDpi="240" verticalDpi="240" r:id="rId6"/>
  <headerFooter alignWithMargins="0">
    <oddHeader>&amp;R&amp;"標準明朝,標準"&amp;8&amp;F／頁&amp;P/&amp;N／&amp;D</oddHeader>
  </headerFooter>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女発放廃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2015-04-09T03:31:40Z</cp:lastPrinted>
  <dcterms:created xsi:type="dcterms:W3CDTF">2011-04-15T09:58:16Z</dcterms:created>
  <dcterms:modified xsi:type="dcterms:W3CDTF">2019-10-29T10:57:33Z</dcterms:modified>
</cp:coreProperties>
</file>