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505" yWindow="-15" windowWidth="14310" windowHeight="6915"/>
  </bookViews>
  <sheets>
    <sheet name="ほや" sheetId="1" r:id="rId1"/>
    <sheet name="Sheet1" sheetId="2" r:id="rId2"/>
  </sheets>
  <definedNames>
    <definedName name="__123Graph_A" hidden="1">ほや!#REF!</definedName>
    <definedName name="__123Graph_A内臓" hidden="1">ほや!#REF!</definedName>
    <definedName name="__123Graph_A肉" hidden="1">ほや!#REF!</definedName>
    <definedName name="__123Graph_B" hidden="1">ほや!#REF!</definedName>
    <definedName name="__123Graph_B内臓" hidden="1">ほや!#REF!</definedName>
    <definedName name="__123Graph_B肉" hidden="1">ほや!#REF!</definedName>
    <definedName name="__123Graph_C" hidden="1">ほや!#REF!</definedName>
    <definedName name="__123Graph_C内臓" hidden="1">ほや!#REF!</definedName>
    <definedName name="__123Graph_C肉" hidden="1">ほや!#REF!</definedName>
    <definedName name="__123Graph_D" hidden="1">ほや!#REF!</definedName>
    <definedName name="__123Graph_D内臓" hidden="1">ほや!#REF!</definedName>
    <definedName name="__123Graph_D肉" hidden="1">ほや!#REF!</definedName>
    <definedName name="__123Graph_E" hidden="1">ほや!#REF!</definedName>
    <definedName name="__123Graph_E内臓" hidden="1">ほや!#REF!</definedName>
    <definedName name="__123Graph_E肉" hidden="1">ほや!#REF!</definedName>
    <definedName name="__123Graph_F" hidden="1">ほや!#REF!</definedName>
    <definedName name="__123Graph_F内臓" hidden="1">ほや!#REF!</definedName>
    <definedName name="__123Graph_F肉" hidden="1">ほや!#REF!</definedName>
    <definedName name="__123Graph_X" hidden="1">ほや!#REF!</definedName>
    <definedName name="__123Graph_X内臓" hidden="1">ほや!#REF!</definedName>
    <definedName name="__123Graph_X肉" hidden="1">ほや!#REF!</definedName>
    <definedName name="_Regression_Int" localSheetId="0" hidden="1">1</definedName>
    <definedName name="ND代替値">ほや!$C$161:$AE$161</definedName>
    <definedName name="Print_Area_MI" localSheetId="0">ほや!$B$2:$X$159</definedName>
    <definedName name="ダミー値">ほや!$C$161:$AE$161</definedName>
    <definedName name="事故日Cb">ほや!$B$112</definedName>
    <definedName name="事故日Fk">ほや!$B$140</definedName>
    <definedName name="調査開始日">ほや!$B$98</definedName>
  </definedNames>
  <calcPr calcId="145621" refMode="R1C1"/>
</workbook>
</file>

<file path=xl/calcChain.xml><?xml version="1.0" encoding="utf-8"?>
<calcChain xmlns="http://schemas.openxmlformats.org/spreadsheetml/2006/main">
  <c r="P147" i="1" l="1"/>
  <c r="P145" i="1"/>
  <c r="P144" i="1"/>
  <c r="F147" i="1"/>
  <c r="F145" i="1"/>
  <c r="E143" i="1"/>
  <c r="E144" i="1"/>
  <c r="E145" i="1"/>
  <c r="E146" i="1"/>
  <c r="E147" i="1"/>
  <c r="E142" i="1"/>
  <c r="E137" i="1" l="1"/>
  <c r="E136" i="1"/>
  <c r="E135" i="1"/>
  <c r="E134" i="1"/>
  <c r="E133" i="1"/>
  <c r="E132" i="1"/>
  <c r="E131" i="1"/>
  <c r="E130" i="1"/>
  <c r="E129" i="1"/>
  <c r="E128" i="1"/>
  <c r="E127" i="1"/>
  <c r="E126" i="1"/>
  <c r="E125" i="1"/>
  <c r="E124" i="1"/>
  <c r="E123" i="1"/>
  <c r="E122" i="1"/>
  <c r="E121" i="1"/>
  <c r="E120" i="1"/>
  <c r="E119" i="1"/>
  <c r="E118" i="1"/>
  <c r="E117" i="1"/>
  <c r="E116" i="1"/>
  <c r="E115" i="1"/>
  <c r="E113" i="1"/>
  <c r="AG138" i="1" l="1"/>
  <c r="AH138" i="1"/>
  <c r="AK138" i="1"/>
  <c r="AM138" i="1"/>
  <c r="M110" i="1"/>
  <c r="X110" i="1" s="1"/>
  <c r="AG141" i="1" l="1"/>
  <c r="AH141" i="1"/>
  <c r="AK141" i="1"/>
  <c r="AM141" i="1"/>
  <c r="AG142" i="1"/>
  <c r="AH142" i="1"/>
  <c r="AK142" i="1"/>
  <c r="AM142" i="1"/>
  <c r="AG143" i="1"/>
  <c r="AH143" i="1"/>
  <c r="AK143" i="1"/>
  <c r="AM143" i="1"/>
  <c r="AG144" i="1"/>
  <c r="AH144" i="1"/>
  <c r="AK144" i="1"/>
  <c r="AM144" i="1"/>
  <c r="AG145" i="1"/>
  <c r="AH145" i="1"/>
  <c r="AK145" i="1"/>
  <c r="AM145" i="1"/>
  <c r="AG146" i="1"/>
  <c r="AH146" i="1"/>
  <c r="AK146" i="1"/>
  <c r="AM146" i="1"/>
  <c r="AG147" i="1"/>
  <c r="AH147" i="1"/>
  <c r="AK147" i="1"/>
  <c r="AM147" i="1"/>
  <c r="AM140" i="1"/>
  <c r="AK140" i="1"/>
  <c r="AH140" i="1"/>
  <c r="AG140" i="1"/>
  <c r="AG113" i="1"/>
  <c r="AH113" i="1"/>
  <c r="AK113" i="1"/>
  <c r="AM113" i="1"/>
  <c r="AG115" i="1"/>
  <c r="AH115" i="1"/>
  <c r="AK115" i="1"/>
  <c r="AM115" i="1"/>
  <c r="AG116" i="1"/>
  <c r="AH116" i="1"/>
  <c r="AK116" i="1"/>
  <c r="AM116" i="1"/>
  <c r="AG117" i="1"/>
  <c r="AH117" i="1"/>
  <c r="AK117" i="1"/>
  <c r="AM117" i="1"/>
  <c r="AG118" i="1"/>
  <c r="AH118" i="1"/>
  <c r="AK118" i="1"/>
  <c r="AM118" i="1"/>
  <c r="AG119" i="1"/>
  <c r="AH119" i="1"/>
  <c r="AK119" i="1"/>
  <c r="AM119" i="1"/>
  <c r="AG120" i="1"/>
  <c r="AH120" i="1"/>
  <c r="AK120" i="1"/>
  <c r="AM120" i="1"/>
  <c r="AG121" i="1"/>
  <c r="AH121" i="1"/>
  <c r="AK121" i="1"/>
  <c r="AM121" i="1"/>
  <c r="AG122" i="1"/>
  <c r="AH122" i="1"/>
  <c r="AK122" i="1"/>
  <c r="AM122" i="1"/>
  <c r="AG123" i="1"/>
  <c r="AH123" i="1"/>
  <c r="AK123" i="1"/>
  <c r="AM123" i="1"/>
  <c r="AG124" i="1"/>
  <c r="AH124" i="1"/>
  <c r="AK124" i="1"/>
  <c r="AM124" i="1"/>
  <c r="AG125" i="1"/>
  <c r="AH125" i="1"/>
  <c r="AK125" i="1"/>
  <c r="AM125" i="1"/>
  <c r="AG126" i="1"/>
  <c r="AH126" i="1"/>
  <c r="AK126" i="1"/>
  <c r="AM126" i="1"/>
  <c r="AG127" i="1"/>
  <c r="AH127" i="1"/>
  <c r="AK127" i="1"/>
  <c r="AM127" i="1"/>
  <c r="AG128" i="1"/>
  <c r="AH128" i="1"/>
  <c r="AK128" i="1"/>
  <c r="AM128" i="1"/>
  <c r="AG129" i="1"/>
  <c r="AH129" i="1"/>
  <c r="AK129" i="1"/>
  <c r="AM129" i="1"/>
  <c r="AG130" i="1"/>
  <c r="AH130" i="1"/>
  <c r="AK130" i="1"/>
  <c r="AM130" i="1"/>
  <c r="AG131" i="1"/>
  <c r="AH131" i="1"/>
  <c r="AK131" i="1"/>
  <c r="AM131" i="1"/>
  <c r="AG132" i="1"/>
  <c r="AH132" i="1"/>
  <c r="AK132" i="1"/>
  <c r="AM132" i="1"/>
  <c r="AG133" i="1"/>
  <c r="AH133" i="1"/>
  <c r="AK133" i="1"/>
  <c r="AM133" i="1"/>
  <c r="AG134" i="1"/>
  <c r="AH134" i="1"/>
  <c r="AK134" i="1"/>
  <c r="AM134" i="1"/>
  <c r="AG135" i="1"/>
  <c r="AH135" i="1"/>
  <c r="AK135" i="1"/>
  <c r="AM135" i="1"/>
  <c r="AG136" i="1"/>
  <c r="AH136" i="1"/>
  <c r="AK136" i="1"/>
  <c r="AM136" i="1"/>
  <c r="AG137" i="1"/>
  <c r="AH137" i="1"/>
  <c r="AK137" i="1"/>
  <c r="AM137" i="1"/>
  <c r="AM112" i="1"/>
  <c r="AK112" i="1"/>
  <c r="AH112" i="1"/>
  <c r="AG112" i="1"/>
  <c r="F129" i="1"/>
  <c r="F128" i="1"/>
  <c r="F127" i="1"/>
  <c r="AB137" i="1"/>
  <c r="AB136" i="1"/>
  <c r="AB134" i="1"/>
  <c r="AB132" i="1"/>
  <c r="AB130" i="1"/>
  <c r="AB128" i="1"/>
  <c r="AB123" i="1"/>
  <c r="AB120" i="1"/>
  <c r="AA147" i="1"/>
  <c r="AA145" i="1"/>
  <c r="F137" i="1"/>
  <c r="F136" i="1"/>
  <c r="F132" i="1"/>
  <c r="F125" i="1"/>
  <c r="AB161" i="1"/>
  <c r="AA161" i="1"/>
  <c r="Q161" i="1"/>
  <c r="P161" i="1"/>
  <c r="M112" i="1"/>
  <c r="X112" i="1" s="1"/>
  <c r="P137" i="1" l="1"/>
  <c r="AA137" i="1"/>
  <c r="AA135" i="1"/>
  <c r="AA133" i="1"/>
  <c r="AA131" i="1"/>
  <c r="AA129" i="1"/>
  <c r="AA127" i="1"/>
  <c r="AA125" i="1"/>
  <c r="AA123" i="1"/>
  <c r="AA121" i="1"/>
  <c r="AA119" i="1"/>
  <c r="AA117" i="1"/>
  <c r="AA136" i="1"/>
  <c r="AA134" i="1"/>
  <c r="AA132" i="1"/>
  <c r="AA130" i="1"/>
  <c r="AA128" i="1"/>
  <c r="AA126" i="1"/>
  <c r="AA124" i="1"/>
  <c r="AA122" i="1"/>
  <c r="AA120" i="1"/>
  <c r="AA118" i="1"/>
  <c r="AA116" i="1"/>
  <c r="AA115" i="1"/>
  <c r="AA114" i="1"/>
  <c r="AA113" i="1"/>
  <c r="B98" i="1"/>
  <c r="AA107" i="1" s="1"/>
  <c r="E108" i="1" l="1"/>
  <c r="E102" i="1"/>
  <c r="E109" i="1"/>
  <c r="E107" i="1"/>
  <c r="E105" i="1"/>
  <c r="E104" i="1"/>
  <c r="E103" i="1"/>
  <c r="AI138" i="1"/>
  <c r="AH110" i="1"/>
  <c r="AJ110" i="1"/>
  <c r="AL110" i="1"/>
  <c r="AJ138" i="1"/>
  <c r="AL138" i="1"/>
  <c r="AG110" i="1"/>
  <c r="AI110" i="1"/>
  <c r="AK110" i="1"/>
  <c r="AM110" i="1"/>
  <c r="AL103" i="1"/>
  <c r="AL105" i="1"/>
  <c r="AL107" i="1"/>
  <c r="AL109" i="1"/>
  <c r="AL113" i="1"/>
  <c r="AL115" i="1"/>
  <c r="AL117" i="1"/>
  <c r="AL119" i="1"/>
  <c r="AL121" i="1"/>
  <c r="AL123" i="1"/>
  <c r="AL125" i="1"/>
  <c r="AL127" i="1"/>
  <c r="AL129" i="1"/>
  <c r="AL131" i="1"/>
  <c r="AL133" i="1"/>
  <c r="AL135" i="1"/>
  <c r="AL137" i="1"/>
  <c r="AL141" i="1"/>
  <c r="AL143" i="1"/>
  <c r="AL145" i="1"/>
  <c r="AL147" i="1"/>
  <c r="AJ104" i="1"/>
  <c r="AJ106" i="1"/>
  <c r="AJ108" i="1"/>
  <c r="AJ112" i="1"/>
  <c r="AJ116" i="1"/>
  <c r="AJ118" i="1"/>
  <c r="AJ120" i="1"/>
  <c r="AJ122" i="1"/>
  <c r="AJ124" i="1"/>
  <c r="AJ126" i="1"/>
  <c r="AJ128" i="1"/>
  <c r="AJ130" i="1"/>
  <c r="AJ132" i="1"/>
  <c r="AJ134" i="1"/>
  <c r="AJ136" i="1"/>
  <c r="AJ140" i="1"/>
  <c r="AJ142" i="1"/>
  <c r="AJ144" i="1"/>
  <c r="AJ146" i="1"/>
  <c r="AI103" i="1"/>
  <c r="AI105" i="1"/>
  <c r="AI107" i="1"/>
  <c r="AI109" i="1"/>
  <c r="AI113" i="1"/>
  <c r="AI115" i="1"/>
  <c r="AI117" i="1"/>
  <c r="AI119" i="1"/>
  <c r="AI121" i="1"/>
  <c r="AI123" i="1"/>
  <c r="AI125" i="1"/>
  <c r="AI127" i="1"/>
  <c r="AI129" i="1"/>
  <c r="AI131" i="1"/>
  <c r="AI133" i="1"/>
  <c r="AI135" i="1"/>
  <c r="AI137" i="1"/>
  <c r="AI141" i="1"/>
  <c r="AI143" i="1"/>
  <c r="AI145" i="1"/>
  <c r="AI147" i="1"/>
  <c r="AL104" i="1"/>
  <c r="AL106" i="1"/>
  <c r="AL108" i="1"/>
  <c r="AL112" i="1"/>
  <c r="AL116" i="1"/>
  <c r="AL118" i="1"/>
  <c r="AL120" i="1"/>
  <c r="AL122" i="1"/>
  <c r="AL124" i="1"/>
  <c r="AL126" i="1"/>
  <c r="AL128" i="1"/>
  <c r="AL130" i="1"/>
  <c r="AL132" i="1"/>
  <c r="AL134" i="1"/>
  <c r="AL136" i="1"/>
  <c r="AL140" i="1"/>
  <c r="AL142" i="1"/>
  <c r="AL144" i="1"/>
  <c r="AL146" i="1"/>
  <c r="AJ103" i="1"/>
  <c r="AJ105" i="1"/>
  <c r="AJ107" i="1"/>
  <c r="AJ109" i="1"/>
  <c r="AJ113" i="1"/>
  <c r="AJ115" i="1"/>
  <c r="AJ117" i="1"/>
  <c r="AJ119" i="1"/>
  <c r="AJ121" i="1"/>
  <c r="AJ123" i="1"/>
  <c r="AJ125" i="1"/>
  <c r="AJ127" i="1"/>
  <c r="AJ129" i="1"/>
  <c r="AJ131" i="1"/>
  <c r="AJ133" i="1"/>
  <c r="AJ135" i="1"/>
  <c r="AJ137" i="1"/>
  <c r="AJ141" i="1"/>
  <c r="AJ143" i="1"/>
  <c r="AJ145" i="1"/>
  <c r="AJ147" i="1"/>
  <c r="AI104" i="1"/>
  <c r="AI106" i="1"/>
  <c r="AI108" i="1"/>
  <c r="AI112" i="1"/>
  <c r="AI116" i="1"/>
  <c r="AI118" i="1"/>
  <c r="AI120" i="1"/>
  <c r="AI122" i="1"/>
  <c r="AI124" i="1"/>
  <c r="AI126" i="1"/>
  <c r="AI128" i="1"/>
  <c r="AI130" i="1"/>
  <c r="AI132" i="1"/>
  <c r="AI134" i="1"/>
  <c r="AI136" i="1"/>
  <c r="AI140" i="1"/>
  <c r="AI142" i="1"/>
  <c r="AI144" i="1"/>
  <c r="AI146" i="1"/>
  <c r="AA109" i="1"/>
  <c r="AA108" i="1"/>
  <c r="AA104" i="1"/>
  <c r="AG103" i="1"/>
  <c r="AK103" i="1"/>
  <c r="AM103" i="1"/>
  <c r="AH104" i="1"/>
  <c r="AG105" i="1"/>
  <c r="AK105" i="1"/>
  <c r="AM105" i="1"/>
  <c r="AH106" i="1"/>
  <c r="AG107" i="1"/>
  <c r="AK107" i="1"/>
  <c r="AM107" i="1"/>
  <c r="AH108" i="1"/>
  <c r="AG109" i="1"/>
  <c r="AK109" i="1"/>
  <c r="AM109" i="1"/>
  <c r="AL102" i="1"/>
  <c r="AJ102" i="1"/>
  <c r="AH102" i="1"/>
  <c r="AB104" i="1"/>
  <c r="AB108" i="1"/>
  <c r="AH103" i="1"/>
  <c r="AG104" i="1"/>
  <c r="AK104" i="1"/>
  <c r="AM104" i="1"/>
  <c r="AH105" i="1"/>
  <c r="AG106" i="1"/>
  <c r="AK106" i="1"/>
  <c r="AM106" i="1"/>
  <c r="AH107" i="1"/>
  <c r="AG108" i="1"/>
  <c r="AK108" i="1"/>
  <c r="AM108" i="1"/>
  <c r="AH109" i="1"/>
  <c r="AM102" i="1"/>
  <c r="AK102" i="1"/>
  <c r="AI102" i="1"/>
  <c r="AG102" i="1"/>
  <c r="B114" i="1"/>
  <c r="AJ114" i="1" l="1"/>
  <c r="AL114" i="1"/>
  <c r="AI114" i="1"/>
  <c r="AH114" i="1"/>
  <c r="AG114" i="1"/>
  <c r="AK114" i="1"/>
  <c r="AM114" i="1"/>
  <c r="L113" i="1"/>
  <c r="L109" i="1"/>
  <c r="L108" i="1"/>
  <c r="L107" i="1"/>
  <c r="L103" i="1"/>
  <c r="Q197" i="1"/>
  <c r="L195" i="1"/>
  <c r="F197" i="1"/>
  <c r="F196" i="1"/>
  <c r="F195" i="1"/>
  <c r="F194" i="1"/>
  <c r="W109" i="1"/>
  <c r="W108" i="1"/>
  <c r="W107" i="1"/>
  <c r="W106" i="1"/>
  <c r="W104" i="1"/>
  <c r="W103" i="1"/>
  <c r="AB114" i="1"/>
  <c r="AB113" i="1"/>
  <c r="AB109" i="1"/>
  <c r="AB107" i="1"/>
  <c r="Q113" i="1"/>
  <c r="Q109" i="1"/>
  <c r="Q108" i="1"/>
  <c r="Q107" i="1"/>
  <c r="Q106" i="1"/>
  <c r="Q105" i="1"/>
  <c r="Q104" i="1"/>
  <c r="Q103" i="1"/>
  <c r="Q102" i="1"/>
  <c r="F113" i="1"/>
  <c r="F109" i="1"/>
  <c r="F108" i="1"/>
  <c r="F107" i="1"/>
  <c r="F105" i="1"/>
  <c r="F104" i="1"/>
  <c r="F103" i="1"/>
  <c r="F102" i="1"/>
  <c r="AE161" i="1" l="1"/>
  <c r="T161" i="1"/>
  <c r="AC161" i="1"/>
  <c r="R161" i="1"/>
  <c r="L161" i="1"/>
  <c r="I161" i="1"/>
  <c r="G161" i="1"/>
  <c r="H162" i="1"/>
  <c r="AD165" i="1"/>
  <c r="Z104" i="1"/>
  <c r="Z107" i="1"/>
  <c r="Z108" i="1"/>
  <c r="Z109" i="1"/>
  <c r="Z113" i="1"/>
  <c r="Z114" i="1"/>
  <c r="Y104" i="1"/>
  <c r="Y107" i="1"/>
  <c r="Y108" i="1"/>
  <c r="Y109" i="1"/>
  <c r="Y113" i="1"/>
  <c r="Y114" i="1"/>
  <c r="AD164" i="1"/>
  <c r="AD163" i="1"/>
  <c r="AD162" i="1"/>
  <c r="AD160" i="1"/>
  <c r="V102" i="1"/>
  <c r="V103" i="1"/>
  <c r="V104" i="1"/>
  <c r="V105" i="1"/>
  <c r="V106" i="1"/>
  <c r="V107" i="1"/>
  <c r="V108" i="1"/>
  <c r="V109" i="1"/>
  <c r="V113" i="1"/>
  <c r="U102" i="1"/>
  <c r="U103" i="1"/>
  <c r="U104" i="1"/>
  <c r="U105" i="1"/>
  <c r="U106" i="1"/>
  <c r="U107" i="1"/>
  <c r="U108" i="1"/>
  <c r="U109" i="1"/>
  <c r="U113" i="1"/>
  <c r="S165" i="1"/>
  <c r="O102" i="1"/>
  <c r="O103" i="1"/>
  <c r="O104" i="1"/>
  <c r="O105" i="1"/>
  <c r="O106" i="1"/>
  <c r="O107" i="1"/>
  <c r="O108" i="1"/>
  <c r="O109" i="1"/>
  <c r="O113" i="1"/>
  <c r="N102" i="1"/>
  <c r="N103" i="1"/>
  <c r="N104" i="1"/>
  <c r="N105" i="1"/>
  <c r="N106" i="1"/>
  <c r="N107" i="1"/>
  <c r="N108" i="1"/>
  <c r="N109" i="1"/>
  <c r="N113" i="1"/>
  <c r="S164" i="1"/>
  <c r="S163" i="1"/>
  <c r="S162" i="1"/>
  <c r="S160" i="1"/>
  <c r="G107" i="1"/>
  <c r="H160" i="1"/>
  <c r="I107" i="1"/>
  <c r="J102" i="1"/>
  <c r="J103" i="1"/>
  <c r="J104" i="1"/>
  <c r="J105" i="1"/>
  <c r="J107" i="1"/>
  <c r="J108" i="1"/>
  <c r="J109" i="1"/>
  <c r="J113" i="1"/>
  <c r="K102" i="1"/>
  <c r="K103" i="1"/>
  <c r="K104" i="1"/>
  <c r="K105" i="1"/>
  <c r="K107" i="1"/>
  <c r="K108" i="1"/>
  <c r="K109" i="1"/>
  <c r="K113" i="1"/>
  <c r="H164" i="1"/>
  <c r="H165" i="1"/>
  <c r="D102" i="1"/>
  <c r="D103" i="1"/>
  <c r="D104" i="1"/>
  <c r="D105" i="1"/>
  <c r="D107" i="1"/>
  <c r="D108" i="1"/>
  <c r="D109" i="1"/>
  <c r="D113" i="1"/>
  <c r="C102" i="1"/>
  <c r="C103" i="1"/>
  <c r="C104" i="1"/>
  <c r="C105" i="1"/>
  <c r="C107" i="1"/>
  <c r="C108" i="1"/>
  <c r="C109" i="1"/>
  <c r="C113" i="1"/>
  <c r="M103" i="1"/>
  <c r="P103" i="1" s="1"/>
  <c r="M104" i="1"/>
  <c r="P104" i="1" s="1"/>
  <c r="M105" i="1"/>
  <c r="P105" i="1" s="1"/>
  <c r="M106" i="1"/>
  <c r="P106" i="1" s="1"/>
  <c r="M107" i="1"/>
  <c r="P107" i="1" s="1"/>
  <c r="M108" i="1"/>
  <c r="P108" i="1" s="1"/>
  <c r="M109" i="1"/>
  <c r="P109" i="1" s="1"/>
  <c r="M113" i="1"/>
  <c r="P113" i="1" s="1"/>
  <c r="M115" i="1"/>
  <c r="P115" i="1" s="1"/>
  <c r="M116" i="1"/>
  <c r="P116" i="1" s="1"/>
  <c r="M117" i="1"/>
  <c r="P117" i="1" s="1"/>
  <c r="M118" i="1"/>
  <c r="P118" i="1" s="1"/>
  <c r="M119" i="1"/>
  <c r="P119" i="1" s="1"/>
  <c r="M120" i="1"/>
  <c r="P120" i="1" s="1"/>
  <c r="M121" i="1"/>
  <c r="P121" i="1" s="1"/>
  <c r="M122" i="1"/>
  <c r="P122" i="1" s="1"/>
  <c r="M123" i="1"/>
  <c r="P123" i="1" s="1"/>
  <c r="M124" i="1"/>
  <c r="P124" i="1" s="1"/>
  <c r="M125" i="1"/>
  <c r="P125" i="1" s="1"/>
  <c r="M126" i="1"/>
  <c r="P126" i="1" s="1"/>
  <c r="M127" i="1"/>
  <c r="P127" i="1" s="1"/>
  <c r="M128" i="1"/>
  <c r="P128" i="1" s="1"/>
  <c r="M129" i="1"/>
  <c r="P129" i="1" s="1"/>
  <c r="M130" i="1"/>
  <c r="P130" i="1" s="1"/>
  <c r="M131" i="1"/>
  <c r="P131" i="1" s="1"/>
  <c r="M132" i="1"/>
  <c r="P132" i="1" s="1"/>
  <c r="M133" i="1"/>
  <c r="P133" i="1" s="1"/>
  <c r="M134" i="1"/>
  <c r="P134" i="1" s="1"/>
  <c r="M135" i="1"/>
  <c r="P135" i="1" s="1"/>
  <c r="M136" i="1"/>
  <c r="P136" i="1" s="1"/>
  <c r="M102" i="1"/>
  <c r="P102" i="1" s="1"/>
  <c r="O197" i="1"/>
  <c r="N197" i="1"/>
  <c r="K195" i="1"/>
  <c r="J195" i="1"/>
  <c r="D197" i="1"/>
  <c r="C197" i="1"/>
  <c r="D196" i="1"/>
  <c r="C196" i="1"/>
  <c r="D195" i="1"/>
  <c r="C195" i="1"/>
  <c r="D194" i="1"/>
  <c r="C194" i="1"/>
  <c r="F160" i="1"/>
  <c r="H163" i="1"/>
  <c r="E164" i="1"/>
  <c r="E162" i="1" s="1"/>
  <c r="I147" i="1" l="1"/>
  <c r="I146" i="1"/>
  <c r="I145" i="1"/>
  <c r="I144" i="1"/>
  <c r="I143" i="1"/>
  <c r="I142" i="1"/>
  <c r="I137" i="1"/>
  <c r="I135" i="1"/>
  <c r="I133" i="1"/>
  <c r="I131" i="1"/>
  <c r="I129" i="1"/>
  <c r="I127" i="1"/>
  <c r="I125" i="1"/>
  <c r="I123" i="1"/>
  <c r="I121" i="1"/>
  <c r="I119" i="1"/>
  <c r="I117" i="1"/>
  <c r="I116" i="1"/>
  <c r="I115" i="1"/>
  <c r="I136" i="1"/>
  <c r="I134" i="1"/>
  <c r="I132" i="1"/>
  <c r="I130" i="1"/>
  <c r="I128" i="1"/>
  <c r="I126" i="1"/>
  <c r="I124" i="1"/>
  <c r="I122" i="1"/>
  <c r="I120" i="1"/>
  <c r="I118" i="1"/>
  <c r="I108" i="1"/>
  <c r="I113" i="1"/>
  <c r="I109" i="1"/>
  <c r="I105" i="1"/>
  <c r="R108" i="1"/>
  <c r="R105" i="1"/>
  <c r="R109" i="1"/>
  <c r="R107" i="1"/>
  <c r="T109" i="1"/>
  <c r="T107" i="1"/>
  <c r="T108" i="1"/>
  <c r="T105" i="1"/>
  <c r="G147" i="1"/>
  <c r="G136" i="1"/>
  <c r="G134" i="1"/>
  <c r="G132" i="1"/>
  <c r="G130" i="1"/>
  <c r="G128" i="1"/>
  <c r="G126" i="1"/>
  <c r="G124" i="1"/>
  <c r="G122" i="1"/>
  <c r="G120" i="1"/>
  <c r="G118" i="1"/>
  <c r="G146" i="1"/>
  <c r="G145" i="1"/>
  <c r="G144" i="1"/>
  <c r="G143" i="1"/>
  <c r="G142" i="1"/>
  <c r="G137" i="1"/>
  <c r="G135" i="1"/>
  <c r="G133" i="1"/>
  <c r="G131" i="1"/>
  <c r="G129" i="1"/>
  <c r="G127" i="1"/>
  <c r="G125" i="1"/>
  <c r="G123" i="1"/>
  <c r="G121" i="1"/>
  <c r="G119" i="1"/>
  <c r="G117" i="1"/>
  <c r="G116" i="1"/>
  <c r="G115" i="1"/>
  <c r="G113" i="1"/>
  <c r="G109" i="1"/>
  <c r="G105" i="1"/>
  <c r="G108" i="1"/>
  <c r="L116" i="1"/>
  <c r="L115" i="1"/>
  <c r="L105" i="1"/>
  <c r="L104" i="1"/>
  <c r="L102" i="1"/>
  <c r="AC147" i="1"/>
  <c r="AC136" i="1"/>
  <c r="AC134" i="1"/>
  <c r="AC132" i="1"/>
  <c r="AC130" i="1"/>
  <c r="AC128" i="1"/>
  <c r="AC126" i="1"/>
  <c r="AC124" i="1"/>
  <c r="AC122" i="1"/>
  <c r="AC120" i="1"/>
  <c r="AC118" i="1"/>
  <c r="AC116" i="1"/>
  <c r="AC115" i="1"/>
  <c r="AC114" i="1"/>
  <c r="AC146" i="1"/>
  <c r="AC145" i="1"/>
  <c r="AC144" i="1"/>
  <c r="AC143" i="1"/>
  <c r="AC137" i="1"/>
  <c r="AC135" i="1"/>
  <c r="AC133" i="1"/>
  <c r="AC131" i="1"/>
  <c r="AC129" i="1"/>
  <c r="AC127" i="1"/>
  <c r="AC125" i="1"/>
  <c r="AC123" i="1"/>
  <c r="AC121" i="1"/>
  <c r="AC119" i="1"/>
  <c r="AC117" i="1"/>
  <c r="AC113" i="1"/>
  <c r="AC109" i="1"/>
  <c r="AE147" i="1"/>
  <c r="AE146" i="1"/>
  <c r="AE145" i="1"/>
  <c r="AE144" i="1"/>
  <c r="AE143" i="1"/>
  <c r="AE137" i="1"/>
  <c r="AE135" i="1"/>
  <c r="AE133" i="1"/>
  <c r="AE131" i="1"/>
  <c r="AE129" i="1"/>
  <c r="AE127" i="1"/>
  <c r="AE125" i="1"/>
  <c r="AE123" i="1"/>
  <c r="AE121" i="1"/>
  <c r="AE119" i="1"/>
  <c r="AE117" i="1"/>
  <c r="AE136" i="1"/>
  <c r="AE134" i="1"/>
  <c r="AE132" i="1"/>
  <c r="AE130" i="1"/>
  <c r="AE128" i="1"/>
  <c r="AE126" i="1"/>
  <c r="AE124" i="1"/>
  <c r="AE122" i="1"/>
  <c r="AE120" i="1"/>
  <c r="AE118" i="1"/>
  <c r="AE116" i="1"/>
  <c r="AE115" i="1"/>
  <c r="AE114" i="1"/>
  <c r="AE113" i="1"/>
  <c r="AE109" i="1"/>
  <c r="C165" i="1"/>
  <c r="Q133" i="1"/>
  <c r="Q131" i="1"/>
  <c r="Q129" i="1"/>
  <c r="Q127" i="1"/>
  <c r="Q136" i="1"/>
  <c r="Q134" i="1"/>
  <c r="Q132" i="1"/>
  <c r="Q130" i="1"/>
  <c r="W116" i="1"/>
  <c r="W113" i="1"/>
  <c r="W102" i="1"/>
  <c r="R164" i="1"/>
  <c r="R162" i="1" s="1"/>
  <c r="W105" i="1"/>
  <c r="K164" i="1"/>
  <c r="J163" i="1"/>
  <c r="N164" i="1"/>
  <c r="U164" i="1"/>
  <c r="V162" i="1"/>
  <c r="Y163" i="1"/>
  <c r="Z164" i="1"/>
  <c r="Y165" i="1"/>
  <c r="C162" i="1"/>
  <c r="N162" i="1"/>
  <c r="Y160" i="1"/>
  <c r="Z162" i="1"/>
  <c r="D165" i="1"/>
  <c r="K163" i="1"/>
  <c r="N165" i="1"/>
  <c r="J160" i="1"/>
  <c r="O165" i="1"/>
  <c r="Y162" i="1"/>
  <c r="C164" i="1"/>
  <c r="D160" i="1"/>
  <c r="U165" i="1"/>
  <c r="Z165" i="1"/>
  <c r="C160" i="1"/>
  <c r="K160" i="1"/>
  <c r="C163" i="1"/>
  <c r="J164" i="1"/>
  <c r="K162" i="1"/>
  <c r="J162" i="1"/>
  <c r="N160" i="1"/>
  <c r="U160" i="1"/>
  <c r="O163" i="1"/>
  <c r="U163" i="1"/>
  <c r="N163" i="1"/>
  <c r="O164" i="1"/>
  <c r="V160" i="1"/>
  <c r="V165" i="1"/>
  <c r="Z160" i="1"/>
  <c r="Y164" i="1"/>
  <c r="Z163" i="1"/>
  <c r="D162" i="1"/>
  <c r="D164" i="1"/>
  <c r="D163" i="1"/>
  <c r="K165" i="1"/>
  <c r="J165" i="1"/>
  <c r="O160" i="1"/>
  <c r="O162" i="1"/>
  <c r="U162" i="1"/>
  <c r="V163" i="1"/>
  <c r="V164" i="1"/>
  <c r="F165" i="1"/>
  <c r="E160" i="1"/>
  <c r="F164" i="1"/>
  <c r="F162" i="1" s="1"/>
  <c r="E165" i="1"/>
  <c r="E163" i="1" s="1"/>
  <c r="W165" i="1" l="1"/>
  <c r="R160" i="1"/>
  <c r="W160" i="1"/>
  <c r="R165" i="1"/>
  <c r="W164" i="1"/>
  <c r="W162" i="1" s="1"/>
  <c r="T160" i="1"/>
  <c r="T164" i="1"/>
  <c r="T162" i="1" s="1"/>
  <c r="L165" i="1"/>
  <c r="T165" i="1"/>
  <c r="T163" i="1" s="1"/>
  <c r="R163" i="1"/>
  <c r="I160" i="1"/>
  <c r="Q164" i="1"/>
  <c r="Q162" i="1" s="1"/>
  <c r="AA165" i="1"/>
  <c r="I165" i="1"/>
  <c r="G160" i="1"/>
  <c r="Q165" i="1"/>
  <c r="I164" i="1"/>
  <c r="I162" i="1" s="1"/>
  <c r="L164" i="1"/>
  <c r="L162" i="1" s="1"/>
  <c r="G165" i="1"/>
  <c r="G164" i="1"/>
  <c r="G162" i="1" s="1"/>
  <c r="AC160" i="1"/>
  <c r="L160" i="1"/>
  <c r="Q160" i="1"/>
  <c r="AE164" i="1"/>
  <c r="AE160" i="1"/>
  <c r="AC165" i="1"/>
  <c r="AC164" i="1"/>
  <c r="AE165" i="1"/>
  <c r="P165" i="1"/>
  <c r="P164" i="1"/>
  <c r="P160" i="1"/>
  <c r="AB164" i="1"/>
  <c r="AB160" i="1"/>
  <c r="AB165" i="1"/>
  <c r="AA164" i="1"/>
  <c r="AA162" i="1" s="1"/>
  <c r="AA160" i="1"/>
  <c r="W163" i="1"/>
  <c r="F163" i="1"/>
  <c r="L163" i="1" l="1"/>
  <c r="Q163" i="1"/>
  <c r="I163" i="1"/>
  <c r="G163" i="1"/>
  <c r="AC162" i="1"/>
  <c r="AC163" i="1"/>
  <c r="AA163" i="1"/>
  <c r="AB162" i="1"/>
  <c r="AB163" i="1"/>
  <c r="P162" i="1"/>
  <c r="P163" i="1"/>
  <c r="AE162" i="1"/>
  <c r="AE163" i="1"/>
</calcChain>
</file>

<file path=xl/sharedStrings.xml><?xml version="1.0" encoding="utf-8"?>
<sst xmlns="http://schemas.openxmlformats.org/spreadsheetml/2006/main" count="378" uniqueCount="157">
  <si>
    <t>ほや</t>
  </si>
  <si>
    <t>宮城県</t>
  </si>
  <si>
    <t>東北電力</t>
  </si>
  <si>
    <t>試料名</t>
  </si>
  <si>
    <t>ほや(肉)</t>
  </si>
  <si>
    <t>ほや(内臓)</t>
  </si>
  <si>
    <t>小屋取(県)</t>
  </si>
  <si>
    <t>塚浜</t>
  </si>
  <si>
    <t xml:space="preserve"> </t>
  </si>
  <si>
    <t>小屋取(電力)</t>
  </si>
  <si>
    <t>採取場所</t>
  </si>
  <si>
    <t>肉</t>
  </si>
  <si>
    <t>内臓</t>
  </si>
  <si>
    <t>核種名</t>
  </si>
  <si>
    <t>Be-7</t>
  </si>
  <si>
    <t>K-40</t>
  </si>
  <si>
    <t>Cs-137</t>
  </si>
  <si>
    <t>Sr-90</t>
  </si>
  <si>
    <t>Ca濃度</t>
  </si>
  <si>
    <t>Sr単位</t>
  </si>
  <si>
    <t>採取年月日</t>
  </si>
  <si>
    <t>Bq/kg生</t>
  </si>
  <si>
    <t>mBq/kg生</t>
  </si>
  <si>
    <t>g/kg生</t>
  </si>
  <si>
    <t>pCi/kg生</t>
  </si>
  <si>
    <t>-</t>
  </si>
  <si>
    <t>S62,肉＋内蔵のため未入力</t>
  </si>
  <si>
    <t>最大値</t>
  </si>
  <si>
    <t>平均</t>
  </si>
  <si>
    <t>ほや(肉＋内臓)</t>
  </si>
  <si>
    <t>肉＋内臓</t>
  </si>
  <si>
    <t>&lt;--肉&amp;内臓</t>
  </si>
  <si>
    <t>注*）S61.6.16小屋取:Marinelli？</t>
  </si>
  <si>
    <t>県原セの関連ページ</t>
    <rPh sb="0" eb="1">
      <t>ケン</t>
    </rPh>
    <rPh sb="1" eb="2">
      <t>ゲン</t>
    </rPh>
    <rPh sb="4" eb="6">
      <t>カンレン</t>
    </rPh>
    <phoneticPr fontId="1"/>
  </si>
  <si>
    <t>出典：女川原子力発電所環境放射能及び温排水調査結果（各年度四半期ごと1～4号）､女川原子力発電所環境放射能調査結果（各年度5号）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カクネンド</t>
    </rPh>
    <rPh sb="29" eb="30">
      <t>シ</t>
    </rPh>
    <rPh sb="30" eb="32">
      <t>ハンキ</t>
    </rPh>
    <rPh sb="37" eb="38">
      <t>ゴウ</t>
    </rPh>
    <rPh sb="40" eb="42">
      <t>オナガワ</t>
    </rPh>
    <rPh sb="42" eb="45">
      <t>ゲンシリョク</t>
    </rPh>
    <rPh sb="45" eb="47">
      <t>ハツデン</t>
    </rPh>
    <rPh sb="47" eb="48">
      <t>ショ</t>
    </rPh>
    <rPh sb="48" eb="50">
      <t>カンキョウ</t>
    </rPh>
    <rPh sb="50" eb="53">
      <t>ホウシャノウ</t>
    </rPh>
    <rPh sb="53" eb="55">
      <t>チョウサ</t>
    </rPh>
    <rPh sb="55" eb="57">
      <t>ケッカ</t>
    </rPh>
    <rPh sb="58" eb="61">
      <t>カクネンド</t>
    </rPh>
    <rPh sb="62" eb="63">
      <t>ゴウ</t>
    </rPh>
    <phoneticPr fontId="9"/>
  </si>
  <si>
    <t>旧単位(pCi/kg生)の元データ表</t>
    <rPh sb="0" eb="1">
      <t>キュウ</t>
    </rPh>
    <rPh sb="1" eb="3">
      <t>タンイ</t>
    </rPh>
    <rPh sb="13" eb="14">
      <t>モト</t>
    </rPh>
    <rPh sb="17" eb="18">
      <t>ヒョウ</t>
    </rPh>
    <phoneticPr fontId="1"/>
  </si>
  <si>
    <t>Cs-134</t>
    <phoneticPr fontId="1"/>
  </si>
  <si>
    <t>個数</t>
    <rPh sb="0" eb="2">
      <t>コスウ</t>
    </rPh>
    <phoneticPr fontId="1"/>
  </si>
  <si>
    <t>真の最小値</t>
    <rPh sb="0" eb="1">
      <t>シン</t>
    </rPh>
    <phoneticPr fontId="1"/>
  </si>
  <si>
    <t>灰化せず生試料</t>
    <rPh sb="0" eb="2">
      <t>ハイカ</t>
    </rPh>
    <rPh sb="4" eb="5">
      <t>ナマ</t>
    </rPh>
    <rPh sb="5" eb="7">
      <t>シリョウ</t>
    </rPh>
    <phoneticPr fontId="1"/>
  </si>
  <si>
    <t>環境放射線監視センター</t>
    <rPh sb="0" eb="2">
      <t>カンキョウ</t>
    </rPh>
    <rPh sb="2" eb="5">
      <t>ホウシャセン</t>
    </rPh>
    <rPh sb="5" eb="7">
      <t>カンシ</t>
    </rPh>
    <phoneticPr fontId="1"/>
  </si>
  <si>
    <t>原子力安全対策課</t>
    <rPh sb="0" eb="3">
      <t>ゲンシリョク</t>
    </rPh>
    <rPh sb="3" eb="5">
      <t>アンゼン</t>
    </rPh>
    <rPh sb="5" eb="7">
      <t>タイサク</t>
    </rPh>
    <rPh sb="7" eb="8">
      <t>カ</t>
    </rPh>
    <phoneticPr fontId="1"/>
  </si>
  <si>
    <t>放射能情報サイトみやぎ</t>
    <rPh sb="0" eb="3">
      <t>ホウシャノウ</t>
    </rPh>
    <rPh sb="3" eb="5">
      <t>ジョウホウ</t>
    </rPh>
    <phoneticPr fontId="1"/>
  </si>
  <si>
    <t>塚浜h25~←小屋取(電力)</t>
    <rPh sb="0" eb="1">
      <t>ハマ</t>
    </rPh>
    <phoneticPr fontId="1"/>
  </si>
  <si>
    <t>：ND(検出されず)をグラフ表示するため最小値の1/2を採用</t>
    <rPh sb="4" eb="6">
      <t>ケンシュツ</t>
    </rPh>
    <rPh sb="14" eb="16">
      <t>ヒョウジ</t>
    </rPh>
    <rPh sb="20" eb="23">
      <t>サイショウチ</t>
    </rPh>
    <rPh sb="28" eb="30">
      <t>サイヨウ</t>
    </rPh>
    <phoneticPr fontId="1"/>
  </si>
  <si>
    <t>：検出限界値未満だがスペクトルに光電ピークある場合</t>
    <rPh sb="1" eb="3">
      <t>ケンシュツ</t>
    </rPh>
    <rPh sb="3" eb="6">
      <t>ゲンカイチ</t>
    </rPh>
    <rPh sb="6" eb="8">
      <t>ミマン</t>
    </rPh>
    <rPh sb="16" eb="18">
      <t>コウデン</t>
    </rPh>
    <rPh sb="23" eb="25">
      <t>バアイ</t>
    </rPh>
    <phoneticPr fontId="1"/>
  </si>
  <si>
    <t xml:space="preserve"> S54.3.28／スリーマイル島事故(アメリカ)</t>
  </si>
  <si>
    <t xml:space="preserve"> S55.10／最後の大気圏内核実験(中国)</t>
  </si>
  <si>
    <t xml:space="preserve"> S56.10／測定開始(県原子力センター)</t>
  </si>
  <si>
    <t xml:space="preserve"> S59.6.1／１号機営業運転(女川)</t>
  </si>
  <si>
    <t xml:space="preserve"> S61.4.26／チェルノブイリ事故(旧ソ連)</t>
  </si>
  <si>
    <t xml:space="preserve"> H7.7.28／２号機営業運転(女川)</t>
  </si>
  <si>
    <t xml:space="preserve"> H7.12.8／もんじゅNa漏洩事故(敦賀市)</t>
  </si>
  <si>
    <t xml:space="preserve"> H11.9.30／JCO臨界事故(東海村)</t>
  </si>
  <si>
    <t xml:space="preserve"> H14.1.30／３号機営業運転(女川)</t>
  </si>
  <si>
    <t xml:space="preserve"> H19.7.16／中越沖地震(柏崎刈羽原発事故)</t>
  </si>
  <si>
    <t xml:space="preserve"> H23.3.11~14／東日本大震災･東京電力福島第1原発事故</t>
  </si>
  <si>
    <t>'インストラクターのネタ帳 "http://www.relief.jp/itnote/archives/018407.php"</t>
  </si>
  <si>
    <t>'</t>
  </si>
  <si>
    <t>'選択したセル範囲に含まれる図形を削除するExcelマクロ</t>
  </si>
  <si>
    <t>'対象: Excel2003 , Excel2007, Excel2010, Excel2013</t>
  </si>
  <si>
    <t>'アクティブシート上の､グループ化された図形をグループ解除するマクロをご紹介しました｡</t>
  </si>
  <si>
    <t>'この記事を作成する工程で､英語圏の掲示板を眺めていたら､興味深い別のExcelマクロが紹介されているのに気付きました｡選択されているセル範囲の図形を削除するマクロです｡</t>
  </si>
  <si>
    <t>'ワークシート上の複数の図形を削除するには、［Shift］キーや［Ctrl］キーを押しっぱなしにして図形を一つずつクリックしていくか、［オブジェクトの選択］コマンドからマウスポインタを変更してドラッグする必要があります。</t>
  </si>
  <si>
    <t>'この作業を楽にしてくれるマクロです｡</t>
  </si>
  <si>
    <t>'この掲示板に書かれているマクロは確かに便利なのですが､図形の左上が選択されたセル範囲に含まれているときに削除が行われるという仕様です｡</t>
  </si>
  <si>
    <t>'図形の左上が選択されているセル範囲に含まれるよりも､図形の一部でも選択されたセル範囲に含まれているときに削除できるほうが､より便利だと感じたので､そんなマクロを作ってみました｡</t>
  </si>
  <si>
    <t>Sub 選択されているセル範囲内の図形を削除する()   '先ず削除したい図形のある範囲を指定しておく！</t>
  </si>
  <si>
    <t xml:space="preserve">  Dim shp As Shape</t>
  </si>
  <si>
    <t xml:space="preserve">  Dim rng_shp As Range</t>
  </si>
  <si>
    <t xml:space="preserve">   If TypeName(Selection) &lt;&gt; "Range" Then Exit Sub</t>
  </si>
  <si>
    <t xml:space="preserve">   For Each shp In ActiveSheet.Shapes</t>
  </si>
  <si>
    <t xml:space="preserve">     ''図形の配置されているセル範囲をオブジェクト変数にセット</t>
  </si>
  <si>
    <t xml:space="preserve">    Set rng_shp = Range(shp.TopLeftCell, shp.BottomRightCell)</t>
  </si>
  <si>
    <t xml:space="preserve">     ''図形の配置されているセル範囲と</t>
  </si>
  <si>
    <t xml:space="preserve">    ''選択されているセル範囲が重なっているときに図形を削除</t>
  </si>
  <si>
    <t xml:space="preserve">     If Not (Intersect(rng_shp, Selection) Is Nothing) Then</t>
  </si>
  <si>
    <t xml:space="preserve">      shp.Delete</t>
  </si>
  <si>
    <t xml:space="preserve">    End If</t>
  </si>
  <si>
    <t xml:space="preserve">   Next</t>
  </si>
  <si>
    <t>'End Sub</t>
  </si>
  <si>
    <t>'セル以外が選択されているときはエラーとなってしまうことがあるので､セルが選択されていないときはこのマクロを終了します｡</t>
  </si>
  <si>
    <t>'   If TypeName(Selection) &lt;&gt; "Range" Then Exit Sub</t>
  </si>
  <si>
    <t>'アクティブシート上の､すべての図形にループ処理を開始し､</t>
  </si>
  <si>
    <t>'   For Each shp In ActiveSheet.Shapes</t>
  </si>
  <si>
    <t>'図形の配置されている､セル範囲をオブジェクト変数にセットします｡</t>
  </si>
  <si>
    <t>'     Set rng_shp = Range(shp.TopLeftCell, shp.BottomRightCell)</t>
  </si>
  <si>
    <t>'オブジェクト変数にセットした '図形の配置されているセル範囲と、選択されているセル範囲が重なっているかをApplication.Intersectメソッドで調べ、</t>
  </si>
  <si>
    <t>'     If Not (Intersect(rng_shp, Selection) Is Nothing) Then</t>
  </si>
  <si>
    <t>'重なっているときにその図形を削除しています｡</t>
  </si>
  <si>
    <t>'       shp.Delete</t>
  </si>
  <si>
    <t>End Sub</t>
  </si>
  <si>
    <t>Cs137崩壊</t>
    <rPh sb="5" eb="7">
      <t>ホウカイ</t>
    </rPh>
    <phoneticPr fontId="1"/>
  </si>
  <si>
    <t>Cs134崩壊</t>
    <rPh sb="5" eb="7">
      <t>ホウカイ</t>
    </rPh>
    <phoneticPr fontId="1"/>
  </si>
  <si>
    <t>Be7崩壊</t>
    <rPh sb="3" eb="5">
      <t>ホウカイ</t>
    </rPh>
    <phoneticPr fontId="1"/>
  </si>
  <si>
    <t>K40崩壊</t>
    <rPh sb="3" eb="5">
      <t>ホウカイ</t>
    </rPh>
    <phoneticPr fontId="1"/>
  </si>
  <si>
    <t>kmdみやぎ</t>
    <phoneticPr fontId="23"/>
  </si>
  <si>
    <t>物理崩壊</t>
    <rPh sb="0" eb="2">
      <t>ブツリ</t>
    </rPh>
    <phoneticPr fontId="1"/>
  </si>
  <si>
    <t>Cs137減衰</t>
    <rPh sb="5" eb="7">
      <t>ゲンスイ</t>
    </rPh>
    <phoneticPr fontId="1"/>
  </si>
  <si>
    <t>Cs134減衰</t>
    <rPh sb="5" eb="7">
      <t>ゲンスイ</t>
    </rPh>
    <phoneticPr fontId="1"/>
  </si>
  <si>
    <t>H3崩壊</t>
    <phoneticPr fontId="1"/>
  </si>
  <si>
    <t>Sr90崩壊</t>
    <rPh sb="4" eb="6">
      <t>ホウカイ</t>
    </rPh>
    <phoneticPr fontId="1"/>
  </si>
  <si>
    <t>I131崩壊</t>
    <rPh sb="4" eb="6">
      <t>ホウカイ</t>
    </rPh>
    <phoneticPr fontId="1"/>
  </si>
  <si>
    <t>注1)</t>
    <phoneticPr fontId="1"/>
  </si>
  <si>
    <t>S62以前は1pCi/kg生=1/27Bq/kg生で換算｡チェルノブイリ事故(S61.4.26)によりS61.5～6はNb-95､Ru-103､Ru-106､Sb-125､Te-129m､Ce-141､Ce-144を検出｡</t>
    <phoneticPr fontId="1"/>
  </si>
  <si>
    <t>注2)</t>
  </si>
  <si>
    <t>Be-7､K-40は天然核種､H-3は人工・天然核種､Cs-134､Cs-137､Sr-90は人工核種</t>
    <phoneticPr fontId="1"/>
  </si>
  <si>
    <t>注3)</t>
  </si>
  <si>
    <r>
      <t>半減期はH-3/12.33年､Be-7/0.1459年､K-40/1.277x10</t>
    </r>
    <r>
      <rPr>
        <vertAlign val="superscript"/>
        <sz val="8.5"/>
        <color indexed="8"/>
        <rFont val="Meiryo UI"/>
        <family val="3"/>
        <charset val="128"/>
      </rPr>
      <t>9</t>
    </r>
    <r>
      <rPr>
        <sz val="8.5"/>
        <color indexed="8"/>
        <rFont val="Meiryo UI"/>
        <family val="3"/>
        <charset val="128"/>
      </rPr>
      <t>年､Sr-90/28.79年､I-131/0.02218年､Cs-134/2.062年､Cs-137/30.07年</t>
    </r>
    <rPh sb="26" eb="27">
      <t>ネン</t>
    </rPh>
    <rPh sb="70" eb="71">
      <t>ネン</t>
    </rPh>
    <phoneticPr fontId="1"/>
  </si>
  <si>
    <t>注4)</t>
  </si>
  <si>
    <t>(　)は検出限界値未満だがスペクトルに光電ピークあり､NDは"(核種分析行ったが光電ピークなく)検出下限値未満"つまり"検出されず"､"不検出"を意味する｡</t>
    <rPh sb="32" eb="34">
      <t>カクシュ</t>
    </rPh>
    <rPh sb="34" eb="36">
      <t>ブンセキ</t>
    </rPh>
    <rPh sb="36" eb="37">
      <t>オコナ</t>
    </rPh>
    <rPh sb="48" eb="50">
      <t>ケンシュツ</t>
    </rPh>
    <rPh sb="50" eb="52">
      <t>カゲン</t>
    </rPh>
    <rPh sb="52" eb="53">
      <t>チ</t>
    </rPh>
    <rPh sb="53" eb="55">
      <t>ミマン</t>
    </rPh>
    <rPh sb="60" eb="62">
      <t>ケンシュツ</t>
    </rPh>
    <rPh sb="68" eb="69">
      <t>フ</t>
    </rPh>
    <rPh sb="69" eb="71">
      <t>ケンシュツ</t>
    </rPh>
    <rPh sb="73" eb="75">
      <t>イミ</t>
    </rPh>
    <phoneticPr fontId="1"/>
  </si>
  <si>
    <t>注5)</t>
  </si>
  <si>
    <t>NDをグラフ表示する場合､"ND代替値"行に記入された当該列の数値に置き換える｡"ND代替値"の計算法は注6)参照｡</t>
    <rPh sb="6" eb="8">
      <t>ヒョウジ</t>
    </rPh>
    <rPh sb="10" eb="12">
      <t>バアイ</t>
    </rPh>
    <rPh sb="16" eb="18">
      <t>ダイガ</t>
    </rPh>
    <rPh sb="18" eb="19">
      <t>チ</t>
    </rPh>
    <rPh sb="20" eb="21">
      <t>ギョウ</t>
    </rPh>
    <rPh sb="22" eb="24">
      <t>キニュウ</t>
    </rPh>
    <rPh sb="27" eb="29">
      <t>トウガイ</t>
    </rPh>
    <rPh sb="29" eb="30">
      <t>レツ</t>
    </rPh>
    <rPh sb="31" eb="33">
      <t>スウチ</t>
    </rPh>
    <rPh sb="34" eb="35">
      <t>オ</t>
    </rPh>
    <rPh sb="36" eb="37">
      <t>カ</t>
    </rPh>
    <rPh sb="48" eb="51">
      <t>ケイサンホウ</t>
    </rPh>
    <rPh sb="52" eb="53">
      <t>チュウ</t>
    </rPh>
    <rPh sb="55" eb="57">
      <t>サンショウ</t>
    </rPh>
    <phoneticPr fontId="1"/>
  </si>
  <si>
    <t>注6-1)</t>
    <phoneticPr fontId="1"/>
  </si>
  <si>
    <t>NDのセルは表中で斜線記入し､グラフ表示の都合上､次のルールで作業した｡有意な数値だけの列､即ちNDと記入ない列は ｢ND代替値｣を／(スラッシュでなく斜線)とする</t>
    <rPh sb="6" eb="8">
      <t>ヒョウチュウ</t>
    </rPh>
    <rPh sb="18" eb="20">
      <t>ヒョウジ</t>
    </rPh>
    <rPh sb="21" eb="24">
      <t>ツゴウジョウ</t>
    </rPh>
    <phoneticPr fontId="1"/>
  </si>
  <si>
    <t>注6-2)</t>
  </si>
  <si>
    <t>NDセル以外の最小値を目視で採取し､その1/2をND代替値と定義｡データ追加するたびに更新｡検出例数が稀なCs-134は､当面Cs-137のND代替値とする。</t>
    <rPh sb="0" eb="2">
      <t>イガイ</t>
    </rPh>
    <rPh sb="3" eb="6">
      <t>サイショウチ</t>
    </rPh>
    <rPh sb="7" eb="9">
      <t>モクシ</t>
    </rPh>
    <rPh sb="10" eb="12">
      <t>サイシュ</t>
    </rPh>
    <rPh sb="32" eb="34">
      <t>ツイカ</t>
    </rPh>
    <rPh sb="39" eb="41">
      <t>コウシン</t>
    </rPh>
    <phoneticPr fontId="1"/>
  </si>
  <si>
    <t>注6-3)</t>
  </si>
  <si>
    <t>｢真の最小値｣とは､ND代替値を除いた最小値で計算式は=IF(R[-1]C&lt;&gt;"",SMALL(R[-45]C:R[-3]C,R[2]C+1),MIN(R[-45]C:R[-3]C))</t>
    <rPh sb="0" eb="2">
      <t>サイショウチ</t>
    </rPh>
    <rPh sb="15" eb="18">
      <t>サイショウチ</t>
    </rPh>
    <rPh sb="19" eb="21">
      <t>ケイサン</t>
    </rPh>
    <rPh sb="21" eb="22">
      <t>シキ</t>
    </rPh>
    <phoneticPr fontId="1"/>
  </si>
  <si>
    <t>注6-4)</t>
  </si>
  <si>
    <t>人工核種Cs-134､Cs-137､H-3､I-131は地点ごとND代替値から物理減衰させ､事故後はリセットする(ND代替値に戻って減衰させる)｡</t>
    <rPh sb="0" eb="2">
      <t>ジンコウ</t>
    </rPh>
    <rPh sb="2" eb="4">
      <t>カクシュ</t>
    </rPh>
    <rPh sb="28" eb="30">
      <t>チテン</t>
    </rPh>
    <rPh sb="39" eb="41">
      <t>ブツリ</t>
    </rPh>
    <rPh sb="41" eb="43">
      <t>ゲンスイ</t>
    </rPh>
    <rPh sb="46" eb="49">
      <t>ジコゴ</t>
    </rPh>
    <rPh sb="63" eb="64">
      <t>モド</t>
    </rPh>
    <rPh sb="66" eb="68">
      <t>ゲンスイ</t>
    </rPh>
    <phoneticPr fontId="1"/>
  </si>
  <si>
    <t>注6-5)</t>
  </si>
  <si>
    <t>K-40は超長半減期､Be-7は常時生成供給により一定放射能濃度レベルが保持されるので､減衰させない</t>
    <rPh sb="5" eb="6">
      <t>チョウ</t>
    </rPh>
    <rPh sb="6" eb="7">
      <t>チョウ</t>
    </rPh>
    <rPh sb="7" eb="10">
      <t>ハンゲンキ</t>
    </rPh>
    <rPh sb="16" eb="18">
      <t>ジョウジ</t>
    </rPh>
    <rPh sb="18" eb="20">
      <t>セイセイ</t>
    </rPh>
    <rPh sb="20" eb="22">
      <t>キョウキュウ</t>
    </rPh>
    <rPh sb="25" eb="27">
      <t>イッテイ</t>
    </rPh>
    <rPh sb="27" eb="30">
      <t>ホウシャノウ</t>
    </rPh>
    <rPh sb="30" eb="32">
      <t>ノウド</t>
    </rPh>
    <rPh sb="36" eb="38">
      <t>ホジ</t>
    </rPh>
    <rPh sb="44" eb="46">
      <t>ゲンスイ</t>
    </rPh>
    <phoneticPr fontId="1"/>
  </si>
  <si>
    <t>注6-6)</t>
  </si>
  <si>
    <t>Sr-90は核実験由来と見なし､調査開始日から一貫して減衰させる</t>
    <rPh sb="6" eb="7">
      <t>カク</t>
    </rPh>
    <rPh sb="7" eb="9">
      <t>ジッケン</t>
    </rPh>
    <rPh sb="9" eb="11">
      <t>ユライ</t>
    </rPh>
    <rPh sb="12" eb="13">
      <t>ミ</t>
    </rPh>
    <rPh sb="16" eb="18">
      <t>チョウサ</t>
    </rPh>
    <rPh sb="18" eb="20">
      <t>カイシ</t>
    </rPh>
    <rPh sb="20" eb="21">
      <t>ビ</t>
    </rPh>
    <rPh sb="23" eb="25">
      <t>イッカン</t>
    </rPh>
    <rPh sb="27" eb="29">
      <t>ゲンスイ</t>
    </rPh>
    <phoneticPr fontId="1"/>
  </si>
  <si>
    <t>注7)</t>
  </si>
  <si>
    <t>Ge半導体検出器で分析する核種のうち､K-40とI-131は迅速法､それ以外は共沈法(あらめと海水)</t>
    <rPh sb="1" eb="4">
      <t>ハンドウタイ</t>
    </rPh>
    <rPh sb="4" eb="7">
      <t>ケンシュツキ</t>
    </rPh>
    <rPh sb="8" eb="10">
      <t>ブンセキ</t>
    </rPh>
    <rPh sb="12" eb="14">
      <t>カクシュ</t>
    </rPh>
    <rPh sb="29" eb="31">
      <t>ジンソク</t>
    </rPh>
    <rPh sb="31" eb="32">
      <t>ホウ</t>
    </rPh>
    <rPh sb="35" eb="37">
      <t>イガイ</t>
    </rPh>
    <rPh sb="38" eb="39">
      <t>キョウ</t>
    </rPh>
    <rPh sb="39" eb="40">
      <t>チン</t>
    </rPh>
    <rPh sb="40" eb="41">
      <t>ホウ</t>
    </rPh>
    <rPh sb="46" eb="48">
      <t>カイスイ</t>
    </rPh>
    <phoneticPr fontId="1"/>
  </si>
  <si>
    <t>注8)</t>
  </si>
  <si>
    <t>h24.2.14以降､K-40･I-131が検出･未検出に拘らず測定した検体は迅速法､／(未測定)の場合は共沈法(あらめと海水)</t>
    <rPh sb="7" eb="9">
      <t>イコウ</t>
    </rPh>
    <phoneticPr fontId="1"/>
  </si>
  <si>
    <t>注9)</t>
  </si>
  <si>
    <t>Cs以外の対象核種(Mn-54､Co-58､Fe-59､Co-60)は原発事故直後以外､検出されなかったので作図しない｡</t>
    <rPh sb="34" eb="36">
      <t>ゲンパツ</t>
    </rPh>
    <rPh sb="36" eb="38">
      <t>ジコ</t>
    </rPh>
    <rPh sb="38" eb="40">
      <t>チョクゴ</t>
    </rPh>
    <rPh sb="40" eb="42">
      <t>イガイ</t>
    </rPh>
    <rPh sb="53" eb="55">
      <t>サクズ</t>
    </rPh>
    <phoneticPr fontId="1"/>
  </si>
  <si>
    <t>ND代替値</t>
    <phoneticPr fontId="1"/>
  </si>
  <si>
    <t>Cs-134のND代替値はCS-137と同値とする</t>
    <rPh sb="20" eb="21">
      <t>ドウ</t>
    </rPh>
    <rPh sb="21" eb="22">
      <t>チ</t>
    </rPh>
    <phoneticPr fontId="1"/>
  </si>
  <si>
    <t>ND代替値の個数</t>
    <rPh sb="6" eb="8">
      <t>コスウ</t>
    </rPh>
    <phoneticPr fontId="1"/>
  </si>
  <si>
    <t xml:space="preserve"> S38／大気･地下同数に､以降地下が主流に(仏･中は大気圏内を10年超継続)</t>
    <rPh sb="5" eb="7">
      <t>タイキ</t>
    </rPh>
    <rPh sb="8" eb="10">
      <t>チカ</t>
    </rPh>
    <rPh sb="10" eb="12">
      <t>ドウスウ</t>
    </rPh>
    <rPh sb="14" eb="16">
      <t>イコウ</t>
    </rPh>
    <rPh sb="16" eb="18">
      <t>チカ</t>
    </rPh>
    <rPh sb="19" eb="21">
      <t>シュリュウ</t>
    </rPh>
    <rPh sb="34" eb="35">
      <t>ネン</t>
    </rPh>
    <rPh sb="35" eb="36">
      <t>チョウ</t>
    </rPh>
    <phoneticPr fontId="1"/>
  </si>
  <si>
    <t xml:space="preserve"> S48.7.5／中国15回核実験6/28､全国最高値(蔵王町)</t>
    <phoneticPr fontId="1"/>
  </si>
  <si>
    <t>単位：Bq/kg生､Ca濃度はg/kg/生､Sr単位はBq/g･Ca</t>
    <rPh sb="0" eb="2">
      <t>タンイ</t>
    </rPh>
    <rPh sb="8" eb="9">
      <t>ナマ</t>
    </rPh>
    <rPh sb="12" eb="14">
      <t>ノウド</t>
    </rPh>
    <rPh sb="20" eb="21">
      <t>ナマ</t>
    </rPh>
    <rPh sb="24" eb="26">
      <t>タンイ</t>
    </rPh>
    <phoneticPr fontId="1"/>
  </si>
  <si>
    <t>(注1) Be-7とK-40は天然､Cs-134とCs-137は主に原発事故､I-131は原発事故と医療､Sr-90は核実験 由来</t>
    <rPh sb="1" eb="2">
      <t>チュウ</t>
    </rPh>
    <rPh sb="15" eb="17">
      <t>テンネン</t>
    </rPh>
    <rPh sb="32" eb="33">
      <t>オモ</t>
    </rPh>
    <rPh sb="34" eb="36">
      <t>ゲンパツ</t>
    </rPh>
    <rPh sb="36" eb="38">
      <t>ジコ</t>
    </rPh>
    <rPh sb="50" eb="52">
      <t>イリョウ</t>
    </rPh>
    <rPh sb="59" eb="60">
      <t>カク</t>
    </rPh>
    <rPh sb="60" eb="62">
      <t>ジッケン</t>
    </rPh>
    <rPh sb="63" eb="65">
      <t>ユライ</t>
    </rPh>
    <phoneticPr fontId="1"/>
  </si>
  <si>
    <t>(注2) ND(検出されず)は､核種別･地点別の仮想値(過去最小値の1/2で求める"ND代替値")を設定｡Cs-137･Cs-134･H-3･I-131は次の重大事故まで物理減衰し､事故の都度リセットされ"ND代替値"に戻ると仮定</t>
    <rPh sb="1" eb="2">
      <t>チュウ</t>
    </rPh>
    <rPh sb="8" eb="10">
      <t>ケンシュツ</t>
    </rPh>
    <rPh sb="16" eb="18">
      <t>カクシュ</t>
    </rPh>
    <rPh sb="18" eb="19">
      <t>ベツ</t>
    </rPh>
    <rPh sb="20" eb="22">
      <t>チテン</t>
    </rPh>
    <rPh sb="22" eb="23">
      <t>ベツ</t>
    </rPh>
    <rPh sb="24" eb="26">
      <t>カソウ</t>
    </rPh>
    <rPh sb="26" eb="27">
      <t>チ</t>
    </rPh>
    <rPh sb="50" eb="52">
      <t>セッテイ</t>
    </rPh>
    <phoneticPr fontId="1"/>
  </si>
  <si>
    <t>(注3) K-40･Sr-90は全期間物理減衰し事故の都度リセットされない､Be-7は短半減期だが常時新生供給され全期間一定レベル保持</t>
    <rPh sb="1" eb="2">
      <t>チュウ</t>
    </rPh>
    <rPh sb="16" eb="19">
      <t>ゼンキカン</t>
    </rPh>
    <rPh sb="19" eb="21">
      <t>ブツリ</t>
    </rPh>
    <rPh sb="21" eb="23">
      <t>ゲンスイ</t>
    </rPh>
    <rPh sb="24" eb="26">
      <t>ジコ</t>
    </rPh>
    <rPh sb="27" eb="29">
      <t>ツド</t>
    </rPh>
    <rPh sb="43" eb="44">
      <t>タン</t>
    </rPh>
    <rPh sb="44" eb="47">
      <t>ハンゲンキ</t>
    </rPh>
    <rPh sb="49" eb="51">
      <t>ジョウジ</t>
    </rPh>
    <rPh sb="51" eb="53">
      <t>シンセイ</t>
    </rPh>
    <rPh sb="53" eb="55">
      <t>キョウキュウ</t>
    </rPh>
    <rPh sb="57" eb="60">
      <t>ゼンキカン</t>
    </rPh>
    <rPh sb="60" eb="62">
      <t>イッテイ</t>
    </rPh>
    <rPh sb="65" eb="67">
      <t>ホジ</t>
    </rPh>
    <phoneticPr fontId="1"/>
  </si>
  <si>
    <t>h18.6.14:灰試料に含まれるI-131も分析､全検体ND｡</t>
    <rPh sb="9" eb="10">
      <t>ハイ</t>
    </rPh>
    <rPh sb="10" eb="12">
      <t>シリョウ</t>
    </rPh>
    <rPh sb="13" eb="14">
      <t>フク</t>
    </rPh>
    <rPh sb="23" eb="25">
      <t>ブンセキ</t>
    </rPh>
    <rPh sb="26" eb="27">
      <t>ゼン</t>
    </rPh>
    <rPh sb="27" eb="29">
      <t>ケンタイ</t>
    </rPh>
    <phoneticPr fontId="1"/>
  </si>
  <si>
    <t>h19.6.8:灰試料に含まれるI-131も分析､全検体ND｡</t>
    <rPh sb="8" eb="9">
      <t>ハイ</t>
    </rPh>
    <rPh sb="9" eb="11">
      <t>シリョウ</t>
    </rPh>
    <rPh sb="12" eb="13">
      <t>フク</t>
    </rPh>
    <rPh sb="22" eb="24">
      <t>ブンセキ</t>
    </rPh>
    <rPh sb="25" eb="26">
      <t>ゼン</t>
    </rPh>
    <rPh sb="26" eb="28">
      <t>ケンタイ</t>
    </rPh>
    <phoneticPr fontId="1"/>
  </si>
  <si>
    <t>h20.6.9:灰試料に含まれるI-131も分析､6/9の2検体ND｡</t>
    <rPh sb="8" eb="9">
      <t>ハイ</t>
    </rPh>
    <rPh sb="9" eb="11">
      <t>シリョウ</t>
    </rPh>
    <rPh sb="12" eb="13">
      <t>フク</t>
    </rPh>
    <rPh sb="22" eb="24">
      <t>ブンセキ</t>
    </rPh>
    <rPh sb="30" eb="32">
      <t>ケンタイ</t>
    </rPh>
    <phoneticPr fontId="1"/>
  </si>
  <si>
    <t>h24.12.10:小屋取生試料､その他検出核種Ag-110m:0.64土0.03</t>
    <rPh sb="14" eb="16">
      <t>シリョウ</t>
    </rPh>
    <phoneticPr fontId="1"/>
  </si>
  <si>
    <t>h24.12.10:小屋取灰試料､その他検出核種Ag-110m:0.58士0.04</t>
    <rPh sb="14" eb="16">
      <t>シリョウ</t>
    </rPh>
    <phoneticPr fontId="1"/>
  </si>
  <si>
    <t>h24.12.10:塚浜生試料､その他検出核種Ag-110m:0.71士0.16</t>
    <rPh sb="13" eb="15">
      <t>シリョウ</t>
    </rPh>
    <phoneticPr fontId="1"/>
  </si>
  <si>
    <t>h24.12.10:生試料(県H24)養殖物を入手できず天然物を入手</t>
    <rPh sb="11" eb="13">
      <t>シリョウ</t>
    </rPh>
    <rPh sb="14" eb="15">
      <t>ケン</t>
    </rPh>
    <phoneticPr fontId="1"/>
  </si>
  <si>
    <t>h25.6.19:灰試料(県H24)養殖物を入手できず天然物を入手</t>
    <rPh sb="10" eb="12">
      <t>シリョウ</t>
    </rPh>
    <phoneticPr fontId="1"/>
  </si>
  <si>
    <t>h26.5.29:震災の影響により小屋取で採取ができず,塚浜で採取を実施(電力H25~)</t>
    <rPh sb="9" eb="11">
      <t>シンサイ</t>
    </rPh>
    <rPh sb="12" eb="14">
      <t>エイキョウ</t>
    </rPh>
    <rPh sb="37" eb="39">
      <t>デンリョク</t>
    </rPh>
    <phoneticPr fontId="1"/>
  </si>
  <si>
    <t>h24.12.10:塚浜灰試料､その他検出核種Ag-110m:0.72±0.03</t>
    <phoneticPr fontId="1"/>
  </si>
  <si>
    <t>h25.7.28:塚浜灰試料､その他検出核種Ag-110m:0.13土0.01</t>
    <phoneticPr fontId="1"/>
  </si>
  <si>
    <t>h25.6.19:小屋取灰試料､その他検出核種Ag-110m:0.079±0.014</t>
    <phoneticPr fontId="1"/>
  </si>
  <si>
    <t>h25.6.19:小屋取灰試料､その他検出核種Ag-110m:0.23土0.02</t>
  </si>
  <si>
    <t>H25から小屋取：震災の影響により小屋取で養殖が行われていないことから､代替として､塚浜で採取した。</t>
    <rPh sb="4" eb="7">
      <t>コヤドリ</t>
    </rPh>
    <phoneticPr fontId="1"/>
  </si>
  <si>
    <t>：チェルノ事故日(事故日Cb)s61.4.26</t>
    <rPh sb="5" eb="7">
      <t>ジコ</t>
    </rPh>
    <rPh sb="7" eb="8">
      <t>ビ</t>
    </rPh>
    <rPh sb="9" eb="11">
      <t>ジコ</t>
    </rPh>
    <rPh sb="11" eb="12">
      <t>ビ</t>
    </rPh>
    <phoneticPr fontId="26"/>
  </si>
  <si>
    <t>：福一事故日(事故日Fk)h23.3.11</t>
    <rPh sb="1" eb="2">
      <t>フク</t>
    </rPh>
    <rPh sb="2" eb="3">
      <t>イチ</t>
    </rPh>
    <rPh sb="3" eb="5">
      <t>ジコ</t>
    </rPh>
    <rPh sb="5" eb="6">
      <t>ビ</t>
    </rPh>
    <phoneticPr fontId="26"/>
  </si>
  <si>
    <t>：調査開始日s56.11.12</t>
    <rPh sb="1" eb="3">
      <t>チョウサ</t>
    </rPh>
    <rPh sb="3" eb="5">
      <t>カイシ</t>
    </rPh>
    <rPh sb="5" eb="6">
      <t>ビ</t>
    </rPh>
    <phoneticPr fontId="26"/>
  </si>
</sst>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76" formatCode="0.0"/>
    <numFmt numFmtId="177" formatCode="yy/mm"/>
    <numFmt numFmtId="178" formatCode="[$-411]ge\.m"/>
    <numFmt numFmtId="179" formatCode="0.0_);[Red]\(0.0\)"/>
    <numFmt numFmtId="180" formatCode="0.000_);[Red]\(0.000\)"/>
    <numFmt numFmtId="181" formatCode="0.00_);[Red]\(0.00\)"/>
    <numFmt numFmtId="182" formatCode="0_);[Red]\(0\)"/>
    <numFmt numFmtId="183" formatCode="&quot;(&quot;0&quot;)&quot;"/>
    <numFmt numFmtId="184" formatCode="[$-411]ge"/>
    <numFmt numFmtId="185" formatCode="0.0;&quot;△ &quot;0.0"/>
    <numFmt numFmtId="186" formatCode="0;&quot;△ &quot;0"/>
    <numFmt numFmtId="187" formatCode="0.000;&quot;△ &quot;0.000"/>
    <numFmt numFmtId="188" formatCode="0.000"/>
    <numFmt numFmtId="189" formatCode="&quot;(&quot;0.000&quot;)&quot;"/>
  </numFmts>
  <fonts count="27" x14ac:knownFonts="1">
    <font>
      <sz val="14"/>
      <name val="ＭＳ 明朝"/>
      <family val="1"/>
      <charset val="128"/>
    </font>
    <font>
      <sz val="7"/>
      <name val="ＭＳ 明朝"/>
      <family val="1"/>
      <charset val="128"/>
    </font>
    <font>
      <u/>
      <sz val="14"/>
      <color indexed="12"/>
      <name val="ＭＳ 明朝"/>
      <family val="1"/>
      <charset val="128"/>
    </font>
    <font>
      <b/>
      <sz val="11"/>
      <name val="Meiryo UI"/>
      <family val="3"/>
      <charset val="128"/>
    </font>
    <font>
      <sz val="9"/>
      <name val="Meiryo UI"/>
      <family val="3"/>
      <charset val="128"/>
    </font>
    <font>
      <sz val="14"/>
      <name val="Meiryo UI"/>
      <family val="3"/>
      <charset val="128"/>
    </font>
    <font>
      <u/>
      <sz val="10"/>
      <color indexed="12"/>
      <name val="Meiryo UI"/>
      <family val="3"/>
      <charset val="128"/>
    </font>
    <font>
      <sz val="9"/>
      <color indexed="8"/>
      <name val="Meiryo UI"/>
      <family val="3"/>
      <charset val="128"/>
    </font>
    <font>
      <sz val="10"/>
      <name val="Meiryo UI"/>
      <family val="3"/>
      <charset val="128"/>
    </font>
    <font>
      <sz val="7"/>
      <name val="Terminal"/>
      <charset val="128"/>
    </font>
    <font>
      <sz val="8"/>
      <name val="Meiryo UI"/>
      <family val="3"/>
      <charset val="128"/>
    </font>
    <font>
      <sz val="16"/>
      <name val="Meiryo UI"/>
      <family val="3"/>
      <charset val="128"/>
    </font>
    <font>
      <sz val="9"/>
      <color indexed="9"/>
      <name val="Meiryo UI"/>
      <family val="3"/>
      <charset val="128"/>
    </font>
    <font>
      <sz val="8.5"/>
      <color indexed="8"/>
      <name val="Meiryo UI"/>
      <family val="3"/>
      <charset val="128"/>
    </font>
    <font>
      <vertAlign val="superscript"/>
      <sz val="8.5"/>
      <color indexed="8"/>
      <name val="Meiryo UI"/>
      <family val="3"/>
      <charset val="128"/>
    </font>
    <font>
      <u val="singleAccounting"/>
      <sz val="9"/>
      <name val="Meiryo UI"/>
      <family val="3"/>
      <charset val="128"/>
    </font>
    <font>
      <u val="singleAccounting"/>
      <sz val="10"/>
      <color indexed="12"/>
      <name val="Meiryo UI"/>
      <family val="3"/>
      <charset val="128"/>
    </font>
    <font>
      <u val="singleAccounting"/>
      <sz val="9"/>
      <color indexed="12"/>
      <name val="Meiryo UI"/>
      <family val="3"/>
      <charset val="128"/>
    </font>
    <font>
      <b/>
      <sz val="9"/>
      <color rgb="FF0070C0"/>
      <name val="Meiryo UI"/>
      <family val="3"/>
      <charset val="128"/>
    </font>
    <font>
      <b/>
      <sz val="9"/>
      <name val="Meiryo UI"/>
      <family val="3"/>
      <charset val="128"/>
    </font>
    <font>
      <sz val="8.5"/>
      <name val="Meiryo UI"/>
      <family val="3"/>
      <charset val="128"/>
    </font>
    <font>
      <u/>
      <sz val="9"/>
      <color indexed="12"/>
      <name val="Meiryo UI"/>
      <family val="3"/>
      <charset val="128"/>
    </font>
    <font>
      <u/>
      <sz val="9"/>
      <name val="Meiryo UI"/>
      <family val="3"/>
      <charset val="128"/>
    </font>
    <font>
      <sz val="7"/>
      <name val="ＭＳ Ｐゴシック"/>
      <family val="3"/>
      <charset val="128"/>
    </font>
    <font>
      <u/>
      <sz val="9"/>
      <name val="ＭＳ 明朝"/>
      <family val="1"/>
      <charset val="128"/>
    </font>
    <font>
      <sz val="14"/>
      <color rgb="FF0070C0"/>
      <name val="ＭＳ 明朝"/>
      <family val="1"/>
      <charset val="128"/>
    </font>
    <font>
      <sz val="7"/>
      <name val="ＭＳ Ｐ明朝"/>
      <family val="1"/>
      <charset val="128"/>
    </font>
  </fonts>
  <fills count="13">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31"/>
        <bgColor indexed="64"/>
      </patternFill>
    </fill>
    <fill>
      <patternFill patternType="solid">
        <fgColor indexed="34"/>
        <bgColor indexed="64"/>
      </patternFill>
    </fill>
    <fill>
      <patternFill patternType="solid">
        <fgColor indexed="2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rgb="FFCCFFFF"/>
        <bgColor indexed="64"/>
      </patternFill>
    </fill>
    <fill>
      <patternFill patternType="solid">
        <fgColor rgb="FFFFFFCC"/>
        <bgColor indexed="64"/>
      </patternFill>
    </fill>
  </fills>
  <borders count="51">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right/>
      <top/>
      <bottom style="slantDashDot">
        <color auto="1"/>
      </bottom>
      <diagonal/>
    </border>
    <border>
      <left style="hair">
        <color indexed="64"/>
      </left>
      <right style="hair">
        <color indexed="64"/>
      </right>
      <top/>
      <bottom style="hair">
        <color indexed="64"/>
      </bottom>
      <diagonal/>
    </border>
    <border>
      <left style="thin">
        <color indexed="64"/>
      </left>
      <right/>
      <top/>
      <bottom style="slantDashDot">
        <color auto="1"/>
      </bottom>
      <diagonal/>
    </border>
    <border>
      <left style="thin">
        <color indexed="64"/>
      </left>
      <right style="hair">
        <color indexed="64"/>
      </right>
      <top/>
      <bottom style="slantDashDot">
        <color auto="1"/>
      </bottom>
      <diagonal/>
    </border>
    <border>
      <left style="hair">
        <color indexed="64"/>
      </left>
      <right style="hair">
        <color indexed="64"/>
      </right>
      <top/>
      <bottom style="slantDashDot">
        <color auto="1"/>
      </bottom>
      <diagonal/>
    </border>
    <border>
      <left/>
      <right style="thin">
        <color indexed="64"/>
      </right>
      <top/>
      <bottom style="slantDashDot">
        <color auto="1"/>
      </bottom>
      <diagonal/>
    </border>
    <border>
      <left style="hair">
        <color indexed="64"/>
      </left>
      <right style="hair">
        <color indexed="64"/>
      </right>
      <top style="hair">
        <color indexed="64"/>
      </top>
      <bottom style="slantDashDot">
        <color auto="1"/>
      </bottom>
      <diagonal/>
    </border>
    <border diagonalUp="1">
      <left style="hair">
        <color indexed="64"/>
      </left>
      <right style="hair">
        <color indexed="64"/>
      </right>
      <top style="hair">
        <color indexed="64"/>
      </top>
      <bottom style="hair">
        <color indexed="64"/>
      </bottom>
      <diagonal style="thin">
        <color indexed="64"/>
      </diagonal>
    </border>
    <border>
      <left style="thin">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diagonalUp="1">
      <left/>
      <right style="hair">
        <color indexed="64"/>
      </right>
      <top style="hair">
        <color indexed="64"/>
      </top>
      <bottom style="hair">
        <color indexed="64"/>
      </bottom>
      <diagonal style="thin">
        <color indexed="64"/>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diagonalUp="1">
      <left style="hair">
        <color indexed="64"/>
      </left>
      <right style="thin">
        <color indexed="64"/>
      </right>
      <top/>
      <bottom style="hair">
        <color indexed="64"/>
      </bottom>
      <diagonal style="hair">
        <color indexed="64"/>
      </diagonal>
    </border>
    <border diagonalUp="1">
      <left style="hair">
        <color indexed="64"/>
      </left>
      <right style="thin">
        <color indexed="64"/>
      </right>
      <top style="hair">
        <color indexed="64"/>
      </top>
      <bottom style="hair">
        <color indexed="64"/>
      </bottom>
      <diagonal style="hair">
        <color indexed="64"/>
      </diagonal>
    </border>
    <border diagonalUp="1">
      <left style="thin">
        <color indexed="64"/>
      </left>
      <right style="hair">
        <color indexed="64"/>
      </right>
      <top style="hair">
        <color indexed="64"/>
      </top>
      <bottom style="hair">
        <color indexed="64"/>
      </bottom>
      <diagonal style="thin">
        <color indexed="64"/>
      </diagonal>
    </border>
  </borders>
  <cellStyleXfs count="2">
    <xf numFmtId="0" fontId="0" fillId="0" borderId="0"/>
    <xf numFmtId="0" fontId="2" fillId="0" borderId="0" applyNumberFormat="0" applyFill="0" applyBorder="0" applyAlignment="0" applyProtection="0">
      <alignment vertical="top"/>
      <protection locked="0"/>
    </xf>
  </cellStyleXfs>
  <cellXfs count="343">
    <xf numFmtId="0" fontId="0" fillId="0" borderId="0" xfId="0"/>
    <xf numFmtId="0" fontId="3" fillId="0" borderId="0" xfId="0" applyFont="1" applyAlignment="1" applyProtection="1">
      <alignment horizontal="left" vertical="center"/>
    </xf>
    <xf numFmtId="0" fontId="4" fillId="0" borderId="0" xfId="0" applyFont="1" applyBorder="1" applyAlignment="1" applyProtection="1">
      <alignment horizontal="left" vertical="center"/>
    </xf>
    <xf numFmtId="179" fontId="4" fillId="0" borderId="0" xfId="0" applyNumberFormat="1" applyFont="1" applyAlignment="1">
      <alignment vertical="center"/>
    </xf>
    <xf numFmtId="0" fontId="4" fillId="0" borderId="0" xfId="0" applyFont="1" applyAlignment="1">
      <alignment vertical="center"/>
    </xf>
    <xf numFmtId="0" fontId="5" fillId="0" borderId="0" xfId="0" applyFont="1"/>
    <xf numFmtId="0" fontId="6" fillId="0" borderId="0" xfId="1" applyFont="1" applyAlignment="1" applyProtection="1">
      <alignment horizontal="left" vertical="center"/>
    </xf>
    <xf numFmtId="0" fontId="4" fillId="2" borderId="1" xfId="0" applyFont="1" applyFill="1" applyBorder="1" applyAlignment="1" applyProtection="1">
      <alignment horizontal="left" vertical="center"/>
    </xf>
    <xf numFmtId="0" fontId="4" fillId="2" borderId="2" xfId="0" applyFont="1" applyFill="1" applyBorder="1" applyAlignment="1" applyProtection="1">
      <alignment horizontal="left" vertical="center"/>
    </xf>
    <xf numFmtId="179" fontId="4" fillId="2" borderId="3" xfId="0" applyNumberFormat="1" applyFont="1" applyFill="1" applyBorder="1" applyAlignment="1" applyProtection="1">
      <alignment horizontal="left" vertical="center"/>
    </xf>
    <xf numFmtId="0" fontId="4" fillId="2" borderId="3" xfId="0" applyFont="1" applyFill="1" applyBorder="1" applyAlignment="1">
      <alignment horizontal="left" vertical="center"/>
    </xf>
    <xf numFmtId="0" fontId="4" fillId="2" borderId="4" xfId="0" applyFont="1" applyFill="1" applyBorder="1" applyAlignment="1">
      <alignment horizontal="left" vertical="center"/>
    </xf>
    <xf numFmtId="179" fontId="4" fillId="2" borderId="3" xfId="0" quotePrefix="1" applyNumberFormat="1" applyFont="1" applyFill="1" applyBorder="1" applyAlignment="1" applyProtection="1">
      <alignment horizontal="left" vertical="center"/>
    </xf>
    <xf numFmtId="0" fontId="4" fillId="0" borderId="0" xfId="0" applyFont="1" applyBorder="1" applyAlignment="1">
      <alignment vertical="center"/>
    </xf>
    <xf numFmtId="0" fontId="4" fillId="0" borderId="5" xfId="0" quotePrefix="1" applyFont="1" applyBorder="1" applyAlignment="1" applyProtection="1">
      <alignment horizontal="left" vertical="center"/>
    </xf>
    <xf numFmtId="0" fontId="4" fillId="0" borderId="3" xfId="0" applyFont="1" applyBorder="1" applyAlignment="1">
      <alignment horizontal="left" vertical="center"/>
    </xf>
    <xf numFmtId="0" fontId="4" fillId="0" borderId="3" xfId="0" applyFont="1" applyBorder="1" applyAlignment="1" applyProtection="1">
      <alignment horizontal="lef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4" xfId="0" applyFont="1" applyBorder="1" applyAlignment="1">
      <alignment horizontal="left" vertical="center"/>
    </xf>
    <xf numFmtId="0" fontId="4" fillId="0" borderId="3" xfId="0" quotePrefix="1" applyFont="1" applyBorder="1" applyAlignment="1" applyProtection="1">
      <alignment horizontal="left" vertical="center"/>
    </xf>
    <xf numFmtId="0" fontId="4" fillId="2" borderId="6" xfId="0" quotePrefix="1" applyFont="1" applyFill="1" applyBorder="1" applyAlignment="1" applyProtection="1">
      <alignment horizontal="left" vertical="center"/>
    </xf>
    <xf numFmtId="0" fontId="4" fillId="2" borderId="7" xfId="0" quotePrefix="1" applyFont="1" applyFill="1" applyBorder="1" applyAlignment="1" applyProtection="1">
      <alignment horizontal="left" vertical="center"/>
    </xf>
    <xf numFmtId="0" fontId="4" fillId="0" borderId="0" xfId="0" applyFont="1" applyBorder="1" applyAlignment="1">
      <alignment horizontal="left" vertical="center"/>
    </xf>
    <xf numFmtId="0" fontId="4" fillId="0" borderId="6" xfId="0" applyFont="1" applyBorder="1" applyAlignment="1" applyProtection="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8" xfId="0" applyFont="1" applyBorder="1" applyAlignment="1" applyProtection="1">
      <alignment horizontal="left" vertical="center"/>
    </xf>
    <xf numFmtId="0" fontId="4" fillId="0" borderId="0" xfId="0" applyFont="1" applyAlignment="1">
      <alignment horizontal="left" vertical="center"/>
    </xf>
    <xf numFmtId="0" fontId="4" fillId="2" borderId="6" xfId="0" applyFont="1" applyFill="1" applyBorder="1" applyAlignment="1" applyProtection="1">
      <alignment horizontal="left" vertical="center"/>
    </xf>
    <xf numFmtId="0" fontId="4" fillId="2" borderId="9" xfId="0" applyFont="1" applyFill="1" applyBorder="1" applyAlignment="1" applyProtection="1">
      <alignment horizontal="left" vertical="center"/>
    </xf>
    <xf numFmtId="0" fontId="4" fillId="2" borderId="9" xfId="0" quotePrefix="1" applyFont="1" applyFill="1" applyBorder="1" applyAlignment="1" applyProtection="1">
      <alignment horizontal="left" vertical="center"/>
    </xf>
    <xf numFmtId="0" fontId="4" fillId="0" borderId="9" xfId="0" applyFont="1" applyBorder="1" applyAlignment="1" applyProtection="1">
      <alignment horizontal="left" vertical="center"/>
    </xf>
    <xf numFmtId="57" fontId="4" fillId="2" borderId="6" xfId="0" applyNumberFormat="1" applyFont="1" applyFill="1" applyBorder="1" applyAlignment="1" applyProtection="1">
      <alignment horizontal="left" vertical="center" shrinkToFit="1"/>
    </xf>
    <xf numFmtId="176" fontId="4" fillId="0" borderId="6" xfId="0" applyNumberFormat="1" applyFont="1" applyBorder="1" applyAlignment="1" applyProtection="1">
      <alignment vertical="center" shrinkToFit="1"/>
    </xf>
    <xf numFmtId="0" fontId="4" fillId="0" borderId="9" xfId="0" applyNumberFormat="1" applyFont="1" applyBorder="1" applyAlignment="1" applyProtection="1">
      <alignment horizontal="center" vertical="center" shrinkToFit="1"/>
    </xf>
    <xf numFmtId="0" fontId="4" fillId="2" borderId="3" xfId="0" applyFont="1" applyFill="1" applyBorder="1" applyAlignment="1">
      <alignment vertical="center"/>
    </xf>
    <xf numFmtId="179" fontId="4" fillId="2" borderId="3" xfId="0" quotePrefix="1" applyNumberFormat="1" applyFont="1" applyFill="1" applyBorder="1" applyAlignment="1" applyProtection="1">
      <alignment horizontal="center" vertical="center"/>
    </xf>
    <xf numFmtId="0" fontId="4" fillId="2" borderId="4" xfId="0" applyFont="1" applyFill="1" applyBorder="1" applyAlignment="1">
      <alignment vertical="center"/>
    </xf>
    <xf numFmtId="0" fontId="4" fillId="0" borderId="6" xfId="0" quotePrefix="1" applyFont="1" applyBorder="1" applyAlignment="1" applyProtection="1">
      <alignment horizontal="left" vertical="center"/>
    </xf>
    <xf numFmtId="2" fontId="4" fillId="0" borderId="0" xfId="0" applyNumberFormat="1" applyFont="1" applyAlignment="1" applyProtection="1">
      <alignment vertical="center"/>
    </xf>
    <xf numFmtId="179" fontId="4" fillId="0" borderId="0" xfId="0" applyNumberFormat="1" applyFont="1" applyAlignment="1" applyProtection="1">
      <alignment vertical="center"/>
    </xf>
    <xf numFmtId="0" fontId="7" fillId="0" borderId="0" xfId="0" quotePrefix="1" applyFont="1" applyAlignment="1" applyProtection="1">
      <alignment horizontal="left"/>
      <protection locked="0"/>
    </xf>
    <xf numFmtId="181" fontId="4" fillId="0" borderId="0" xfId="0" applyNumberFormat="1" applyFont="1" applyAlignment="1" applyProtection="1">
      <alignment vertical="center"/>
    </xf>
    <xf numFmtId="180" fontId="4" fillId="0" borderId="0" xfId="0" applyNumberFormat="1" applyFont="1" applyAlignment="1" applyProtection="1">
      <alignment vertical="center"/>
    </xf>
    <xf numFmtId="0" fontId="4" fillId="0" borderId="0" xfId="0" applyFont="1" applyFill="1" applyAlignment="1">
      <alignment vertical="center"/>
    </xf>
    <xf numFmtId="0" fontId="4" fillId="0" borderId="0" xfId="0" quotePrefix="1" applyFont="1" applyBorder="1" applyAlignment="1" applyProtection="1">
      <alignment horizontal="left" vertical="center"/>
    </xf>
    <xf numFmtId="176" fontId="4" fillId="0" borderId="0" xfId="0" applyNumberFormat="1" applyFont="1" applyAlignment="1" applyProtection="1">
      <alignment vertical="center"/>
    </xf>
    <xf numFmtId="177" fontId="4" fillId="0" borderId="0" xfId="0" applyNumberFormat="1" applyFont="1" applyAlignment="1" applyProtection="1">
      <alignment vertical="center"/>
    </xf>
    <xf numFmtId="57" fontId="4" fillId="0" borderId="0" xfId="0" applyNumberFormat="1" applyFont="1" applyAlignment="1">
      <alignment horizontal="left" vertical="center"/>
    </xf>
    <xf numFmtId="0" fontId="4" fillId="2" borderId="6" xfId="0" applyFont="1" applyFill="1" applyBorder="1" applyAlignment="1" applyProtection="1">
      <alignment horizontal="left" vertical="center" shrinkToFit="1"/>
    </xf>
    <xf numFmtId="0" fontId="4" fillId="2" borderId="9" xfId="0" applyFont="1" applyFill="1" applyBorder="1" applyAlignment="1" applyProtection="1">
      <alignment horizontal="left" vertical="center" shrinkToFit="1"/>
    </xf>
    <xf numFmtId="0" fontId="4" fillId="2" borderId="9" xfId="0" quotePrefix="1" applyFont="1" applyFill="1" applyBorder="1" applyAlignment="1" applyProtection="1">
      <alignment horizontal="left" vertical="center" shrinkToFit="1"/>
    </xf>
    <xf numFmtId="0" fontId="4" fillId="2" borderId="6" xfId="0" quotePrefix="1" applyFont="1" applyFill="1" applyBorder="1" applyAlignment="1" applyProtection="1">
      <alignment horizontal="left" vertical="center" shrinkToFit="1"/>
    </xf>
    <xf numFmtId="182" fontId="4" fillId="0" borderId="9" xfId="0" applyNumberFormat="1" applyFont="1" applyBorder="1" applyAlignment="1" applyProtection="1">
      <alignment horizontal="center" vertical="center" shrinkToFit="1"/>
    </xf>
    <xf numFmtId="0" fontId="4" fillId="0" borderId="9" xfId="0" applyFont="1" applyBorder="1" applyAlignment="1" applyProtection="1">
      <alignment vertical="center" shrinkToFit="1"/>
    </xf>
    <xf numFmtId="0" fontId="4" fillId="0" borderId="9" xfId="0" applyFont="1" applyBorder="1" applyAlignment="1" applyProtection="1">
      <alignment horizontal="center" vertical="center" shrinkToFit="1"/>
    </xf>
    <xf numFmtId="182" fontId="4" fillId="0" borderId="6" xfId="0" applyNumberFormat="1" applyFont="1" applyBorder="1" applyAlignment="1" applyProtection="1">
      <alignment vertical="center" shrinkToFit="1"/>
    </xf>
    <xf numFmtId="0" fontId="8" fillId="0" borderId="0" xfId="0" applyFont="1" applyBorder="1" applyAlignment="1">
      <alignment horizontal="left" vertical="center"/>
    </xf>
    <xf numFmtId="0" fontId="8" fillId="0" borderId="0" xfId="0" applyFont="1" applyAlignment="1">
      <alignment vertical="center"/>
    </xf>
    <xf numFmtId="57" fontId="4" fillId="2" borderId="6" xfId="0" applyNumberFormat="1" applyFont="1" applyFill="1" applyBorder="1" applyAlignment="1">
      <alignment vertical="center" shrinkToFit="1"/>
    </xf>
    <xf numFmtId="0" fontId="11" fillId="0" borderId="0" xfId="0" applyFont="1" applyAlignment="1" applyProtection="1">
      <alignment horizontal="left" vertical="center"/>
    </xf>
    <xf numFmtId="179" fontId="4" fillId="0" borderId="10" xfId="0" applyNumberFormat="1" applyFont="1" applyBorder="1" applyAlignment="1">
      <alignment horizontal="right" vertical="center" shrinkToFit="1"/>
    </xf>
    <xf numFmtId="182" fontId="4" fillId="0" borderId="8" xfId="0" applyNumberFormat="1" applyFont="1" applyBorder="1" applyAlignment="1" applyProtection="1">
      <alignment horizontal="center" vertical="center" shrinkToFit="1"/>
    </xf>
    <xf numFmtId="0" fontId="5" fillId="0" borderId="0" xfId="0" applyFont="1" applyAlignment="1" applyProtection="1">
      <alignment horizontal="left" vertical="center"/>
    </xf>
    <xf numFmtId="0" fontId="10" fillId="0" borderId="0" xfId="0" applyFont="1" applyAlignment="1">
      <alignment vertical="center"/>
    </xf>
    <xf numFmtId="178" fontId="4" fillId="0" borderId="0" xfId="0" applyNumberFormat="1" applyFont="1" applyAlignment="1">
      <alignment vertical="center" shrinkToFit="1"/>
    </xf>
    <xf numFmtId="0" fontId="4" fillId="0" borderId="6" xfId="0" applyNumberFormat="1" applyFont="1" applyBorder="1" applyAlignment="1" applyProtection="1">
      <alignment vertical="center" shrinkToFit="1"/>
    </xf>
    <xf numFmtId="0" fontId="4" fillId="0" borderId="7" xfId="0" applyNumberFormat="1" applyFont="1" applyBorder="1" applyAlignment="1" applyProtection="1">
      <alignment vertical="center" shrinkToFit="1"/>
    </xf>
    <xf numFmtId="0" fontId="13" fillId="0" borderId="0" xfId="0" quotePrefix="1" applyFont="1" applyAlignment="1" applyProtection="1">
      <alignment horizontal="left" vertical="center"/>
      <protection locked="0"/>
    </xf>
    <xf numFmtId="2" fontId="12" fillId="0" borderId="7" xfId="0" applyNumberFormat="1" applyFont="1" applyBorder="1" applyAlignment="1" applyProtection="1">
      <alignment vertical="center" shrinkToFit="1"/>
    </xf>
    <xf numFmtId="184" fontId="4" fillId="0" borderId="0" xfId="0" applyNumberFormat="1" applyFont="1" applyFill="1" applyBorder="1" applyAlignment="1">
      <alignment horizontal="right" vertical="center"/>
    </xf>
    <xf numFmtId="0" fontId="4" fillId="0" borderId="0" xfId="0" applyNumberFormat="1" applyFont="1" applyFill="1" applyBorder="1" applyAlignment="1" applyProtection="1">
      <alignment horizontal="right" vertical="center" shrinkToFit="1"/>
    </xf>
    <xf numFmtId="2" fontId="4" fillId="0" borderId="10" xfId="0" applyNumberFormat="1" applyFont="1" applyBorder="1" applyAlignment="1">
      <alignment horizontal="right" vertical="center" shrinkToFit="1"/>
    </xf>
    <xf numFmtId="1" fontId="4" fillId="0" borderId="10" xfId="0" applyNumberFormat="1" applyFont="1" applyBorder="1" applyAlignment="1">
      <alignment horizontal="right" vertical="center" shrinkToFit="1"/>
    </xf>
    <xf numFmtId="0" fontId="4" fillId="2" borderId="5" xfId="0" applyFont="1" applyFill="1" applyBorder="1" applyAlignment="1" applyProtection="1">
      <alignment horizontal="left" vertical="center"/>
    </xf>
    <xf numFmtId="179" fontId="4" fillId="2" borderId="5" xfId="0" applyNumberFormat="1" applyFont="1" applyFill="1" applyBorder="1" applyAlignment="1" applyProtection="1">
      <alignment horizontal="left" vertical="center"/>
    </xf>
    <xf numFmtId="0" fontId="4" fillId="2" borderId="11" xfId="0" applyFont="1" applyFill="1" applyBorder="1" applyAlignment="1" applyProtection="1">
      <alignment horizontal="left" vertical="center" shrinkToFit="1"/>
    </xf>
    <xf numFmtId="0" fontId="4" fillId="2" borderId="11" xfId="0" applyFont="1" applyFill="1" applyBorder="1" applyAlignment="1" applyProtection="1">
      <alignment horizontal="left" vertical="center"/>
    </xf>
    <xf numFmtId="0" fontId="15" fillId="0" borderId="0" xfId="0" applyFont="1" applyAlignment="1">
      <alignment vertical="center"/>
    </xf>
    <xf numFmtId="0" fontId="16" fillId="0" borderId="0" xfId="1" applyFont="1" applyAlignment="1" applyProtection="1">
      <alignment horizontal="left" vertical="center"/>
    </xf>
    <xf numFmtId="0" fontId="17" fillId="0" borderId="0" xfId="1" applyFont="1" applyAlignment="1" applyProtection="1">
      <alignment horizontal="left" vertical="center"/>
    </xf>
    <xf numFmtId="0" fontId="15" fillId="0" borderId="0" xfId="0" applyFont="1" applyBorder="1" applyAlignment="1">
      <alignment horizontal="left" vertical="center"/>
    </xf>
    <xf numFmtId="180" fontId="4" fillId="0" borderId="0" xfId="0" applyNumberFormat="1" applyFont="1" applyAlignment="1">
      <alignment vertical="center"/>
    </xf>
    <xf numFmtId="0" fontId="4" fillId="0" borderId="0" xfId="0" applyNumberFormat="1" applyFont="1" applyAlignment="1">
      <alignment vertical="center"/>
    </xf>
    <xf numFmtId="0" fontId="4" fillId="3" borderId="9" xfId="0" applyNumberFormat="1" applyFont="1" applyFill="1" applyBorder="1" applyAlignment="1" applyProtection="1">
      <alignment horizontal="right" vertical="center" shrinkToFit="1"/>
    </xf>
    <xf numFmtId="1" fontId="4" fillId="0" borderId="8" xfId="0" applyNumberFormat="1" applyFont="1" applyBorder="1" applyAlignment="1" applyProtection="1">
      <alignment vertical="center" shrinkToFit="1"/>
    </xf>
    <xf numFmtId="182" fontId="4" fillId="0" borderId="9" xfId="0" applyNumberFormat="1" applyFont="1" applyBorder="1" applyAlignment="1" applyProtection="1">
      <alignment vertical="center" shrinkToFit="1"/>
    </xf>
    <xf numFmtId="1" fontId="4" fillId="0" borderId="9" xfId="0" applyNumberFormat="1" applyFont="1" applyBorder="1" applyAlignment="1" applyProtection="1">
      <alignment vertical="center" shrinkToFit="1"/>
    </xf>
    <xf numFmtId="0" fontId="4" fillId="2" borderId="12" xfId="0" applyFont="1" applyFill="1" applyBorder="1" applyAlignment="1" applyProtection="1">
      <alignment horizontal="left" vertical="center" shrinkToFit="1"/>
    </xf>
    <xf numFmtId="179" fontId="4" fillId="2" borderId="13" xfId="0" applyNumberFormat="1" applyFont="1" applyFill="1" applyBorder="1" applyAlignment="1" applyProtection="1">
      <alignment horizontal="left" vertical="center" shrinkToFit="1"/>
    </xf>
    <xf numFmtId="0" fontId="4" fillId="2" borderId="13" xfId="0" applyFont="1" applyFill="1" applyBorder="1" applyAlignment="1" applyProtection="1">
      <alignment horizontal="left" vertical="center" shrinkToFit="1"/>
    </xf>
    <xf numFmtId="180" fontId="4" fillId="2" borderId="13" xfId="0" quotePrefix="1" applyNumberFormat="1" applyFont="1" applyFill="1" applyBorder="1" applyAlignment="1" applyProtection="1">
      <alignment horizontal="left" vertical="center" shrinkToFit="1"/>
    </xf>
    <xf numFmtId="176" fontId="4" fillId="0" borderId="14" xfId="0" applyNumberFormat="1" applyFont="1" applyBorder="1" applyAlignment="1" applyProtection="1">
      <alignment vertical="center" shrinkToFit="1"/>
    </xf>
    <xf numFmtId="182" fontId="4" fillId="0" borderId="15" xfId="0" applyNumberFormat="1" applyFont="1" applyBorder="1" applyAlignment="1" applyProtection="1">
      <alignment vertical="center" shrinkToFit="1"/>
    </xf>
    <xf numFmtId="1" fontId="4" fillId="0" borderId="15" xfId="0" applyNumberFormat="1" applyFont="1" applyBorder="1" applyAlignment="1" applyProtection="1">
      <alignment vertical="center" shrinkToFit="1"/>
    </xf>
    <xf numFmtId="2" fontId="4" fillId="0" borderId="15" xfId="0" applyNumberFormat="1" applyFont="1" applyBorder="1" applyAlignment="1" applyProtection="1">
      <alignment vertical="center" shrinkToFit="1"/>
    </xf>
    <xf numFmtId="188" fontId="4" fillId="0" borderId="15" xfId="0" applyNumberFormat="1" applyFont="1" applyBorder="1" applyAlignment="1" applyProtection="1">
      <alignment vertical="center" shrinkToFit="1"/>
    </xf>
    <xf numFmtId="0" fontId="4" fillId="0" borderId="15" xfId="0" applyNumberFormat="1" applyFont="1" applyBorder="1" applyAlignment="1" applyProtection="1">
      <alignment horizontal="center" vertical="center" shrinkToFit="1"/>
    </xf>
    <xf numFmtId="188" fontId="4" fillId="0" borderId="15" xfId="0" applyNumberFormat="1" applyFont="1" applyFill="1" applyBorder="1" applyAlignment="1" applyProtection="1">
      <alignment vertical="center" shrinkToFit="1"/>
    </xf>
    <xf numFmtId="188" fontId="4" fillId="0" borderId="15" xfId="0" applyNumberFormat="1" applyFont="1" applyBorder="1" applyAlignment="1" applyProtection="1">
      <alignment horizontal="right" vertical="center" shrinkToFit="1"/>
    </xf>
    <xf numFmtId="1" fontId="4" fillId="0" borderId="15" xfId="0" applyNumberFormat="1" applyFont="1" applyBorder="1" applyAlignment="1" applyProtection="1">
      <alignment horizontal="center" vertical="center" shrinkToFit="1"/>
    </xf>
    <xf numFmtId="0" fontId="4" fillId="3" borderId="16" xfId="0" applyNumberFormat="1" applyFont="1" applyFill="1" applyBorder="1" applyAlignment="1" applyProtection="1">
      <alignment horizontal="right" vertical="center" shrinkToFit="1"/>
    </xf>
    <xf numFmtId="0" fontId="4" fillId="3" borderId="15" xfId="0" applyNumberFormat="1" applyFont="1" applyFill="1" applyBorder="1" applyAlignment="1" applyProtection="1">
      <alignment horizontal="right" vertical="center" shrinkToFit="1"/>
    </xf>
    <xf numFmtId="1" fontId="4" fillId="0" borderId="14" xfId="0" applyNumberFormat="1" applyFont="1" applyBorder="1" applyAlignment="1" applyProtection="1">
      <alignment vertical="center" shrinkToFit="1"/>
    </xf>
    <xf numFmtId="179" fontId="4" fillId="0" borderId="15" xfId="0" applyNumberFormat="1" applyFont="1" applyBorder="1" applyAlignment="1" applyProtection="1">
      <alignment vertical="center" shrinkToFit="1"/>
    </xf>
    <xf numFmtId="183" fontId="4" fillId="0" borderId="15" xfId="0" applyNumberFormat="1" applyFont="1" applyBorder="1" applyAlignment="1" applyProtection="1">
      <alignment vertical="center" shrinkToFit="1"/>
    </xf>
    <xf numFmtId="0" fontId="4" fillId="3" borderId="17" xfId="0" applyNumberFormat="1" applyFont="1" applyFill="1" applyBorder="1" applyAlignment="1" applyProtection="1">
      <alignment horizontal="right" vertical="center" shrinkToFit="1"/>
    </xf>
    <xf numFmtId="1" fontId="4" fillId="0" borderId="19" xfId="0" applyNumberFormat="1" applyFont="1" applyBorder="1" applyAlignment="1">
      <alignment horizontal="right" vertical="center" shrinkToFit="1"/>
    </xf>
    <xf numFmtId="2" fontId="4" fillId="0" borderId="19" xfId="0" applyNumberFormat="1" applyFont="1" applyBorder="1" applyAlignment="1">
      <alignment horizontal="right" vertical="center" shrinkToFit="1"/>
    </xf>
    <xf numFmtId="0" fontId="4" fillId="0" borderId="18" xfId="0" applyFont="1" applyBorder="1" applyAlignment="1">
      <alignment vertical="center"/>
    </xf>
    <xf numFmtId="57" fontId="4" fillId="2" borderId="20" xfId="0" applyNumberFormat="1" applyFont="1" applyFill="1" applyBorder="1" applyAlignment="1" applyProtection="1">
      <alignment vertical="center" shrinkToFit="1"/>
    </xf>
    <xf numFmtId="176" fontId="4" fillId="0" borderId="21" xfId="0" applyNumberFormat="1" applyFont="1" applyBorder="1" applyAlignment="1" applyProtection="1">
      <alignment vertical="center" shrinkToFit="1"/>
    </xf>
    <xf numFmtId="182" fontId="4" fillId="0" borderId="22" xfId="0" applyNumberFormat="1" applyFont="1" applyBorder="1" applyAlignment="1" applyProtection="1">
      <alignment vertical="center" shrinkToFit="1"/>
    </xf>
    <xf numFmtId="188" fontId="4" fillId="0" borderId="22" xfId="0" applyNumberFormat="1" applyFont="1" applyBorder="1" applyAlignment="1" applyProtection="1">
      <alignment vertical="center" shrinkToFit="1"/>
    </xf>
    <xf numFmtId="2" fontId="4" fillId="0" borderId="22" xfId="0" applyNumberFormat="1" applyFont="1" applyBorder="1" applyAlignment="1" applyProtection="1">
      <alignment vertical="center" shrinkToFit="1"/>
    </xf>
    <xf numFmtId="2" fontId="4" fillId="0" borderId="23" xfId="0" applyNumberFormat="1" applyFont="1" applyBorder="1" applyAlignment="1" applyProtection="1">
      <alignment vertical="center" shrinkToFit="1"/>
    </xf>
    <xf numFmtId="1" fontId="4" fillId="0" borderId="21" xfId="0" applyNumberFormat="1" applyFont="1" applyBorder="1" applyAlignment="1" applyProtection="1">
      <alignment vertical="center" shrinkToFit="1"/>
    </xf>
    <xf numFmtId="179" fontId="4" fillId="0" borderId="22" xfId="0" applyNumberFormat="1" applyFont="1" applyBorder="1" applyAlignment="1" applyProtection="1">
      <alignment vertical="center" shrinkToFit="1"/>
    </xf>
    <xf numFmtId="188" fontId="4" fillId="0" borderId="23" xfId="0" applyNumberFormat="1" applyFont="1" applyBorder="1" applyAlignment="1" applyProtection="1">
      <alignment vertical="center" shrinkToFit="1"/>
    </xf>
    <xf numFmtId="1" fontId="4" fillId="0" borderId="22" xfId="0" applyNumberFormat="1" applyFont="1" applyBorder="1" applyAlignment="1" applyProtection="1">
      <alignment vertical="center" shrinkToFit="1"/>
    </xf>
    <xf numFmtId="1" fontId="4" fillId="0" borderId="24" xfId="0" applyNumberFormat="1" applyFont="1" applyBorder="1" applyAlignment="1">
      <alignment horizontal="right" vertical="center" shrinkToFit="1"/>
    </xf>
    <xf numFmtId="57" fontId="4" fillId="2" borderId="20" xfId="0" applyNumberFormat="1" applyFont="1" applyFill="1" applyBorder="1" applyAlignment="1">
      <alignment vertical="center" shrinkToFit="1"/>
    </xf>
    <xf numFmtId="182" fontId="4" fillId="0" borderId="23" xfId="0" applyNumberFormat="1" applyFont="1" applyBorder="1" applyAlignment="1" applyProtection="1">
      <alignment vertical="center" shrinkToFit="1"/>
    </xf>
    <xf numFmtId="1" fontId="4" fillId="0" borderId="18" xfId="0" applyNumberFormat="1" applyFont="1" applyBorder="1" applyAlignment="1" applyProtection="1">
      <alignment vertical="center" shrinkToFit="1"/>
    </xf>
    <xf numFmtId="1" fontId="4" fillId="0" borderId="23" xfId="0" applyNumberFormat="1" applyFont="1" applyBorder="1" applyAlignment="1" applyProtection="1">
      <alignment vertical="center" shrinkToFit="1"/>
    </xf>
    <xf numFmtId="2" fontId="4" fillId="0" borderId="24" xfId="0" applyNumberFormat="1" applyFont="1" applyBorder="1" applyAlignment="1">
      <alignment horizontal="right" vertical="center" shrinkToFit="1"/>
    </xf>
    <xf numFmtId="57" fontId="4" fillId="2" borderId="5" xfId="0" applyNumberFormat="1" applyFont="1" applyFill="1" applyBorder="1" applyAlignment="1">
      <alignment vertical="center" shrinkToFit="1"/>
    </xf>
    <xf numFmtId="0" fontId="0" fillId="0" borderId="3" xfId="0" applyBorder="1" applyAlignment="1">
      <alignment horizontal="center" vertical="center"/>
    </xf>
    <xf numFmtId="0" fontId="0" fillId="0" borderId="4" xfId="0" applyBorder="1" applyAlignment="1">
      <alignment horizontal="center" vertical="center"/>
    </xf>
    <xf numFmtId="0" fontId="18" fillId="0" borderId="0" xfId="0" applyNumberFormat="1" applyFont="1" applyAlignment="1">
      <alignment horizontal="center" vertical="center" shrinkToFit="1"/>
    </xf>
    <xf numFmtId="188" fontId="10" fillId="0" borderId="25" xfId="0" applyNumberFormat="1" applyFont="1" applyFill="1" applyBorder="1" applyAlignment="1" applyProtection="1">
      <alignment horizontal="center" vertical="center" shrinkToFit="1"/>
    </xf>
    <xf numFmtId="189" fontId="4" fillId="7" borderId="10" xfId="0" applyNumberFormat="1" applyFont="1" applyFill="1" applyBorder="1" applyAlignment="1" applyProtection="1">
      <alignment horizontal="right" vertical="center" shrinkToFit="1"/>
    </xf>
    <xf numFmtId="184" fontId="4" fillId="3" borderId="7" xfId="0" applyNumberFormat="1" applyFont="1" applyFill="1" applyBorder="1" applyAlignment="1">
      <alignment horizontal="right" vertical="center"/>
    </xf>
    <xf numFmtId="57" fontId="4" fillId="2" borderId="26" xfId="0" applyNumberFormat="1" applyFont="1" applyFill="1" applyBorder="1" applyAlignment="1" applyProtection="1">
      <alignment vertical="center" shrinkToFit="1"/>
    </xf>
    <xf numFmtId="176" fontId="4" fillId="0" borderId="27" xfId="0" applyNumberFormat="1" applyFont="1" applyBorder="1" applyAlignment="1" applyProtection="1">
      <alignment vertical="center" shrinkToFit="1"/>
    </xf>
    <xf numFmtId="182" fontId="4" fillId="0" borderId="19" xfId="0" applyNumberFormat="1" applyFont="1" applyBorder="1" applyAlignment="1" applyProtection="1">
      <alignment vertical="center" shrinkToFit="1"/>
    </xf>
    <xf numFmtId="188" fontId="4" fillId="0" borderId="28" xfId="0" applyNumberFormat="1" applyFont="1" applyBorder="1" applyAlignment="1" applyProtection="1">
      <alignment vertical="center" shrinkToFit="1"/>
    </xf>
    <xf numFmtId="1" fontId="4" fillId="0" borderId="19" xfId="0" applyNumberFormat="1" applyFont="1" applyBorder="1" applyAlignment="1" applyProtection="1">
      <alignment vertical="center" shrinkToFit="1"/>
    </xf>
    <xf numFmtId="2" fontId="4" fillId="0" borderId="19" xfId="0" applyNumberFormat="1" applyFont="1" applyBorder="1" applyAlignment="1" applyProtection="1">
      <alignment vertical="center" shrinkToFit="1"/>
    </xf>
    <xf numFmtId="1" fontId="4" fillId="0" borderId="29" xfId="0" applyNumberFormat="1" applyFont="1" applyBorder="1" applyAlignment="1" applyProtection="1">
      <alignment vertical="center" shrinkToFit="1"/>
    </xf>
    <xf numFmtId="1" fontId="4" fillId="0" borderId="27" xfId="0" applyNumberFormat="1" applyFont="1" applyBorder="1" applyAlignment="1" applyProtection="1">
      <alignment vertical="center" shrinkToFit="1"/>
    </xf>
    <xf numFmtId="179" fontId="4" fillId="0" borderId="19" xfId="0" applyNumberFormat="1" applyFont="1" applyBorder="1" applyAlignment="1" applyProtection="1">
      <alignment vertical="center" shrinkToFit="1"/>
    </xf>
    <xf numFmtId="188" fontId="4" fillId="0" borderId="30" xfId="0" applyNumberFormat="1" applyFont="1" applyBorder="1" applyAlignment="1" applyProtection="1">
      <alignment vertical="center" shrinkToFit="1"/>
    </xf>
    <xf numFmtId="188" fontId="4" fillId="0" borderId="19" xfId="0" applyNumberFormat="1" applyFont="1" applyBorder="1" applyAlignment="1" applyProtection="1">
      <alignment vertical="center" shrinkToFit="1"/>
    </xf>
    <xf numFmtId="1" fontId="4" fillId="0" borderId="30" xfId="0" applyNumberFormat="1" applyFont="1" applyBorder="1" applyAlignment="1" applyProtection="1">
      <alignment vertical="center" shrinkToFit="1"/>
    </xf>
    <xf numFmtId="57" fontId="4" fillId="2" borderId="31" xfId="0" applyNumberFormat="1" applyFont="1" applyFill="1" applyBorder="1" applyAlignment="1" applyProtection="1">
      <alignment vertical="center" shrinkToFit="1"/>
    </xf>
    <xf numFmtId="176" fontId="4" fillId="0" borderId="32" xfId="0" applyNumberFormat="1" applyFont="1" applyBorder="1" applyAlignment="1" applyProtection="1">
      <alignment vertical="center" shrinkToFit="1"/>
    </xf>
    <xf numFmtId="182" fontId="4" fillId="0" borderId="10" xfId="0" applyNumberFormat="1" applyFont="1" applyBorder="1" applyAlignment="1" applyProtection="1">
      <alignment vertical="center" shrinkToFit="1"/>
    </xf>
    <xf numFmtId="188" fontId="4" fillId="0" borderId="10" xfId="0" applyNumberFormat="1" applyFont="1" applyBorder="1" applyAlignment="1" applyProtection="1">
      <alignment vertical="center" shrinkToFit="1"/>
    </xf>
    <xf numFmtId="1" fontId="4" fillId="0" borderId="10" xfId="0" applyNumberFormat="1" applyFont="1" applyBorder="1" applyAlignment="1" applyProtection="1">
      <alignment vertical="center" shrinkToFit="1"/>
    </xf>
    <xf numFmtId="2" fontId="4" fillId="0" borderId="10" xfId="0" applyNumberFormat="1" applyFont="1" applyBorder="1" applyAlignment="1" applyProtection="1">
      <alignment vertical="center" shrinkToFit="1"/>
    </xf>
    <xf numFmtId="1" fontId="4" fillId="0" borderId="33" xfId="0" applyNumberFormat="1" applyFont="1" applyBorder="1" applyAlignment="1" applyProtection="1">
      <alignment vertical="center" shrinkToFit="1"/>
    </xf>
    <xf numFmtId="1" fontId="4" fillId="0" borderId="32" xfId="0" applyNumberFormat="1" applyFont="1" applyBorder="1" applyAlignment="1" applyProtection="1">
      <alignment vertical="center" shrinkToFit="1"/>
    </xf>
    <xf numFmtId="179" fontId="4" fillId="0" borderId="10" xfId="0" applyNumberFormat="1" applyFont="1" applyBorder="1" applyAlignment="1" applyProtection="1">
      <alignment vertical="center" shrinkToFit="1"/>
    </xf>
    <xf numFmtId="188" fontId="4" fillId="0" borderId="34" xfId="0" applyNumberFormat="1" applyFont="1" applyBorder="1" applyAlignment="1" applyProtection="1">
      <alignment vertical="center" shrinkToFit="1"/>
    </xf>
    <xf numFmtId="1" fontId="4" fillId="0" borderId="34" xfId="0" applyNumberFormat="1" applyFont="1" applyBorder="1" applyAlignment="1" applyProtection="1">
      <alignment vertical="center" shrinkToFit="1"/>
    </xf>
    <xf numFmtId="189" fontId="4" fillId="7" borderId="10" xfId="0" applyNumberFormat="1" applyFont="1" applyFill="1" applyBorder="1" applyAlignment="1" applyProtection="1">
      <alignment vertical="center" shrinkToFit="1"/>
    </xf>
    <xf numFmtId="1" fontId="4" fillId="0" borderId="10" xfId="0" applyNumberFormat="1" applyFont="1" applyBorder="1" applyAlignment="1" applyProtection="1">
      <alignment horizontal="right" vertical="center" shrinkToFit="1"/>
    </xf>
    <xf numFmtId="2" fontId="4" fillId="0" borderId="10" xfId="0" applyNumberFormat="1" applyFont="1" applyBorder="1" applyAlignment="1" applyProtection="1">
      <alignment horizontal="right" vertical="center" shrinkToFit="1"/>
    </xf>
    <xf numFmtId="1" fontId="4" fillId="0" borderId="33" xfId="0" applyNumberFormat="1" applyFont="1" applyBorder="1" applyAlignment="1" applyProtection="1">
      <alignment horizontal="right" vertical="center" shrinkToFit="1"/>
    </xf>
    <xf numFmtId="1" fontId="4" fillId="0" borderId="34" xfId="0" applyNumberFormat="1" applyFont="1" applyBorder="1" applyAlignment="1" applyProtection="1">
      <alignment horizontal="right" vertical="center" shrinkToFit="1"/>
    </xf>
    <xf numFmtId="2" fontId="4" fillId="0" borderId="34" xfId="0" applyNumberFormat="1" applyFont="1" applyBorder="1" applyAlignment="1" applyProtection="1">
      <alignment vertical="center" shrinkToFit="1"/>
    </xf>
    <xf numFmtId="2" fontId="4" fillId="0" borderId="33" xfId="0" applyNumberFormat="1" applyFont="1" applyBorder="1" applyAlignment="1" applyProtection="1">
      <alignment vertical="center" shrinkToFit="1"/>
    </xf>
    <xf numFmtId="2" fontId="4" fillId="0" borderId="30" xfId="0" applyNumberFormat="1" applyFont="1" applyBorder="1" applyAlignment="1" applyProtection="1">
      <alignment vertical="center" shrinkToFit="1"/>
    </xf>
    <xf numFmtId="189" fontId="4" fillId="7" borderId="19" xfId="0" applyNumberFormat="1" applyFont="1" applyFill="1" applyBorder="1" applyAlignment="1" applyProtection="1">
      <alignment horizontal="right" vertical="center" shrinkToFit="1"/>
    </xf>
    <xf numFmtId="0" fontId="4" fillId="0" borderId="10" xfId="0" applyNumberFormat="1" applyFont="1" applyBorder="1" applyAlignment="1" applyProtection="1">
      <alignment horizontal="center" vertical="center" shrinkToFit="1"/>
    </xf>
    <xf numFmtId="0" fontId="4" fillId="0" borderId="34" xfId="0" applyNumberFormat="1" applyFont="1" applyBorder="1" applyAlignment="1" applyProtection="1">
      <alignment horizontal="center" vertical="center" shrinkToFit="1"/>
    </xf>
    <xf numFmtId="188" fontId="4" fillId="0" borderId="10" xfId="0" applyNumberFormat="1" applyFont="1" applyFill="1" applyBorder="1" applyAlignment="1" applyProtection="1">
      <alignment horizontal="right" vertical="center" shrinkToFit="1"/>
    </xf>
    <xf numFmtId="188" fontId="4" fillId="0" borderId="10" xfId="0" applyNumberFormat="1" applyFont="1" applyFill="1" applyBorder="1" applyAlignment="1" applyProtection="1">
      <alignment vertical="center" shrinkToFit="1"/>
    </xf>
    <xf numFmtId="188" fontId="4" fillId="0" borderId="34" xfId="0" applyNumberFormat="1" applyFont="1" applyFill="1" applyBorder="1" applyAlignment="1" applyProtection="1">
      <alignment vertical="center" shrinkToFit="1"/>
    </xf>
    <xf numFmtId="182" fontId="4" fillId="0" borderId="34" xfId="0" applyNumberFormat="1" applyFont="1" applyBorder="1" applyAlignment="1" applyProtection="1">
      <alignment vertical="center" shrinkToFit="1"/>
    </xf>
    <xf numFmtId="188" fontId="4" fillId="0" borderId="10" xfId="0" applyNumberFormat="1" applyFont="1" applyBorder="1" applyAlignment="1" applyProtection="1">
      <alignment horizontal="right" vertical="center" shrinkToFit="1"/>
    </xf>
    <xf numFmtId="57" fontId="4" fillId="2" borderId="31" xfId="0" applyNumberFormat="1" applyFont="1" applyFill="1" applyBorder="1" applyAlignment="1">
      <alignment vertical="center" shrinkToFit="1"/>
    </xf>
    <xf numFmtId="57" fontId="4" fillId="2" borderId="26" xfId="0" applyNumberFormat="1" applyFont="1" applyFill="1" applyBorder="1" applyAlignment="1">
      <alignment vertical="center" shrinkToFit="1"/>
    </xf>
    <xf numFmtId="0" fontId="4" fillId="0" borderId="30" xfId="0" applyNumberFormat="1" applyFont="1" applyBorder="1" applyAlignment="1" applyProtection="1">
      <alignment horizontal="center" vertical="center" shrinkToFit="1"/>
    </xf>
    <xf numFmtId="182" fontId="4" fillId="0" borderId="30" xfId="0" applyNumberFormat="1" applyFont="1" applyBorder="1" applyAlignment="1" applyProtection="1">
      <alignment vertical="center" shrinkToFit="1"/>
    </xf>
    <xf numFmtId="183" fontId="4" fillId="7" borderId="32" xfId="0" applyNumberFormat="1" applyFont="1" applyFill="1" applyBorder="1" applyAlignment="1" applyProtection="1">
      <alignment horizontal="right" vertical="center" shrinkToFit="1"/>
    </xf>
    <xf numFmtId="184" fontId="4" fillId="3" borderId="35" xfId="0" applyNumberFormat="1" applyFont="1" applyFill="1" applyBorder="1" applyAlignment="1">
      <alignment horizontal="right" vertical="center"/>
    </xf>
    <xf numFmtId="185" fontId="4" fillId="3" borderId="36" xfId="0" applyNumberFormat="1" applyFont="1" applyFill="1" applyBorder="1" applyAlignment="1" applyProtection="1">
      <alignment horizontal="right" vertical="center" shrinkToFit="1"/>
    </xf>
    <xf numFmtId="185" fontId="4" fillId="3" borderId="37" xfId="0" applyNumberFormat="1" applyFont="1" applyFill="1" applyBorder="1" applyAlignment="1" applyProtection="1">
      <alignment horizontal="right" vertical="center" shrinkToFit="1"/>
    </xf>
    <xf numFmtId="185" fontId="4" fillId="3" borderId="38" xfId="0" applyNumberFormat="1" applyFont="1" applyFill="1" applyBorder="1" applyAlignment="1" applyProtection="1">
      <alignment horizontal="right" vertical="center" shrinkToFit="1"/>
    </xf>
    <xf numFmtId="185" fontId="4" fillId="3" borderId="39" xfId="0" applyNumberFormat="1" applyFont="1" applyFill="1" applyBorder="1" applyAlignment="1" applyProtection="1">
      <alignment horizontal="right" vertical="center" shrinkToFit="1"/>
    </xf>
    <xf numFmtId="186" fontId="4" fillId="3" borderId="39" xfId="0" applyNumberFormat="1" applyFont="1" applyFill="1" applyBorder="1" applyAlignment="1" applyProtection="1">
      <alignment horizontal="right" vertical="center" shrinkToFit="1"/>
    </xf>
    <xf numFmtId="2" fontId="4" fillId="3" borderId="37" xfId="0" applyNumberFormat="1" applyFont="1" applyFill="1" applyBorder="1" applyAlignment="1" applyProtection="1">
      <alignment horizontal="right" vertical="center" shrinkToFit="1"/>
    </xf>
    <xf numFmtId="0" fontId="4" fillId="3" borderId="39" xfId="0" applyNumberFormat="1" applyFont="1" applyFill="1" applyBorder="1" applyAlignment="1" applyProtection="1">
      <alignment horizontal="right" vertical="center" shrinkToFit="1"/>
    </xf>
    <xf numFmtId="184" fontId="4" fillId="6" borderId="40" xfId="0" applyNumberFormat="1" applyFont="1" applyFill="1" applyBorder="1" applyAlignment="1">
      <alignment horizontal="right" vertical="center"/>
    </xf>
    <xf numFmtId="185" fontId="4" fillId="6" borderId="41" xfId="0" applyNumberFormat="1" applyFont="1" applyFill="1" applyBorder="1" applyAlignment="1" applyProtection="1">
      <alignment horizontal="right" vertical="center" shrinkToFit="1"/>
    </xf>
    <xf numFmtId="185" fontId="4" fillId="6" borderId="25" xfId="0" applyNumberFormat="1" applyFont="1" applyFill="1" applyBorder="1" applyAlignment="1" applyProtection="1">
      <alignment horizontal="right" vertical="center" shrinkToFit="1"/>
    </xf>
    <xf numFmtId="187" fontId="4" fillId="6" borderId="10" xfId="0" applyNumberFormat="1" applyFont="1" applyFill="1" applyBorder="1" applyAlignment="1" applyProtection="1">
      <alignment horizontal="right" vertical="center" shrinkToFit="1"/>
    </xf>
    <xf numFmtId="187" fontId="4" fillId="6" borderId="42" xfId="0" applyNumberFormat="1" applyFont="1" applyFill="1" applyBorder="1" applyAlignment="1" applyProtection="1">
      <alignment horizontal="right" vertical="center" shrinkToFit="1"/>
    </xf>
    <xf numFmtId="185" fontId="4" fillId="6" borderId="34" xfId="0" applyNumberFormat="1" applyFont="1" applyFill="1" applyBorder="1" applyAlignment="1" applyProtection="1">
      <alignment horizontal="right" vertical="center" shrinkToFit="1"/>
    </xf>
    <xf numFmtId="186" fontId="4" fillId="6" borderId="34" xfId="0" applyNumberFormat="1" applyFont="1" applyFill="1" applyBorder="1" applyAlignment="1" applyProtection="1">
      <alignment horizontal="center" vertical="center" shrinkToFit="1"/>
    </xf>
    <xf numFmtId="0" fontId="4" fillId="6" borderId="34" xfId="0" applyNumberFormat="1" applyFont="1" applyFill="1" applyBorder="1" applyAlignment="1" applyProtection="1">
      <alignment horizontal="center" vertical="center" shrinkToFit="1"/>
    </xf>
    <xf numFmtId="187" fontId="4" fillId="6" borderId="34" xfId="0" applyNumberFormat="1" applyFont="1" applyFill="1" applyBorder="1" applyAlignment="1" applyProtection="1">
      <alignment horizontal="right" vertical="center" shrinkToFit="1"/>
    </xf>
    <xf numFmtId="184" fontId="4" fillId="3" borderId="40" xfId="0" applyNumberFormat="1" applyFont="1" applyFill="1" applyBorder="1" applyAlignment="1">
      <alignment horizontal="right" vertical="center"/>
    </xf>
    <xf numFmtId="185" fontId="4" fillId="3" borderId="43" xfId="0" applyNumberFormat="1" applyFont="1" applyFill="1" applyBorder="1" applyAlignment="1" applyProtection="1">
      <alignment horizontal="right" vertical="center" shrinkToFit="1"/>
    </xf>
    <xf numFmtId="185" fontId="4" fillId="3" borderId="10" xfId="0" applyNumberFormat="1" applyFont="1" applyFill="1" applyBorder="1" applyAlignment="1" applyProtection="1">
      <alignment horizontal="right" vertical="center" shrinkToFit="1"/>
    </xf>
    <xf numFmtId="185" fontId="4" fillId="3" borderId="42" xfId="0" applyNumberFormat="1" applyFont="1" applyFill="1" applyBorder="1" applyAlignment="1" applyProtection="1">
      <alignment horizontal="right" vertical="center" shrinkToFit="1"/>
    </xf>
    <xf numFmtId="185" fontId="4" fillId="3" borderId="34" xfId="0" applyNumberFormat="1" applyFont="1" applyFill="1" applyBorder="1" applyAlignment="1" applyProtection="1">
      <alignment horizontal="right" vertical="center" shrinkToFit="1"/>
    </xf>
    <xf numFmtId="186" fontId="4" fillId="3" borderId="34" xfId="0" applyNumberFormat="1" applyFont="1" applyFill="1" applyBorder="1" applyAlignment="1" applyProtection="1">
      <alignment horizontal="right" vertical="center" shrinkToFit="1"/>
    </xf>
    <xf numFmtId="2" fontId="4" fillId="3" borderId="10" xfId="0" applyNumberFormat="1" applyFont="1" applyFill="1" applyBorder="1" applyAlignment="1" applyProtection="1">
      <alignment horizontal="right" vertical="center" shrinkToFit="1"/>
    </xf>
    <xf numFmtId="0" fontId="4" fillId="3" borderId="34" xfId="0" applyNumberFormat="1" applyFont="1" applyFill="1" applyBorder="1" applyAlignment="1" applyProtection="1">
      <alignment horizontal="right" vertical="center" shrinkToFit="1"/>
    </xf>
    <xf numFmtId="2" fontId="4" fillId="3" borderId="43" xfId="0" applyNumberFormat="1" applyFont="1" applyFill="1" applyBorder="1" applyAlignment="1" applyProtection="1">
      <alignment horizontal="right" vertical="center" shrinkToFit="1"/>
    </xf>
    <xf numFmtId="185" fontId="4" fillId="3" borderId="43" xfId="0" quotePrefix="1" applyNumberFormat="1" applyFont="1" applyFill="1" applyBorder="1" applyAlignment="1">
      <alignment horizontal="right" vertical="center" shrinkToFit="1"/>
    </xf>
    <xf numFmtId="185" fontId="4" fillId="3" borderId="10" xfId="0" quotePrefix="1" applyNumberFormat="1" applyFont="1" applyFill="1" applyBorder="1" applyAlignment="1">
      <alignment horizontal="right" vertical="center" shrinkToFit="1"/>
    </xf>
    <xf numFmtId="185" fontId="4" fillId="3" borderId="42" xfId="0" quotePrefix="1" applyNumberFormat="1" applyFont="1" applyFill="1" applyBorder="1" applyAlignment="1">
      <alignment horizontal="right" vertical="center" shrinkToFit="1"/>
    </xf>
    <xf numFmtId="185" fontId="4" fillId="3" borderId="34" xfId="0" quotePrefix="1" applyNumberFormat="1" applyFont="1" applyFill="1" applyBorder="1" applyAlignment="1">
      <alignment horizontal="right" vertical="center" shrinkToFit="1"/>
    </xf>
    <xf numFmtId="186" fontId="4" fillId="3" borderId="34" xfId="0" applyNumberFormat="1" applyFont="1" applyFill="1" applyBorder="1" applyAlignment="1">
      <alignment horizontal="right" vertical="center" shrinkToFit="1"/>
    </xf>
    <xf numFmtId="2" fontId="4" fillId="3" borderId="10" xfId="0" quotePrefix="1" applyNumberFormat="1" applyFont="1" applyFill="1" applyBorder="1" applyAlignment="1">
      <alignment horizontal="right" vertical="center" shrinkToFit="1"/>
    </xf>
    <xf numFmtId="0" fontId="4" fillId="3" borderId="34" xfId="0" applyNumberFormat="1" applyFont="1" applyFill="1" applyBorder="1" applyAlignment="1">
      <alignment horizontal="right" vertical="center" shrinkToFit="1"/>
    </xf>
    <xf numFmtId="0" fontId="4" fillId="3" borderId="43" xfId="0" quotePrefix="1" applyNumberFormat="1" applyFont="1" applyFill="1" applyBorder="1" applyAlignment="1">
      <alignment horizontal="right" vertical="center" shrinkToFit="1"/>
    </xf>
    <xf numFmtId="0" fontId="4" fillId="3" borderId="10" xfId="0" quotePrefix="1" applyNumberFormat="1" applyFont="1" applyFill="1" applyBorder="1" applyAlignment="1">
      <alignment horizontal="right" vertical="center" shrinkToFit="1"/>
    </xf>
    <xf numFmtId="0" fontId="4" fillId="3" borderId="42" xfId="0" quotePrefix="1" applyNumberFormat="1" applyFont="1" applyFill="1" applyBorder="1" applyAlignment="1">
      <alignment horizontal="right" vertical="center" shrinkToFit="1"/>
    </xf>
    <xf numFmtId="0" fontId="4" fillId="3" borderId="34" xfId="0" quotePrefix="1" applyNumberFormat="1" applyFont="1" applyFill="1" applyBorder="1" applyAlignment="1">
      <alignment horizontal="right" vertical="center" shrinkToFit="1"/>
    </xf>
    <xf numFmtId="57" fontId="4" fillId="2" borderId="26" xfId="0" applyNumberFormat="1" applyFont="1" applyFill="1" applyBorder="1" applyAlignment="1" applyProtection="1">
      <alignment horizontal="left" vertical="center" shrinkToFit="1"/>
    </xf>
    <xf numFmtId="182" fontId="4" fillId="0" borderId="30" xfId="0" applyNumberFormat="1" applyFont="1" applyBorder="1" applyAlignment="1" applyProtection="1">
      <alignment horizontal="center" vertical="center" shrinkToFit="1"/>
    </xf>
    <xf numFmtId="182" fontId="4" fillId="0" borderId="29" xfId="0" applyNumberFormat="1" applyFont="1" applyBorder="1" applyAlignment="1" applyProtection="1">
      <alignment horizontal="center" vertical="center" shrinkToFit="1"/>
    </xf>
    <xf numFmtId="57" fontId="4" fillId="0" borderId="31" xfId="0" applyNumberFormat="1" applyFont="1" applyFill="1" applyBorder="1" applyAlignment="1">
      <alignment horizontal="left" vertical="center" shrinkToFit="1"/>
    </xf>
    <xf numFmtId="182" fontId="4" fillId="0" borderId="31" xfId="0" applyNumberFormat="1" applyFont="1" applyFill="1" applyBorder="1" applyAlignment="1" applyProtection="1">
      <alignment vertical="center" shrinkToFit="1"/>
    </xf>
    <xf numFmtId="57" fontId="4" fillId="2" borderId="31" xfId="0" applyNumberFormat="1" applyFont="1" applyFill="1" applyBorder="1" applyAlignment="1" applyProtection="1">
      <alignment horizontal="left" vertical="center" shrinkToFit="1"/>
    </xf>
    <xf numFmtId="182" fontId="4" fillId="0" borderId="34" xfId="0" applyNumberFormat="1" applyFont="1" applyBorder="1" applyAlignment="1" applyProtection="1">
      <alignment horizontal="center" vertical="center" shrinkToFit="1"/>
    </xf>
    <xf numFmtId="182" fontId="4" fillId="0" borderId="33" xfId="0" applyNumberFormat="1" applyFont="1" applyBorder="1" applyAlignment="1" applyProtection="1">
      <alignment horizontal="center" vertical="center" shrinkToFit="1"/>
    </xf>
    <xf numFmtId="0" fontId="4" fillId="0" borderId="30" xfId="0" applyFont="1" applyBorder="1" applyAlignment="1" applyProtection="1">
      <alignment vertical="center" shrinkToFit="1"/>
    </xf>
    <xf numFmtId="0" fontId="4" fillId="0" borderId="30" xfId="0" applyFont="1" applyBorder="1" applyAlignment="1" applyProtection="1">
      <alignment horizontal="center" vertical="center" shrinkToFit="1"/>
    </xf>
    <xf numFmtId="0" fontId="4" fillId="0" borderId="30" xfId="0" applyFont="1" applyBorder="1" applyAlignment="1">
      <alignment vertical="center" shrinkToFit="1"/>
    </xf>
    <xf numFmtId="0" fontId="4" fillId="0" borderId="34" xfId="0" applyFont="1" applyBorder="1" applyAlignment="1" applyProtection="1">
      <alignment vertical="center" shrinkToFit="1"/>
    </xf>
    <xf numFmtId="0" fontId="4" fillId="5" borderId="34" xfId="0" applyFont="1" applyFill="1" applyBorder="1" applyAlignment="1" applyProtection="1">
      <alignment vertical="center" shrinkToFit="1"/>
    </xf>
    <xf numFmtId="0" fontId="4" fillId="0" borderId="34" xfId="0" applyFont="1" applyBorder="1" applyAlignment="1" applyProtection="1">
      <alignment horizontal="center" vertical="center" shrinkToFit="1"/>
    </xf>
    <xf numFmtId="0" fontId="4" fillId="0" borderId="34" xfId="0" applyFont="1" applyBorder="1" applyAlignment="1">
      <alignment vertical="center" shrinkToFit="1"/>
    </xf>
    <xf numFmtId="0" fontId="4" fillId="4" borderId="34" xfId="0" applyFont="1" applyFill="1" applyBorder="1" applyAlignment="1" applyProtection="1">
      <alignment horizontal="right" vertical="center" shrinkToFit="1"/>
    </xf>
    <xf numFmtId="0" fontId="4" fillId="4" borderId="34" xfId="0" applyFont="1" applyFill="1" applyBorder="1" applyAlignment="1" applyProtection="1">
      <alignment vertical="center" shrinkToFit="1"/>
    </xf>
    <xf numFmtId="178" fontId="4" fillId="0" borderId="0" xfId="0" applyNumberFormat="1" applyFont="1" applyBorder="1" applyAlignment="1">
      <alignment vertical="center" shrinkToFit="1"/>
    </xf>
    <xf numFmtId="57" fontId="19" fillId="2" borderId="26" xfId="0" applyNumberFormat="1" applyFont="1" applyFill="1" applyBorder="1" applyAlignment="1" applyProtection="1">
      <alignment vertical="center" shrinkToFit="1"/>
    </xf>
    <xf numFmtId="188" fontId="4" fillId="6" borderId="10" xfId="0" applyNumberFormat="1" applyFont="1" applyFill="1" applyBorder="1" applyAlignment="1" applyProtection="1">
      <alignment horizontal="right" vertical="center" shrinkToFit="1"/>
    </xf>
    <xf numFmtId="57" fontId="13" fillId="0" borderId="0" xfId="0" quotePrefix="1" applyNumberFormat="1" applyFont="1" applyAlignment="1" applyProtection="1">
      <alignment horizontal="center" vertical="center"/>
      <protection locked="0"/>
    </xf>
    <xf numFmtId="57" fontId="13" fillId="0" borderId="0" xfId="0" quotePrefix="1" applyNumberFormat="1" applyFont="1" applyAlignment="1" applyProtection="1">
      <alignment vertical="center"/>
      <protection locked="0"/>
    </xf>
    <xf numFmtId="2" fontId="20" fillId="0" borderId="0" xfId="0" applyNumberFormat="1" applyFont="1" applyAlignment="1" applyProtection="1">
      <alignment vertical="center"/>
    </xf>
    <xf numFmtId="0" fontId="4" fillId="0" borderId="0" xfId="0" quotePrefix="1" applyFont="1" applyAlignment="1" applyProtection="1">
      <alignment horizontal="left"/>
      <protection locked="0"/>
    </xf>
    <xf numFmtId="57" fontId="13" fillId="0" borderId="0" xfId="0" applyNumberFormat="1" applyFont="1" applyAlignment="1" applyProtection="1">
      <alignment vertical="center"/>
      <protection locked="0"/>
    </xf>
    <xf numFmtId="0" fontId="13" fillId="0" borderId="0" xfId="0" quotePrefix="1" applyFont="1" applyAlignment="1" applyProtection="1">
      <alignment vertical="center"/>
      <protection locked="0"/>
    </xf>
    <xf numFmtId="182" fontId="4" fillId="0" borderId="0" xfId="0" applyNumberFormat="1" applyFont="1" applyAlignment="1" applyProtection="1">
      <alignment vertical="center"/>
    </xf>
    <xf numFmtId="176" fontId="20" fillId="0" borderId="0" xfId="0" applyNumberFormat="1" applyFont="1" applyAlignment="1" applyProtection="1">
      <alignment vertical="center"/>
    </xf>
    <xf numFmtId="0" fontId="20" fillId="0" borderId="0" xfId="0" quotePrefix="1" applyFont="1" applyAlignment="1">
      <alignment vertical="center"/>
    </xf>
    <xf numFmtId="177" fontId="20" fillId="0" borderId="0" xfId="0" applyNumberFormat="1" applyFont="1" applyAlignment="1" applyProtection="1">
      <alignment vertical="center"/>
    </xf>
    <xf numFmtId="188" fontId="10" fillId="8" borderId="25" xfId="0" applyNumberFormat="1" applyFont="1" applyFill="1" applyBorder="1" applyAlignment="1" applyProtection="1">
      <alignment horizontal="center" vertical="center" shrinkToFit="1"/>
    </xf>
    <xf numFmtId="188" fontId="4" fillId="9" borderId="44" xfId="0" applyNumberFormat="1" applyFont="1" applyFill="1" applyBorder="1" applyAlignment="1">
      <alignment horizontal="right" vertical="center" shrinkToFit="1"/>
    </xf>
    <xf numFmtId="188" fontId="10" fillId="10" borderId="25" xfId="0" applyNumberFormat="1" applyFont="1" applyFill="1" applyBorder="1" applyAlignment="1" applyProtection="1">
      <alignment horizontal="center" vertical="center" shrinkToFit="1"/>
    </xf>
    <xf numFmtId="0" fontId="4" fillId="0" borderId="0" xfId="0" applyFont="1" applyAlignment="1" applyProtection="1">
      <alignment horizontal="left" vertical="center"/>
    </xf>
    <xf numFmtId="0" fontId="21" fillId="0" borderId="0" xfId="1" applyFont="1" applyAlignment="1" applyProtection="1">
      <alignment horizontal="left" vertical="center"/>
    </xf>
    <xf numFmtId="0" fontId="21" fillId="0" borderId="0" xfId="1" applyFont="1" applyAlignment="1" applyProtection="1">
      <alignment vertical="center"/>
    </xf>
    <xf numFmtId="0" fontId="21" fillId="0" borderId="0" xfId="1" applyFont="1" applyBorder="1" applyAlignment="1" applyProtection="1">
      <alignment horizontal="left" vertical="center"/>
    </xf>
    <xf numFmtId="0" fontId="22" fillId="0" borderId="0" xfId="1" applyFont="1" applyFill="1" applyAlignment="1" applyProtection="1">
      <alignment vertical="center"/>
    </xf>
    <xf numFmtId="0" fontId="24" fillId="0" borderId="0" xfId="1" applyFont="1" applyAlignment="1" applyProtection="1">
      <alignment vertical="center"/>
    </xf>
    <xf numFmtId="0" fontId="4" fillId="0" borderId="29" xfId="0" applyFont="1" applyBorder="1" applyAlignment="1">
      <alignment horizontal="left" vertical="center"/>
    </xf>
    <xf numFmtId="0" fontId="10" fillId="2" borderId="10" xfId="0" applyFont="1" applyFill="1" applyBorder="1" applyAlignment="1" applyProtection="1">
      <alignment horizontal="left" vertical="top" wrapText="1"/>
    </xf>
    <xf numFmtId="176" fontId="4" fillId="0" borderId="10" xfId="0" applyNumberFormat="1" applyFont="1" applyFill="1" applyBorder="1" applyAlignment="1">
      <alignment horizontal="right" vertical="center" shrinkToFit="1"/>
    </xf>
    <xf numFmtId="2" fontId="4" fillId="0" borderId="10" xfId="0" applyNumberFormat="1" applyFont="1" applyFill="1" applyBorder="1" applyAlignment="1">
      <alignment horizontal="right" vertical="center" shrinkToFit="1"/>
    </xf>
    <xf numFmtId="181" fontId="4" fillId="0" borderId="10" xfId="0" applyNumberFormat="1" applyFont="1" applyFill="1" applyBorder="1" applyAlignment="1">
      <alignment horizontal="right" vertical="center" shrinkToFit="1"/>
    </xf>
    <xf numFmtId="188" fontId="4" fillId="0" borderId="10" xfId="0" applyNumberFormat="1" applyFont="1" applyBorder="1" applyAlignment="1">
      <alignment horizontal="right" vertical="center" shrinkToFit="1"/>
    </xf>
    <xf numFmtId="2" fontId="4" fillId="0" borderId="29" xfId="0" applyNumberFormat="1" applyFont="1" applyBorder="1" applyAlignment="1" applyProtection="1">
      <alignment vertical="center" shrinkToFit="1"/>
    </xf>
    <xf numFmtId="176" fontId="4" fillId="0" borderId="19" xfId="0" applyNumberFormat="1" applyFont="1" applyFill="1" applyBorder="1" applyAlignment="1">
      <alignment horizontal="right" vertical="center" shrinkToFit="1"/>
    </xf>
    <xf numFmtId="2" fontId="4" fillId="0" borderId="19" xfId="0" applyNumberFormat="1" applyFont="1" applyFill="1" applyBorder="1" applyAlignment="1">
      <alignment horizontal="right" vertical="center" shrinkToFit="1"/>
    </xf>
    <xf numFmtId="181" fontId="4" fillId="0" borderId="19" xfId="0" applyNumberFormat="1" applyFont="1" applyFill="1" applyBorder="1" applyAlignment="1">
      <alignment horizontal="right" vertical="center" shrinkToFit="1"/>
    </xf>
    <xf numFmtId="188" fontId="4" fillId="0" borderId="19" xfId="0" applyNumberFormat="1" applyFont="1" applyBorder="1" applyAlignment="1">
      <alignment horizontal="right" vertical="center" shrinkToFit="1"/>
    </xf>
    <xf numFmtId="176" fontId="4" fillId="0" borderId="24" xfId="0" applyNumberFormat="1" applyFont="1" applyFill="1" applyBorder="1" applyAlignment="1">
      <alignment horizontal="right" vertical="center" shrinkToFit="1"/>
    </xf>
    <xf numFmtId="2" fontId="4" fillId="0" borderId="24" xfId="0" applyNumberFormat="1" applyFont="1" applyFill="1" applyBorder="1" applyAlignment="1">
      <alignment horizontal="right" vertical="center" shrinkToFit="1"/>
    </xf>
    <xf numFmtId="181" fontId="4" fillId="0" borderId="24" xfId="0" applyNumberFormat="1" applyFont="1" applyFill="1" applyBorder="1" applyAlignment="1">
      <alignment horizontal="right" vertical="center" shrinkToFit="1"/>
    </xf>
    <xf numFmtId="188" fontId="4" fillId="0" borderId="24" xfId="0" applyNumberFormat="1" applyFont="1" applyBorder="1" applyAlignment="1">
      <alignment horizontal="right" vertical="center" shrinkToFit="1"/>
    </xf>
    <xf numFmtId="57" fontId="19" fillId="2" borderId="26" xfId="0" applyNumberFormat="1" applyFont="1" applyFill="1" applyBorder="1" applyAlignment="1">
      <alignment vertical="center" shrinkToFit="1"/>
    </xf>
    <xf numFmtId="0" fontId="4" fillId="0" borderId="12" xfId="0" applyFont="1" applyBorder="1" applyAlignment="1" applyProtection="1">
      <alignment horizontal="left" vertical="center"/>
    </xf>
    <xf numFmtId="0" fontId="4" fillId="0" borderId="13" xfId="0" applyFont="1" applyBorder="1" applyAlignment="1" applyProtection="1">
      <alignment horizontal="left" vertical="center"/>
    </xf>
    <xf numFmtId="0" fontId="4" fillId="0" borderId="14" xfId="0" applyFont="1" applyBorder="1" applyAlignment="1" applyProtection="1">
      <alignment horizontal="left" vertical="center"/>
    </xf>
    <xf numFmtId="0" fontId="4" fillId="0" borderId="15" xfId="0" applyFont="1" applyBorder="1" applyAlignment="1" applyProtection="1">
      <alignment horizontal="left" vertical="center"/>
    </xf>
    <xf numFmtId="0" fontId="4" fillId="0" borderId="27" xfId="0" applyFont="1" applyBorder="1" applyAlignment="1" applyProtection="1">
      <alignment vertical="center"/>
    </xf>
    <xf numFmtId="0" fontId="4" fillId="0" borderId="19" xfId="0" applyFont="1" applyBorder="1" applyAlignment="1" applyProtection="1">
      <alignment vertical="center" shrinkToFit="1"/>
    </xf>
    <xf numFmtId="0" fontId="4" fillId="0" borderId="32" xfId="0" applyFont="1" applyBorder="1" applyAlignment="1" applyProtection="1">
      <alignment vertical="center"/>
    </xf>
    <xf numFmtId="0" fontId="4" fillId="0" borderId="10" xfId="0" applyFont="1" applyBorder="1" applyAlignment="1" applyProtection="1">
      <alignment vertical="center" shrinkToFit="1"/>
    </xf>
    <xf numFmtId="0" fontId="4" fillId="0" borderId="14" xfId="0" applyFont="1" applyBorder="1" applyAlignment="1" applyProtection="1">
      <alignment vertical="center"/>
    </xf>
    <xf numFmtId="0" fontId="4" fillId="0" borderId="15" xfId="0" applyFont="1" applyBorder="1" applyAlignment="1" applyProtection="1">
      <alignment vertical="center" shrinkToFit="1"/>
    </xf>
    <xf numFmtId="0" fontId="4" fillId="0" borderId="27" xfId="0" applyFont="1" applyBorder="1" applyAlignment="1" applyProtection="1">
      <alignment horizontal="left" vertical="center"/>
    </xf>
    <xf numFmtId="0" fontId="4" fillId="0" borderId="19" xfId="0" applyFont="1" applyBorder="1" applyAlignment="1" applyProtection="1">
      <alignment horizontal="center" vertical="center" shrinkToFit="1"/>
    </xf>
    <xf numFmtId="0" fontId="4" fillId="0" borderId="32" xfId="0" applyFont="1" applyBorder="1" applyAlignment="1" applyProtection="1">
      <alignment horizontal="left" vertical="center"/>
    </xf>
    <xf numFmtId="0" fontId="4" fillId="0" borderId="10" xfId="0" applyFont="1" applyBorder="1" applyAlignment="1" applyProtection="1">
      <alignment horizontal="center" vertical="center" shrinkToFit="1"/>
    </xf>
    <xf numFmtId="0" fontId="4" fillId="0" borderId="15" xfId="0" applyFont="1" applyBorder="1" applyAlignment="1" applyProtection="1">
      <alignment horizontal="center" vertical="center" shrinkToFit="1"/>
    </xf>
    <xf numFmtId="0" fontId="4" fillId="0" borderId="27" xfId="0" applyFont="1" applyBorder="1" applyAlignment="1">
      <alignment vertical="center" shrinkToFit="1"/>
    </xf>
    <xf numFmtId="0" fontId="4" fillId="0" borderId="19" xfId="0" applyFont="1" applyBorder="1" applyAlignment="1">
      <alignment vertical="center" shrinkToFit="1"/>
    </xf>
    <xf numFmtId="0" fontId="4" fillId="0" borderId="32" xfId="0" applyFont="1" applyBorder="1" applyAlignment="1">
      <alignment vertical="center" shrinkToFit="1"/>
    </xf>
    <xf numFmtId="0" fontId="4" fillId="0" borderId="10" xfId="0" applyFont="1" applyBorder="1" applyAlignment="1">
      <alignment vertical="center" shrinkToFit="1"/>
    </xf>
    <xf numFmtId="0" fontId="4" fillId="0" borderId="14" xfId="0" applyFont="1" applyBorder="1" applyAlignment="1" applyProtection="1">
      <alignment vertical="center" shrinkToFit="1"/>
    </xf>
    <xf numFmtId="0" fontId="4" fillId="0" borderId="27" xfId="0" applyFont="1" applyBorder="1" applyAlignment="1" applyProtection="1">
      <alignment vertical="center" shrinkToFit="1"/>
    </xf>
    <xf numFmtId="0" fontId="4" fillId="0" borderId="32" xfId="0" applyFont="1" applyBorder="1" applyAlignment="1" applyProtection="1">
      <alignment vertical="center" shrinkToFit="1"/>
    </xf>
    <xf numFmtId="1" fontId="4" fillId="0" borderId="33" xfId="0" applyNumberFormat="1" applyFont="1" applyFill="1" applyBorder="1" applyAlignment="1" applyProtection="1">
      <alignment vertical="center" shrinkToFit="1"/>
    </xf>
    <xf numFmtId="0" fontId="4" fillId="2" borderId="12" xfId="0" applyFont="1" applyFill="1" applyBorder="1" applyAlignment="1" applyProtection="1">
      <alignment horizontal="left" vertical="center"/>
    </xf>
    <xf numFmtId="179" fontId="4" fillId="2" borderId="13" xfId="0" applyNumberFormat="1" applyFont="1" applyFill="1" applyBorder="1" applyAlignment="1" applyProtection="1">
      <alignment horizontal="left" vertical="center"/>
    </xf>
    <xf numFmtId="0" fontId="4" fillId="2" borderId="13" xfId="0" applyFont="1" applyFill="1" applyBorder="1" applyAlignment="1" applyProtection="1">
      <alignment horizontal="left" vertical="center"/>
    </xf>
    <xf numFmtId="180" fontId="4" fillId="2" borderId="13" xfId="0" quotePrefix="1" applyNumberFormat="1" applyFont="1" applyFill="1" applyBorder="1" applyAlignment="1" applyProtection="1">
      <alignment horizontal="left" vertical="center"/>
    </xf>
    <xf numFmtId="0" fontId="4" fillId="2" borderId="14" xfId="0" applyFont="1" applyFill="1" applyBorder="1" applyAlignment="1" applyProtection="1">
      <alignment horizontal="left" vertical="center"/>
    </xf>
    <xf numFmtId="179" fontId="4" fillId="2" borderId="15" xfId="0" applyNumberFormat="1" applyFont="1" applyFill="1" applyBorder="1" applyAlignment="1" applyProtection="1">
      <alignment horizontal="left" vertical="center"/>
    </xf>
    <xf numFmtId="0" fontId="4" fillId="2" borderId="15" xfId="0" applyFont="1" applyFill="1" applyBorder="1" applyAlignment="1" applyProtection="1">
      <alignment horizontal="left" vertical="center"/>
    </xf>
    <xf numFmtId="180" fontId="4" fillId="2" borderId="15" xfId="0" quotePrefix="1" applyNumberFormat="1" applyFont="1" applyFill="1" applyBorder="1" applyAlignment="1" applyProtection="1">
      <alignment horizontal="left" vertical="center"/>
    </xf>
    <xf numFmtId="176" fontId="4" fillId="0" borderId="19" xfId="0" applyNumberFormat="1" applyFont="1" applyBorder="1" applyAlignment="1" applyProtection="1">
      <alignment vertical="center" shrinkToFit="1"/>
    </xf>
    <xf numFmtId="176" fontId="4" fillId="0" borderId="32" xfId="0" applyNumberFormat="1" applyFont="1" applyFill="1" applyBorder="1" applyAlignment="1" applyProtection="1">
      <alignment vertical="center" shrinkToFit="1"/>
    </xf>
    <xf numFmtId="176" fontId="4" fillId="0" borderId="10" xfId="0" applyNumberFormat="1" applyFont="1" applyFill="1" applyBorder="1" applyAlignment="1" applyProtection="1">
      <alignment vertical="center" shrinkToFit="1"/>
    </xf>
    <xf numFmtId="1" fontId="4" fillId="0" borderId="10" xfId="0" applyNumberFormat="1" applyFont="1" applyFill="1" applyBorder="1" applyAlignment="1" applyProtection="1">
      <alignment vertical="center" shrinkToFit="1"/>
    </xf>
    <xf numFmtId="2" fontId="4" fillId="0" borderId="10" xfId="0" applyNumberFormat="1" applyFont="1" applyFill="1" applyBorder="1" applyAlignment="1" applyProtection="1">
      <alignment vertical="center" shrinkToFit="1"/>
    </xf>
    <xf numFmtId="176" fontId="4" fillId="0" borderId="10" xfId="0" applyNumberFormat="1" applyFont="1" applyBorder="1" applyAlignment="1" applyProtection="1">
      <alignment vertical="center" shrinkToFit="1"/>
    </xf>
    <xf numFmtId="176" fontId="4" fillId="0" borderId="15" xfId="0" applyNumberFormat="1" applyFont="1" applyBorder="1" applyAlignment="1" applyProtection="1">
      <alignment vertical="center" shrinkToFit="1"/>
    </xf>
    <xf numFmtId="1" fontId="4" fillId="0" borderId="27" xfId="0" applyNumberFormat="1" applyFont="1" applyBorder="1" applyAlignment="1" applyProtection="1">
      <alignment horizontal="left" vertical="center"/>
    </xf>
    <xf numFmtId="1" fontId="4" fillId="0" borderId="32" xfId="0" applyNumberFormat="1" applyFont="1" applyFill="1" applyBorder="1" applyAlignment="1" applyProtection="1">
      <alignment vertical="center" shrinkToFit="1"/>
    </xf>
    <xf numFmtId="179" fontId="4" fillId="0" borderId="10" xfId="0" applyNumberFormat="1" applyFont="1" applyFill="1" applyBorder="1" applyAlignment="1" applyProtection="1">
      <alignment vertical="center" shrinkToFit="1"/>
    </xf>
    <xf numFmtId="1" fontId="4" fillId="0" borderId="32" xfId="0" applyNumberFormat="1" applyFont="1" applyBorder="1" applyAlignment="1" applyProtection="1">
      <alignment horizontal="left" vertical="center"/>
    </xf>
    <xf numFmtId="1" fontId="4" fillId="0" borderId="14" xfId="0" applyNumberFormat="1" applyFont="1" applyBorder="1" applyAlignment="1" applyProtection="1">
      <alignment horizontal="left" vertical="center"/>
    </xf>
    <xf numFmtId="0" fontId="4" fillId="2" borderId="5" xfId="0" quotePrefix="1" applyFont="1" applyFill="1" applyBorder="1" applyAlignment="1" applyProtection="1">
      <alignment vertical="center"/>
    </xf>
    <xf numFmtId="0" fontId="10" fillId="2" borderId="10" xfId="0" applyFont="1" applyFill="1" applyBorder="1" applyAlignment="1" applyProtection="1">
      <alignment horizontal="left" vertical="top"/>
    </xf>
    <xf numFmtId="0" fontId="4" fillId="0" borderId="47" xfId="0" applyFont="1" applyBorder="1" applyAlignment="1" applyProtection="1">
      <alignment vertical="center" shrinkToFit="1"/>
    </xf>
    <xf numFmtId="2" fontId="4" fillId="0" borderId="18" xfId="0" applyNumberFormat="1" applyFont="1" applyBorder="1" applyAlignment="1" applyProtection="1">
      <alignment vertical="center" shrinkToFit="1"/>
    </xf>
    <xf numFmtId="0" fontId="4" fillId="0" borderId="23" xfId="0" applyFont="1" applyBorder="1" applyAlignment="1" applyProtection="1">
      <alignment vertical="center" shrinkToFit="1"/>
    </xf>
    <xf numFmtId="0" fontId="4" fillId="0" borderId="32" xfId="0" applyFont="1" applyBorder="1" applyAlignment="1">
      <alignment vertical="center"/>
    </xf>
    <xf numFmtId="0" fontId="4" fillId="0" borderId="45" xfId="0" applyFont="1" applyBorder="1" applyAlignment="1" applyProtection="1">
      <alignment vertical="center" shrinkToFit="1"/>
    </xf>
    <xf numFmtId="0" fontId="4" fillId="0" borderId="46" xfId="0" applyFont="1" applyBorder="1" applyAlignment="1" applyProtection="1">
      <alignment vertical="center" shrinkToFit="1"/>
    </xf>
    <xf numFmtId="0" fontId="4" fillId="0" borderId="21" xfId="0" applyFont="1" applyBorder="1" applyAlignment="1" applyProtection="1">
      <alignment vertical="center" shrinkToFit="1"/>
    </xf>
    <xf numFmtId="0" fontId="4" fillId="0" borderId="22" xfId="0" applyFont="1" applyBorder="1" applyAlignment="1" applyProtection="1">
      <alignment vertical="center" shrinkToFit="1"/>
    </xf>
    <xf numFmtId="0" fontId="4" fillId="11" borderId="48" xfId="0" applyFont="1" applyFill="1" applyBorder="1" applyAlignment="1" applyProtection="1">
      <alignment horizontal="center" vertical="center" shrinkToFit="1"/>
    </xf>
    <xf numFmtId="0" fontId="4" fillId="11" borderId="49" xfId="0" applyFont="1" applyFill="1" applyBorder="1" applyAlignment="1" applyProtection="1">
      <alignment horizontal="center" vertical="center" shrinkToFit="1"/>
    </xf>
    <xf numFmtId="0" fontId="4" fillId="11" borderId="49" xfId="0" applyNumberFormat="1" applyFont="1" applyFill="1" applyBorder="1" applyAlignment="1" applyProtection="1">
      <alignment horizontal="center" vertical="center" shrinkToFit="1"/>
    </xf>
    <xf numFmtId="0" fontId="4" fillId="11" borderId="50" xfId="0" applyFont="1" applyFill="1" applyBorder="1" applyAlignment="1" applyProtection="1">
      <alignment horizontal="center" vertical="center" shrinkToFit="1"/>
    </xf>
    <xf numFmtId="0" fontId="19" fillId="0" borderId="0" xfId="0" applyFont="1" applyFill="1" applyAlignment="1">
      <alignment vertical="center"/>
    </xf>
    <xf numFmtId="182" fontId="4" fillId="0" borderId="0" xfId="0" applyNumberFormat="1" applyFont="1" applyAlignment="1">
      <alignment vertical="center"/>
    </xf>
    <xf numFmtId="0" fontId="19" fillId="0" borderId="0" xfId="0" applyFont="1" applyAlignment="1">
      <alignment vertical="center"/>
    </xf>
    <xf numFmtId="0" fontId="4" fillId="0" borderId="0" xfId="0" applyNumberFormat="1" applyFont="1" applyAlignment="1"/>
    <xf numFmtId="0" fontId="0" fillId="0" borderId="0" xfId="0" applyAlignment="1">
      <alignment vertical="top" wrapText="1"/>
    </xf>
    <xf numFmtId="0" fontId="0" fillId="0" borderId="0" xfId="0" applyAlignment="1">
      <alignment vertical="center"/>
    </xf>
    <xf numFmtId="0" fontId="4" fillId="12" borderId="5" xfId="0" quotePrefix="1" applyFont="1" applyFill="1" applyBorder="1" applyAlignment="1" applyProtection="1">
      <alignment vertical="center"/>
    </xf>
    <xf numFmtId="0" fontId="0" fillId="12" borderId="3" xfId="0" applyFill="1" applyBorder="1" applyAlignment="1">
      <alignment horizontal="center" vertical="center"/>
    </xf>
    <xf numFmtId="0" fontId="0" fillId="12" borderId="4" xfId="0" applyFill="1" applyBorder="1" applyAlignment="1">
      <alignment horizontal="center" vertical="center"/>
    </xf>
    <xf numFmtId="0" fontId="4" fillId="12" borderId="3" xfId="0" applyFont="1" applyFill="1" applyBorder="1" applyAlignment="1" applyProtection="1">
      <alignment horizontal="center" vertical="center"/>
    </xf>
    <xf numFmtId="0" fontId="4" fillId="12" borderId="7" xfId="0" quotePrefix="1" applyFont="1" applyFill="1" applyBorder="1" applyAlignment="1" applyProtection="1">
      <alignment horizontal="left" vertical="center"/>
    </xf>
    <xf numFmtId="57" fontId="4" fillId="2" borderId="5" xfId="0" applyNumberFormat="1" applyFont="1" applyFill="1" applyBorder="1" applyAlignment="1">
      <alignment vertical="center" shrinkToFit="1"/>
    </xf>
    <xf numFmtId="0" fontId="0" fillId="0" borderId="4" xfId="0" applyBorder="1" applyAlignment="1">
      <alignment vertical="center" shrinkToFit="1"/>
    </xf>
    <xf numFmtId="0" fontId="18" fillId="0" borderId="0" xfId="0" applyNumberFormat="1" applyFont="1" applyAlignment="1">
      <alignment horizontal="center" vertical="center" shrinkToFit="1"/>
    </xf>
    <xf numFmtId="0" fontId="25" fillId="0" borderId="0" xfId="0" applyFont="1" applyAlignment="1">
      <alignment horizontal="center" vertical="center" shrinkToFit="1"/>
    </xf>
    <xf numFmtId="181" fontId="4" fillId="0" borderId="0" xfId="0" applyNumberFormat="1" applyFont="1" applyAlignment="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25"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ほや (塚浜)</a:t>
            </a:r>
          </a:p>
        </c:rich>
      </c:tx>
      <c:layout>
        <c:manualLayout>
          <c:xMode val="edge"/>
          <c:yMode val="edge"/>
          <c:x val="0.48139526344776939"/>
          <c:y val="0.29285501528492669"/>
        </c:manualLayout>
      </c:layout>
      <c:overlay val="0"/>
      <c:spPr>
        <a:solidFill>
          <a:srgbClr val="FFFFFF"/>
        </a:solidFill>
        <a:ln w="25400">
          <a:noFill/>
        </a:ln>
      </c:spPr>
    </c:title>
    <c:autoTitleDeleted val="0"/>
    <c:plotArea>
      <c:layout>
        <c:manualLayout>
          <c:layoutTarget val="inner"/>
          <c:xMode val="edge"/>
          <c:yMode val="edge"/>
          <c:x val="6.8078718973618751E-2"/>
          <c:y val="5.4421949477670192E-2"/>
          <c:w val="0.90514040216543601"/>
          <c:h val="0.81745737927098938"/>
        </c:manualLayout>
      </c:layout>
      <c:lineChart>
        <c:grouping val="standard"/>
        <c:varyColors val="0"/>
        <c:ser>
          <c:idx val="1"/>
          <c:order val="0"/>
          <c:tx>
            <c:strRef>
              <c:f>ほや!$O$101</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ほや!$O$102:$O$159</c:f>
              <c:numCache>
                <c:formatCode>0_);[Red]\(0\)</c:formatCode>
                <c:ptCount val="58"/>
                <c:pt idx="0">
                  <c:v>102.5925925925926</c:v>
                </c:pt>
                <c:pt idx="1">
                  <c:v>72.222222222222229</c:v>
                </c:pt>
                <c:pt idx="2">
                  <c:v>81.481481481481481</c:v>
                </c:pt>
                <c:pt idx="3">
                  <c:v>79.259259259259252</c:v>
                </c:pt>
                <c:pt idx="4">
                  <c:v>93.333333333333329</c:v>
                </c:pt>
                <c:pt idx="5">
                  <c:v>75.18518518518519</c:v>
                </c:pt>
                <c:pt idx="6">
                  <c:v>79.629629629629633</c:v>
                </c:pt>
                <c:pt idx="7">
                  <c:v>90.370370370370367</c:v>
                </c:pt>
                <c:pt idx="11">
                  <c:v>84.074074074074076</c:v>
                </c:pt>
                <c:pt idx="13">
                  <c:v>90.7</c:v>
                </c:pt>
                <c:pt idx="14">
                  <c:v>90.6</c:v>
                </c:pt>
                <c:pt idx="15">
                  <c:v>78</c:v>
                </c:pt>
                <c:pt idx="16">
                  <c:v>86.5</c:v>
                </c:pt>
                <c:pt idx="17">
                  <c:v>83.8</c:v>
                </c:pt>
                <c:pt idx="18">
                  <c:v>88.8</c:v>
                </c:pt>
                <c:pt idx="19">
                  <c:v>92.5</c:v>
                </c:pt>
                <c:pt idx="20">
                  <c:v>82.4</c:v>
                </c:pt>
                <c:pt idx="21">
                  <c:v>84.7</c:v>
                </c:pt>
                <c:pt idx="22">
                  <c:v>87.5</c:v>
                </c:pt>
                <c:pt idx="23">
                  <c:v>85.9</c:v>
                </c:pt>
                <c:pt idx="24">
                  <c:v>90.6</c:v>
                </c:pt>
                <c:pt idx="25">
                  <c:v>93</c:v>
                </c:pt>
                <c:pt idx="26">
                  <c:v>91</c:v>
                </c:pt>
                <c:pt idx="27">
                  <c:v>86.4</c:v>
                </c:pt>
                <c:pt idx="28">
                  <c:v>81.099999999999994</c:v>
                </c:pt>
                <c:pt idx="29">
                  <c:v>89.4</c:v>
                </c:pt>
                <c:pt idx="30">
                  <c:v>74.900000000000006</c:v>
                </c:pt>
                <c:pt idx="31">
                  <c:v>86.5</c:v>
                </c:pt>
                <c:pt idx="32">
                  <c:v>81.3</c:v>
                </c:pt>
                <c:pt idx="33">
                  <c:v>98.2</c:v>
                </c:pt>
                <c:pt idx="34">
                  <c:v>86.4</c:v>
                </c:pt>
                <c:pt idx="35">
                  <c:v>82.8</c:v>
                </c:pt>
                <c:pt idx="40">
                  <c:v>88.8</c:v>
                </c:pt>
                <c:pt idx="41">
                  <c:v>92.4</c:v>
                </c:pt>
                <c:pt idx="42">
                  <c:v>92.9</c:v>
                </c:pt>
                <c:pt idx="43">
                  <c:v>73.2</c:v>
                </c:pt>
                <c:pt idx="44">
                  <c:v>69.900000000000006</c:v>
                </c:pt>
                <c:pt idx="45">
                  <c:v>74.3</c:v>
                </c:pt>
              </c:numCache>
            </c:numRef>
          </c:val>
          <c:smooth val="0"/>
        </c:ser>
        <c:ser>
          <c:idx val="0"/>
          <c:order val="1"/>
          <c:tx>
            <c:strRef>
              <c:f>ほや!$N$101</c:f>
              <c:strCache>
                <c:ptCount val="1"/>
                <c:pt idx="0">
                  <c:v>Be-7</c:v>
                </c:pt>
              </c:strCache>
            </c:strRef>
          </c:tx>
          <c:spPr>
            <a:ln w="3175">
              <a:solidFill>
                <a:srgbClr val="0066FF"/>
              </a:solidFill>
              <a:prstDash val="sysDash"/>
            </a:ln>
          </c:spPr>
          <c:marker>
            <c:symbol val="circle"/>
            <c:size val="5"/>
            <c:spPr>
              <a:solidFill>
                <a:srgbClr val="FFFFFF"/>
              </a:solidFill>
              <a:ln>
                <a:solidFill>
                  <a:srgbClr val="0066FF"/>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ほや!$N$102:$N$159</c:f>
              <c:numCache>
                <c:formatCode>0.0</c:formatCode>
                <c:ptCount val="58"/>
                <c:pt idx="0">
                  <c:v>5.1851851851851851</c:v>
                </c:pt>
                <c:pt idx="1">
                  <c:v>4.3703703703703702</c:v>
                </c:pt>
                <c:pt idx="2">
                  <c:v>7.2592592592592595</c:v>
                </c:pt>
                <c:pt idx="3">
                  <c:v>6.3703703703703702</c:v>
                </c:pt>
                <c:pt idx="4">
                  <c:v>5.4814814814814818</c:v>
                </c:pt>
                <c:pt idx="5">
                  <c:v>11.518518518518519</c:v>
                </c:pt>
                <c:pt idx="6">
                  <c:v>5.7777777777777777</c:v>
                </c:pt>
                <c:pt idx="7">
                  <c:v>10.62962962962963</c:v>
                </c:pt>
                <c:pt idx="11">
                  <c:v>6.1111111111111107</c:v>
                </c:pt>
                <c:pt idx="13">
                  <c:v>10</c:v>
                </c:pt>
                <c:pt idx="14">
                  <c:v>10.7</c:v>
                </c:pt>
                <c:pt idx="15">
                  <c:v>5</c:v>
                </c:pt>
                <c:pt idx="16">
                  <c:v>7.3</c:v>
                </c:pt>
                <c:pt idx="17">
                  <c:v>10</c:v>
                </c:pt>
                <c:pt idx="18">
                  <c:v>9.9</c:v>
                </c:pt>
                <c:pt idx="19">
                  <c:v>7.4</c:v>
                </c:pt>
                <c:pt idx="20">
                  <c:v>19.100000000000001</c:v>
                </c:pt>
                <c:pt idx="21">
                  <c:v>7.7</c:v>
                </c:pt>
                <c:pt idx="22">
                  <c:v>15.4</c:v>
                </c:pt>
                <c:pt idx="23">
                  <c:v>15.1</c:v>
                </c:pt>
                <c:pt idx="24">
                  <c:v>10.1</c:v>
                </c:pt>
                <c:pt idx="25">
                  <c:v>13.2</c:v>
                </c:pt>
                <c:pt idx="26">
                  <c:v>9.5</c:v>
                </c:pt>
                <c:pt idx="27">
                  <c:v>10.8</c:v>
                </c:pt>
                <c:pt idx="28">
                  <c:v>5.6</c:v>
                </c:pt>
                <c:pt idx="29">
                  <c:v>11</c:v>
                </c:pt>
                <c:pt idx="30">
                  <c:v>11.7</c:v>
                </c:pt>
                <c:pt idx="31">
                  <c:v>9.9</c:v>
                </c:pt>
                <c:pt idx="32">
                  <c:v>13</c:v>
                </c:pt>
                <c:pt idx="33">
                  <c:v>7.4</c:v>
                </c:pt>
                <c:pt idx="34">
                  <c:v>7.1</c:v>
                </c:pt>
                <c:pt idx="35">
                  <c:v>8.8000000000000007</c:v>
                </c:pt>
                <c:pt idx="40">
                  <c:v>9</c:v>
                </c:pt>
                <c:pt idx="41">
                  <c:v>9.6</c:v>
                </c:pt>
                <c:pt idx="42">
                  <c:v>3.7</c:v>
                </c:pt>
                <c:pt idx="43">
                  <c:v>6.2</c:v>
                </c:pt>
                <c:pt idx="44">
                  <c:v>9.4</c:v>
                </c:pt>
                <c:pt idx="45">
                  <c:v>11.2</c:v>
                </c:pt>
              </c:numCache>
            </c:numRef>
          </c:val>
          <c:smooth val="0"/>
        </c:ser>
        <c:ser>
          <c:idx val="2"/>
          <c:order val="2"/>
          <c:tx>
            <c:strRef>
              <c:f>ほや!$Q$101</c:f>
              <c:strCache>
                <c:ptCount val="1"/>
                <c:pt idx="0">
                  <c:v>Cs-137</c:v>
                </c:pt>
              </c:strCache>
            </c:strRef>
          </c:tx>
          <c:spPr>
            <a:ln w="12700">
              <a:solidFill>
                <a:srgbClr val="FF0000"/>
              </a:solidFill>
              <a:prstDash val="sysDash"/>
            </a:ln>
          </c:spPr>
          <c:marker>
            <c:symbol val="triangle"/>
            <c:size val="6"/>
            <c:spPr>
              <a:solidFill>
                <a:srgbClr val="FF0000"/>
              </a:solidFill>
              <a:ln>
                <a:solidFill>
                  <a:srgbClr val="FF0000"/>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ほや!$Q$102:$Q$159</c:f>
              <c:numCache>
                <c:formatCode>0.000</c:formatCode>
                <c:ptCount val="58"/>
                <c:pt idx="0">
                  <c:v>7.407407407407407E-2</c:v>
                </c:pt>
                <c:pt idx="1">
                  <c:v>2.9629629629629631E-2</c:v>
                </c:pt>
                <c:pt idx="2">
                  <c:v>7.0370370370370361E-2</c:v>
                </c:pt>
                <c:pt idx="3">
                  <c:v>6.6666666666666666E-2</c:v>
                </c:pt>
                <c:pt idx="4">
                  <c:v>4.4444444444444446E-2</c:v>
                </c:pt>
                <c:pt idx="5">
                  <c:v>4.0740740740740751E-2</c:v>
                </c:pt>
                <c:pt idx="6">
                  <c:v>2.5925925925925925E-2</c:v>
                </c:pt>
                <c:pt idx="7">
                  <c:v>3.7037037037037035E-2</c:v>
                </c:pt>
                <c:pt idx="11">
                  <c:v>3.7037037037037035E-2</c:v>
                </c:pt>
                <c:pt idx="13">
                  <c:v>2.5999999999999999E-2</c:v>
                </c:pt>
                <c:pt idx="14" formatCode="&quot;(&quot;0.000&quot;)&quot;">
                  <c:v>2.1999999999999999E-2</c:v>
                </c:pt>
                <c:pt idx="15">
                  <c:v>3.6999999999999998E-2</c:v>
                </c:pt>
                <c:pt idx="16">
                  <c:v>3.2000000000000001E-2</c:v>
                </c:pt>
                <c:pt idx="17" formatCode="&quot;(&quot;0.000&quot;)&quot;">
                  <c:v>2.7E-2</c:v>
                </c:pt>
                <c:pt idx="18" formatCode="&quot;(&quot;0.000&quot;)&quot;">
                  <c:v>1.6E-2</c:v>
                </c:pt>
                <c:pt idx="19">
                  <c:v>2.5000000000000001E-2</c:v>
                </c:pt>
                <c:pt idx="20">
                  <c:v>2.3E-2</c:v>
                </c:pt>
                <c:pt idx="21">
                  <c:v>1.7000000000000001E-2</c:v>
                </c:pt>
                <c:pt idx="22">
                  <c:v>2.5000000000000001E-2</c:v>
                </c:pt>
                <c:pt idx="23">
                  <c:v>2.4E-2</c:v>
                </c:pt>
                <c:pt idx="24">
                  <c:v>2.1999999999999999E-2</c:v>
                </c:pt>
                <c:pt idx="25">
                  <c:v>5.7782777392977871E-3</c:v>
                </c:pt>
                <c:pt idx="26" formatCode="&quot;(&quot;0.000&quot;)&quot;">
                  <c:v>2.4E-2</c:v>
                </c:pt>
                <c:pt idx="27">
                  <c:v>5.5188033341686833E-3</c:v>
                </c:pt>
                <c:pt idx="28">
                  <c:v>5.3914268691546662E-3</c:v>
                </c:pt>
                <c:pt idx="29">
                  <c:v>5.2689851099258353E-3</c:v>
                </c:pt>
                <c:pt idx="30">
                  <c:v>5.1444517005111174E-3</c:v>
                </c:pt>
                <c:pt idx="31">
                  <c:v>5.0295230008418597E-3</c:v>
                </c:pt>
                <c:pt idx="32">
                  <c:v>4.9168515292174163E-3</c:v>
                </c:pt>
                <c:pt idx="33" formatCode="&quot;(&quot;0.000&quot;)&quot;">
                  <c:v>2.4E-2</c:v>
                </c:pt>
                <c:pt idx="34">
                  <c:v>4.6966523747792996E-3</c:v>
                </c:pt>
                <c:pt idx="35">
                  <c:v>0.03</c:v>
                </c:pt>
                <c:pt idx="40">
                  <c:v>0.74</c:v>
                </c:pt>
                <c:pt idx="41">
                  <c:v>0.21</c:v>
                </c:pt>
                <c:pt idx="42" formatCode="&quot;(&quot;0.000&quot;)&quot;">
                  <c:v>0.06</c:v>
                </c:pt>
                <c:pt idx="43" formatCode="&quot;(&quot;0.000&quot;)&quot;">
                  <c:v>0.09</c:v>
                </c:pt>
                <c:pt idx="44" formatCode="&quot;(&quot;0.000&quot;)&quot;">
                  <c:v>0.25</c:v>
                </c:pt>
                <c:pt idx="45">
                  <c:v>0.15</c:v>
                </c:pt>
              </c:numCache>
            </c:numRef>
          </c:val>
          <c:smooth val="0"/>
        </c:ser>
        <c:ser>
          <c:idx val="4"/>
          <c:order val="3"/>
          <c:tx>
            <c:strRef>
              <c:f>ほや!$P$101</c:f>
              <c:strCache>
                <c:ptCount val="1"/>
                <c:pt idx="0">
                  <c:v>Cs-134</c:v>
                </c:pt>
              </c:strCache>
            </c:strRef>
          </c:tx>
          <c:spPr>
            <a:ln w="12700">
              <a:solidFill>
                <a:srgbClr val="FF0000"/>
              </a:solidFill>
              <a:prstDash val="sysDot"/>
            </a:ln>
          </c:spPr>
          <c:marker>
            <c:symbol val="triangle"/>
            <c:size val="6"/>
            <c:spPr>
              <a:solidFill>
                <a:srgbClr val="FFFFFF"/>
              </a:solidFill>
              <a:ln>
                <a:solidFill>
                  <a:srgbClr val="FF0000"/>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ほや!$P$102:$P$159</c:f>
              <c:numCache>
                <c:formatCode>0.000</c:formatCode>
                <c:ptCount val="58"/>
                <c:pt idx="0">
                  <c:v>8.0000000000000002E-3</c:v>
                </c:pt>
                <c:pt idx="1">
                  <c:v>6.7351363856119634E-3</c:v>
                </c:pt>
                <c:pt idx="2">
                  <c:v>6.3850439348491642E-3</c:v>
                </c:pt>
                <c:pt idx="3">
                  <c:v>6.1486002356325956E-3</c:v>
                </c:pt>
                <c:pt idx="4">
                  <c:v>4.8090223616263786E-3</c:v>
                </c:pt>
                <c:pt idx="5">
                  <c:v>4.5506653077794831E-3</c:v>
                </c:pt>
                <c:pt idx="6">
                  <c:v>3.3187791984085617E-3</c:v>
                </c:pt>
                <c:pt idx="7">
                  <c:v>2.4004050859695951E-3</c:v>
                </c:pt>
                <c:pt idx="11">
                  <c:v>7.6542821308480677E-3</c:v>
                </c:pt>
                <c:pt idx="13">
                  <c:v>3.9203402514776274E-3</c:v>
                </c:pt>
                <c:pt idx="14">
                  <c:v>2.8069408353241284E-3</c:v>
                </c:pt>
                <c:pt idx="15">
                  <c:v>1.9931751801145208E-3</c:v>
                </c:pt>
                <c:pt idx="16">
                  <c:v>1.4336840686680035E-3</c:v>
                </c:pt>
                <c:pt idx="17">
                  <c:v>1.020856659484457E-3</c:v>
                </c:pt>
                <c:pt idx="18">
                  <c:v>7.2489812771706693E-4</c:v>
                </c:pt>
                <c:pt idx="19">
                  <c:v>5.2141673621257378E-4</c:v>
                </c:pt>
                <c:pt idx="20">
                  <c:v>3.7333135269186337E-4</c:v>
                </c:pt>
                <c:pt idx="21">
                  <c:v>2.6681151214940236E-4</c:v>
                </c:pt>
                <c:pt idx="22">
                  <c:v>1.8963411726766611E-4</c:v>
                </c:pt>
                <c:pt idx="23">
                  <c:v>1.3602707770705142E-4</c:v>
                </c:pt>
                <c:pt idx="24">
                  <c:v>9.7843810299132349E-5</c:v>
                </c:pt>
                <c:pt idx="25">
                  <c:v>6.9605725661798306E-5</c:v>
                </c:pt>
                <c:pt idx="26">
                  <c:v>4.9791448900721748E-5</c:v>
                </c:pt>
                <c:pt idx="27">
                  <c:v>3.5617592662981742E-5</c:v>
                </c:pt>
                <c:pt idx="28">
                  <c:v>2.5338224012880376E-5</c:v>
                </c:pt>
                <c:pt idx="29">
                  <c:v>1.8125331992117876E-5</c:v>
                </c:pt>
                <c:pt idx="30">
                  <c:v>1.2787931268736493E-5</c:v>
                </c:pt>
                <c:pt idx="31">
                  <c:v>9.1983150874653852E-6</c:v>
                </c:pt>
                <c:pt idx="32">
                  <c:v>6.6102300278938269E-6</c:v>
                </c:pt>
                <c:pt idx="33">
                  <c:v>4.7154948651538893E-6</c:v>
                </c:pt>
                <c:pt idx="34">
                  <c:v>3.3887190705714912E-6</c:v>
                </c:pt>
                <c:pt idx="35">
                  <c:v>2.3974468347842182E-6</c:v>
                </c:pt>
                <c:pt idx="40">
                  <c:v>0.37</c:v>
                </c:pt>
                <c:pt idx="41">
                  <c:v>0.1</c:v>
                </c:pt>
                <c:pt idx="42">
                  <c:v>2.7557466717649253E-3</c:v>
                </c:pt>
                <c:pt idx="43">
                  <c:v>2.0171655808426643E-3</c:v>
                </c:pt>
                <c:pt idx="44" formatCode="&quot;(&quot;0.000&quot;)&quot;">
                  <c:v>7.1999999999999995E-2</c:v>
                </c:pt>
                <c:pt idx="45">
                  <c:v>1.020856659484457E-3</c:v>
                </c:pt>
              </c:numCache>
            </c:numRef>
          </c:val>
          <c:smooth val="0"/>
        </c:ser>
        <c:ser>
          <c:idx val="3"/>
          <c:order val="4"/>
          <c:tx>
            <c:strRef>
              <c:f>ほや!$AH$101</c:f>
              <c:strCache>
                <c:ptCount val="1"/>
                <c:pt idx="0">
                  <c:v>Cs134崩壊</c:v>
                </c:pt>
              </c:strCache>
            </c:strRef>
          </c:tx>
          <c:spPr>
            <a:ln w="28575">
              <a:solidFill>
                <a:srgbClr val="FF0000"/>
              </a:solidFill>
              <a:prstDash val="sysDot"/>
            </a:ln>
          </c:spPr>
          <c:marker>
            <c:symbol val="none"/>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ほや!$AH$102:$AH$159</c:f>
              <c:numCache>
                <c:formatCode>0.00</c:formatCode>
                <c:ptCount val="58"/>
                <c:pt idx="0">
                  <c:v>1</c:v>
                </c:pt>
                <c:pt idx="1">
                  <c:v>0.84189204820149544</c:v>
                </c:pt>
                <c:pt idx="2">
                  <c:v>0.79813049185614549</c:v>
                </c:pt>
                <c:pt idx="3">
                  <c:v>0.76857502945407441</c:v>
                </c:pt>
                <c:pt idx="4">
                  <c:v>0.60112779520329729</c:v>
                </c:pt>
                <c:pt idx="5">
                  <c:v>0.5688331634724354</c:v>
                </c:pt>
                <c:pt idx="6">
                  <c:v>0.41484739980107022</c:v>
                </c:pt>
                <c:pt idx="7">
                  <c:v>0.30005063574619939</c:v>
                </c:pt>
                <c:pt idx="8">
                  <c:v>0.22433129892881273</c:v>
                </c:pt>
                <c:pt idx="10">
                  <c:v>1</c:v>
                </c:pt>
                <c:pt idx="11">
                  <c:v>0.95678526635600847</c:v>
                </c:pt>
                <c:pt idx="12">
                  <c:v>0.66701058154015325</c:v>
                </c:pt>
                <c:pt idx="13">
                  <c:v>0.49004253143470344</c:v>
                </c:pt>
                <c:pt idx="14">
                  <c:v>0.35086760441551607</c:v>
                </c:pt>
                <c:pt idx="15">
                  <c:v>0.2491468975143151</c:v>
                </c:pt>
                <c:pt idx="16">
                  <c:v>0.17921050858350043</c:v>
                </c:pt>
                <c:pt idx="17">
                  <c:v>0.12760708243555713</c:v>
                </c:pt>
                <c:pt idx="18">
                  <c:v>9.0612265964633371E-2</c:v>
                </c:pt>
                <c:pt idx="19">
                  <c:v>6.5177092026571723E-2</c:v>
                </c:pt>
                <c:pt idx="20">
                  <c:v>4.6666419086482919E-2</c:v>
                </c:pt>
                <c:pt idx="21">
                  <c:v>3.3351439018675294E-2</c:v>
                </c:pt>
                <c:pt idx="22">
                  <c:v>2.3704264658458263E-2</c:v>
                </c:pt>
                <c:pt idx="23">
                  <c:v>1.7003384713381427E-2</c:v>
                </c:pt>
                <c:pt idx="24">
                  <c:v>1.2230476287391543E-2</c:v>
                </c:pt>
                <c:pt idx="25">
                  <c:v>8.700715707724788E-3</c:v>
                </c:pt>
                <c:pt idx="26">
                  <c:v>6.2239311125902187E-3</c:v>
                </c:pt>
                <c:pt idx="27">
                  <c:v>4.4521990828727178E-3</c:v>
                </c:pt>
                <c:pt idx="28">
                  <c:v>3.1672780016100471E-3</c:v>
                </c:pt>
                <c:pt idx="29">
                  <c:v>2.2656664990147344E-3</c:v>
                </c:pt>
                <c:pt idx="30">
                  <c:v>1.5984914085920615E-3</c:v>
                </c:pt>
                <c:pt idx="31">
                  <c:v>1.149789385933173E-3</c:v>
                </c:pt>
                <c:pt idx="32">
                  <c:v>8.2627875348672837E-4</c:v>
                </c:pt>
                <c:pt idx="33">
                  <c:v>5.8943685814423616E-4</c:v>
                </c:pt>
                <c:pt idx="34">
                  <c:v>4.2358988382143638E-4</c:v>
                </c:pt>
                <c:pt idx="35">
                  <c:v>2.9885457120433479E-4</c:v>
                </c:pt>
                <c:pt idx="36">
                  <c:v>2.3417462796115863E-4</c:v>
                </c:pt>
                <c:pt idx="38">
                  <c:v>1</c:v>
                </c:pt>
                <c:pt idx="39">
                  <c:v>0.92730955519004921</c:v>
                </c:pt>
                <c:pt idx="40">
                  <c:v>0.55487231002691573</c:v>
                </c:pt>
                <c:pt idx="41">
                  <c:v>0.46542602810163175</c:v>
                </c:pt>
                <c:pt idx="42">
                  <c:v>0.33912080348089479</c:v>
                </c:pt>
                <c:pt idx="43">
                  <c:v>0.24960591929007628</c:v>
                </c:pt>
                <c:pt idx="44">
                  <c:v>0.17838773059651036</c:v>
                </c:pt>
                <c:pt idx="45">
                  <c:v>0.12748969462695886</c:v>
                </c:pt>
              </c:numCache>
            </c:numRef>
          </c:val>
          <c:smooth val="0"/>
        </c:ser>
        <c:ser>
          <c:idx val="5"/>
          <c:order val="5"/>
          <c:tx>
            <c:strRef>
              <c:f>ほや!$AI$101</c:f>
              <c:strCache>
                <c:ptCount val="1"/>
                <c:pt idx="0">
                  <c:v>Be7崩壊</c:v>
                </c:pt>
              </c:strCache>
            </c:strRef>
          </c:tx>
          <c:spPr>
            <a:ln w="28575">
              <a:solidFill>
                <a:srgbClr val="0066FF"/>
              </a:solidFill>
              <a:prstDash val="sysDot"/>
            </a:ln>
          </c:spPr>
          <c:marker>
            <c:symbol val="none"/>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ほや!$AI$102:$AI$159</c:f>
              <c:numCache>
                <c:formatCode>0.00</c:formatCode>
                <c:ptCount val="58"/>
                <c:pt idx="0">
                  <c:v>10</c:v>
                </c:pt>
                <c:pt idx="1">
                  <c:v>0.87831685267523607</c:v>
                </c:pt>
                <c:pt idx="2">
                  <c:v>0.41306046065098256</c:v>
                </c:pt>
                <c:pt idx="3">
                  <c:v>0.24233031223123352</c:v>
                </c:pt>
                <c:pt idx="4">
                  <c:v>7.5187395203751301E-3</c:v>
                </c:pt>
                <c:pt idx="5">
                  <c:v>3.4451616214297319E-3</c:v>
                </c:pt>
                <c:pt idx="6">
                  <c:v>3.9776693203886132E-5</c:v>
                </c:pt>
                <c:pt idx="7">
                  <c:v>4.0851446114355073E-7</c:v>
                </c:pt>
                <c:pt idx="8">
                  <c:v>6.7011209606608746E-9</c:v>
                </c:pt>
                <c:pt idx="10">
                  <c:v>6.529044211053326E-9</c:v>
                </c:pt>
                <c:pt idx="11">
                  <c:v>3.4970453023750553E-9</c:v>
                </c:pt>
                <c:pt idx="12">
                  <c:v>2.1346322106841574E-11</c:v>
                </c:pt>
                <c:pt idx="13">
                  <c:v>2.734850088383865E-13</c:v>
                </c:pt>
                <c:pt idx="14">
                  <c:v>2.4343001217209167E-15</c:v>
                </c:pt>
                <c:pt idx="15">
                  <c:v>1.9274112982916104E-17</c:v>
                </c:pt>
                <c:pt idx="16">
                  <c:v>1.830878883698806E-19</c:v>
                </c:pt>
                <c:pt idx="17">
                  <c:v>1.5073241847638898E-21</c:v>
                </c:pt>
                <c:pt idx="18">
                  <c:v>1.1934574697586231E-23</c:v>
                </c:pt>
                <c:pt idx="19">
                  <c:v>1.1336843785809644E-25</c:v>
                </c:pt>
                <c:pt idx="20">
                  <c:v>1.0090966347642036E-27</c:v>
                </c:pt>
                <c:pt idx="21">
                  <c:v>8.7513591093506561E-30</c:v>
                </c:pt>
                <c:pt idx="22">
                  <c:v>7.0197995164050859E-32</c:v>
                </c:pt>
                <c:pt idx="23">
                  <c:v>6.4130282405712216E-34</c:v>
                </c:pt>
                <c:pt idx="24">
                  <c:v>6.0918383100863173E-36</c:v>
                </c:pt>
                <c:pt idx="25">
                  <c:v>4.9504707105423924E-38</c:v>
                </c:pt>
                <c:pt idx="26">
                  <c:v>4.3494882989103179E-40</c:v>
                </c:pt>
                <c:pt idx="27">
                  <c:v>3.8214645775137804E-42</c:v>
                </c:pt>
                <c:pt idx="28">
                  <c:v>3.1054744888804245E-44</c:v>
                </c:pt>
                <c:pt idx="29">
                  <c:v>2.7284728547499703E-46</c:v>
                </c:pt>
                <c:pt idx="30">
                  <c:v>1.9723203203889178E-48</c:v>
                </c:pt>
                <c:pt idx="31">
                  <c:v>1.8735386835652785E-50</c:v>
                </c:pt>
                <c:pt idx="32">
                  <c:v>1.7567054793938009E-52</c:v>
                </c:pt>
                <c:pt idx="33">
                  <c:v>1.4843757661465518E-54</c:v>
                </c:pt>
                <c:pt idx="34">
                  <c:v>1.3918106227232328E-56</c:v>
                </c:pt>
                <c:pt idx="35">
                  <c:v>1.0060926091133049E-58</c:v>
                </c:pt>
                <c:pt idx="36">
                  <c:v>3.203856855407417E-60</c:v>
                </c:pt>
                <c:pt idx="38">
                  <c:v>3.121585653749814E-60</c:v>
                </c:pt>
                <c:pt idx="39">
                  <c:v>1.0743937908808143E-60</c:v>
                </c:pt>
                <c:pt idx="40">
                  <c:v>7.5694427611590807E-64</c:v>
                </c:pt>
                <c:pt idx="41">
                  <c:v>6.3113087900890713E-65</c:v>
                </c:pt>
                <c:pt idx="42">
                  <c:v>7.1926608074639982E-67</c:v>
                </c:pt>
                <c:pt idx="43">
                  <c:v>9.4579691936639017E-69</c:v>
                </c:pt>
                <c:pt idx="44">
                  <c:v>8.2023943007471985E-71</c:v>
                </c:pt>
                <c:pt idx="45">
                  <c:v>7.1135008887531647E-73</c:v>
                </c:pt>
              </c:numCache>
            </c:numRef>
          </c:val>
          <c:smooth val="0"/>
        </c:ser>
        <c:dLbls>
          <c:showLegendKey val="0"/>
          <c:showVal val="0"/>
          <c:showCatName val="0"/>
          <c:showSerName val="0"/>
          <c:showPercent val="0"/>
          <c:showBubbleSize val="0"/>
        </c:dLbls>
        <c:marker val="1"/>
        <c:smooth val="0"/>
        <c:axId val="248754176"/>
        <c:axId val="248755712"/>
      </c:lineChart>
      <c:dateAx>
        <c:axId val="248754176"/>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8755712"/>
        <c:crossesAt val="1.0000000000000002E-3"/>
        <c:auto val="0"/>
        <c:lblOffset val="100"/>
        <c:baseTimeUnit val="days"/>
        <c:majorUnit val="24"/>
        <c:majorTimeUnit val="months"/>
        <c:minorUnit val="3"/>
        <c:minorTimeUnit val="months"/>
      </c:dateAx>
      <c:valAx>
        <c:axId val="248755712"/>
        <c:scaling>
          <c:logBase val="10"/>
          <c:orientation val="minMax"/>
          <c:min val="1.0000000000000002E-3"/>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a:t>
                </a:r>
              </a:p>
            </c:rich>
          </c:tx>
          <c:layout>
            <c:manualLayout>
              <c:xMode val="edge"/>
              <c:yMode val="edge"/>
              <c:x val="7.5642965204236008E-3"/>
              <c:y val="0.41496741478743726"/>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8754176"/>
        <c:crosses val="autoZero"/>
        <c:crossBetween val="between"/>
        <c:minorUnit val="10"/>
      </c:valAx>
      <c:spPr>
        <a:noFill/>
        <a:ln w="12700">
          <a:solidFill>
            <a:srgbClr val="808080"/>
          </a:solidFill>
          <a:prstDash val="solid"/>
        </a:ln>
      </c:spPr>
    </c:plotArea>
    <c:legend>
      <c:legendPos val="r"/>
      <c:layout>
        <c:manualLayout>
          <c:xMode val="edge"/>
          <c:yMode val="edge"/>
          <c:x val="0.29456808065406348"/>
          <c:y val="2.9716811714325187E-3"/>
          <c:w val="0.59172245183072358"/>
          <c:h val="0.11169858647088025"/>
        </c:manualLayout>
      </c:layout>
      <c:overlay val="0"/>
      <c:spPr>
        <a:solidFill>
          <a:srgbClr val="FFFFFF"/>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2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ほやのCa濃度</a:t>
            </a:r>
          </a:p>
        </c:rich>
      </c:tx>
      <c:layout>
        <c:manualLayout>
          <c:xMode val="edge"/>
          <c:yMode val="edge"/>
          <c:x val="0.25322582936705262"/>
          <c:y val="0.1860469521683242"/>
        </c:manualLayout>
      </c:layout>
      <c:overlay val="0"/>
      <c:spPr>
        <a:solidFill>
          <a:srgbClr val="FFFFFF"/>
        </a:solidFill>
        <a:ln w="25400">
          <a:noFill/>
        </a:ln>
      </c:spPr>
    </c:title>
    <c:autoTitleDeleted val="0"/>
    <c:plotArea>
      <c:layout>
        <c:manualLayout>
          <c:layoutTarget val="inner"/>
          <c:xMode val="edge"/>
          <c:yMode val="edge"/>
          <c:x val="8.0034491365812713E-2"/>
          <c:y val="5.9479553903345722E-2"/>
          <c:w val="0.89630007488257046"/>
          <c:h val="0.80669144981412644"/>
        </c:manualLayout>
      </c:layout>
      <c:lineChart>
        <c:grouping val="standard"/>
        <c:varyColors val="0"/>
        <c:ser>
          <c:idx val="1"/>
          <c:order val="0"/>
          <c:tx>
            <c:strRef>
              <c:f>ほや!$C$100</c:f>
              <c:strCache>
                <c:ptCount val="1"/>
                <c:pt idx="0">
                  <c:v>小屋取(県)</c:v>
                </c:pt>
              </c:strCache>
            </c:strRef>
          </c:tx>
          <c:spPr>
            <a:ln w="12700">
              <a:solidFill>
                <a:srgbClr val="000080"/>
              </a:solidFill>
              <a:prstDash val="solid"/>
            </a:ln>
          </c:spPr>
          <c:marker>
            <c:symbol val="square"/>
            <c:size val="5"/>
            <c:spPr>
              <a:noFill/>
              <a:ln>
                <a:solidFill>
                  <a:srgbClr val="000080"/>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ほや!$H$102:$H$159</c:f>
              <c:numCache>
                <c:formatCode>0.00</c:formatCode>
                <c:ptCount val="58"/>
                <c:pt idx="3">
                  <c:v>0.2</c:v>
                </c:pt>
                <c:pt idx="5">
                  <c:v>0.2</c:v>
                </c:pt>
                <c:pt idx="6">
                  <c:v>0.2</c:v>
                </c:pt>
                <c:pt idx="7">
                  <c:v>0.2</c:v>
                </c:pt>
                <c:pt idx="11">
                  <c:v>0.16</c:v>
                </c:pt>
                <c:pt idx="13">
                  <c:v>0.27</c:v>
                </c:pt>
                <c:pt idx="14">
                  <c:v>0.21</c:v>
                </c:pt>
                <c:pt idx="15">
                  <c:v>0.25</c:v>
                </c:pt>
                <c:pt idx="16">
                  <c:v>0.22</c:v>
                </c:pt>
                <c:pt idx="17">
                  <c:v>0.26</c:v>
                </c:pt>
                <c:pt idx="18">
                  <c:v>0.21</c:v>
                </c:pt>
                <c:pt idx="19">
                  <c:v>0.23</c:v>
                </c:pt>
                <c:pt idx="20">
                  <c:v>0.21</c:v>
                </c:pt>
                <c:pt idx="21">
                  <c:v>0.22</c:v>
                </c:pt>
                <c:pt idx="22">
                  <c:v>0.21</c:v>
                </c:pt>
                <c:pt idx="23">
                  <c:v>0.33</c:v>
                </c:pt>
                <c:pt idx="24">
                  <c:v>0.49</c:v>
                </c:pt>
                <c:pt idx="25">
                  <c:v>0.25</c:v>
                </c:pt>
                <c:pt idx="26">
                  <c:v>0.27</c:v>
                </c:pt>
                <c:pt idx="27">
                  <c:v>0.25</c:v>
                </c:pt>
                <c:pt idx="28">
                  <c:v>0.21</c:v>
                </c:pt>
                <c:pt idx="29">
                  <c:v>0.23</c:v>
                </c:pt>
                <c:pt idx="30">
                  <c:v>0.32</c:v>
                </c:pt>
                <c:pt idx="31">
                  <c:v>0.14000000000000001</c:v>
                </c:pt>
                <c:pt idx="32">
                  <c:v>0.21</c:v>
                </c:pt>
                <c:pt idx="33">
                  <c:v>0.19</c:v>
                </c:pt>
                <c:pt idx="34">
                  <c:v>0.28999999999999998</c:v>
                </c:pt>
                <c:pt idx="35">
                  <c:v>0.23</c:v>
                </c:pt>
                <c:pt idx="40">
                  <c:v>0.41</c:v>
                </c:pt>
                <c:pt idx="41">
                  <c:v>0.27</c:v>
                </c:pt>
                <c:pt idx="42">
                  <c:v>0.32</c:v>
                </c:pt>
                <c:pt idx="43">
                  <c:v>0.28999999999999998</c:v>
                </c:pt>
                <c:pt idx="44">
                  <c:v>0.27</c:v>
                </c:pt>
                <c:pt idx="45">
                  <c:v>0.32</c:v>
                </c:pt>
              </c:numCache>
            </c:numRef>
          </c:val>
          <c:smooth val="0"/>
        </c:ser>
        <c:ser>
          <c:idx val="2"/>
          <c:order val="1"/>
          <c:tx>
            <c:strRef>
              <c:f>ほや!$N$100</c:f>
              <c:strCache>
                <c:ptCount val="1"/>
                <c:pt idx="0">
                  <c:v>塚浜</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ほや!$S$102:$S$159</c:f>
              <c:numCache>
                <c:formatCode>0</c:formatCode>
                <c:ptCount val="58"/>
                <c:pt idx="3" formatCode="0.00">
                  <c:v>0.2</c:v>
                </c:pt>
                <c:pt idx="5" formatCode="0.00">
                  <c:v>0.2</c:v>
                </c:pt>
                <c:pt idx="6" formatCode="0.00">
                  <c:v>0.2</c:v>
                </c:pt>
                <c:pt idx="7" formatCode="0.00">
                  <c:v>0.18</c:v>
                </c:pt>
              </c:numCache>
            </c:numRef>
          </c:val>
          <c:smooth val="0"/>
        </c:ser>
        <c:ser>
          <c:idx val="3"/>
          <c:order val="2"/>
          <c:tx>
            <c:strRef>
              <c:f>ほや!$Y$100</c:f>
              <c:strCache>
                <c:ptCount val="1"/>
                <c:pt idx="0">
                  <c:v>塚浜h25~←小屋取(電力)</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ほや!$AD$102:$AD$159</c:f>
              <c:numCache>
                <c:formatCode>0.00</c:formatCode>
                <c:ptCount val="58"/>
                <c:pt idx="7">
                  <c:v>0.23</c:v>
                </c:pt>
                <c:pt idx="11">
                  <c:v>0.18</c:v>
                </c:pt>
                <c:pt idx="12">
                  <c:v>0.2</c:v>
                </c:pt>
                <c:pt idx="13">
                  <c:v>0.1</c:v>
                </c:pt>
                <c:pt idx="14">
                  <c:v>0.2</c:v>
                </c:pt>
                <c:pt idx="15">
                  <c:v>7.5999999999999998E-2</c:v>
                </c:pt>
                <c:pt idx="16">
                  <c:v>0.1</c:v>
                </c:pt>
                <c:pt idx="17">
                  <c:v>7.0000000000000007E-2</c:v>
                </c:pt>
                <c:pt idx="18">
                  <c:v>0.2</c:v>
                </c:pt>
                <c:pt idx="19">
                  <c:v>0.2</c:v>
                </c:pt>
                <c:pt idx="20">
                  <c:v>0.2</c:v>
                </c:pt>
                <c:pt idx="21">
                  <c:v>0.3</c:v>
                </c:pt>
                <c:pt idx="22">
                  <c:v>0.2</c:v>
                </c:pt>
                <c:pt idx="23">
                  <c:v>0.17</c:v>
                </c:pt>
                <c:pt idx="24">
                  <c:v>0.16</c:v>
                </c:pt>
                <c:pt idx="25">
                  <c:v>0.17</c:v>
                </c:pt>
                <c:pt idx="26">
                  <c:v>0.16</c:v>
                </c:pt>
                <c:pt idx="27">
                  <c:v>0.14000000000000001</c:v>
                </c:pt>
                <c:pt idx="28">
                  <c:v>0.26</c:v>
                </c:pt>
                <c:pt idx="29">
                  <c:v>0.21</c:v>
                </c:pt>
                <c:pt idx="30">
                  <c:v>0.18</c:v>
                </c:pt>
                <c:pt idx="31">
                  <c:v>0.19</c:v>
                </c:pt>
                <c:pt idx="32">
                  <c:v>0.23</c:v>
                </c:pt>
                <c:pt idx="33">
                  <c:v>0.18</c:v>
                </c:pt>
                <c:pt idx="34">
                  <c:v>0.22</c:v>
                </c:pt>
                <c:pt idx="35">
                  <c:v>0.31</c:v>
                </c:pt>
                <c:pt idx="41">
                  <c:v>0.26</c:v>
                </c:pt>
                <c:pt idx="42">
                  <c:v>0.28000000000000003</c:v>
                </c:pt>
                <c:pt idx="43">
                  <c:v>0.2</c:v>
                </c:pt>
                <c:pt idx="44">
                  <c:v>0.25</c:v>
                </c:pt>
                <c:pt idx="45">
                  <c:v>0.18</c:v>
                </c:pt>
              </c:numCache>
            </c:numRef>
          </c:val>
          <c:smooth val="0"/>
        </c:ser>
        <c:dLbls>
          <c:showLegendKey val="0"/>
          <c:showVal val="0"/>
          <c:showCatName val="0"/>
          <c:showSerName val="0"/>
          <c:showPercent val="0"/>
          <c:showBubbleSize val="0"/>
        </c:dLbls>
        <c:marker val="1"/>
        <c:smooth val="0"/>
        <c:axId val="254697472"/>
        <c:axId val="254699392"/>
      </c:lineChart>
      <c:dateAx>
        <c:axId val="254697472"/>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54699392"/>
        <c:crossesAt val="0.01"/>
        <c:auto val="0"/>
        <c:lblOffset val="100"/>
        <c:baseTimeUnit val="days"/>
        <c:majorUnit val="24"/>
        <c:majorTimeUnit val="months"/>
        <c:minorUnit val="1"/>
        <c:minorTimeUnit val="months"/>
      </c:dateAx>
      <c:valAx>
        <c:axId val="254699392"/>
        <c:scaling>
          <c:orientation val="minMax"/>
        </c:scaling>
        <c:delete val="0"/>
        <c:axPos val="l"/>
        <c:majorGridlines>
          <c:spPr>
            <a:ln w="3175">
              <a:solidFill>
                <a:schemeClr val="bg1">
                  <a:lumMod val="85000"/>
                </a:schemeClr>
              </a:solid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Meiryo UI"/>
                    <a:ea typeface="Meiryo UI"/>
                  </a:rPr>
                  <a:t>Bq/kg生</a:t>
                </a:r>
              </a:p>
            </c:rich>
          </c:tx>
          <c:layout>
            <c:manualLayout>
              <c:xMode val="edge"/>
              <c:yMode val="edge"/>
              <c:x val="8.0645161290322578E-3"/>
              <c:y val="7.8066914498141265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54697472"/>
        <c:crosses val="autoZero"/>
        <c:crossBetween val="midCat"/>
      </c:valAx>
      <c:spPr>
        <a:solidFill>
          <a:srgbClr val="FFFFFF"/>
        </a:solidFill>
        <a:ln w="12700">
          <a:solidFill>
            <a:srgbClr val="808080"/>
          </a:solidFill>
          <a:prstDash val="solid"/>
        </a:ln>
      </c:spPr>
    </c:plotArea>
    <c:legend>
      <c:legendPos val="r"/>
      <c:layout>
        <c:manualLayout>
          <c:xMode val="edge"/>
          <c:yMode val="edge"/>
          <c:x val="0.66053364405682469"/>
          <c:y val="5.7234584807333864E-2"/>
          <c:w val="0.333014763289118"/>
          <c:h val="0.17324850698010574"/>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ほや (小屋取/県</a:t>
            </a:r>
            <a:r>
              <a:rPr lang="en-US" altLang="ja-JP" sz="1200" b="0" i="0" u="none" strike="noStrike" baseline="0">
                <a:solidFill>
                  <a:srgbClr val="000000"/>
                </a:solidFill>
                <a:latin typeface="Meiryo UI"/>
                <a:ea typeface="Meiryo UI"/>
              </a:rPr>
              <a:t>)</a:t>
            </a:r>
            <a:endParaRPr lang="ja-JP" altLang="en-US" sz="1200" b="0" i="0" u="none" strike="noStrike" baseline="0">
              <a:solidFill>
                <a:srgbClr val="000000"/>
              </a:solidFill>
              <a:latin typeface="Meiryo UI"/>
              <a:ea typeface="Meiryo UI"/>
            </a:endParaRPr>
          </a:p>
        </c:rich>
      </c:tx>
      <c:layout>
        <c:manualLayout>
          <c:xMode val="edge"/>
          <c:yMode val="edge"/>
          <c:x val="0.19620663869572422"/>
          <c:y val="0.5092392361111111"/>
        </c:manualLayout>
      </c:layout>
      <c:overlay val="0"/>
      <c:spPr>
        <a:solidFill>
          <a:srgbClr val="FFFFFF"/>
        </a:solidFill>
        <a:ln w="25400">
          <a:noFill/>
        </a:ln>
      </c:spPr>
    </c:title>
    <c:autoTitleDeleted val="0"/>
    <c:plotArea>
      <c:layout>
        <c:manualLayout>
          <c:layoutTarget val="inner"/>
          <c:xMode val="edge"/>
          <c:yMode val="edge"/>
          <c:x val="6.7975830815709973E-2"/>
          <c:y val="5.8181818181818182E-2"/>
          <c:w val="0.90481362007168453"/>
          <c:h val="0.81322916666666667"/>
        </c:manualLayout>
      </c:layout>
      <c:lineChart>
        <c:grouping val="standard"/>
        <c:varyColors val="0"/>
        <c:ser>
          <c:idx val="1"/>
          <c:order val="0"/>
          <c:tx>
            <c:strRef>
              <c:f>ほや!$D$101</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ほや!$D$102:$D$159</c:f>
              <c:numCache>
                <c:formatCode>0_);[Red]\(0\)</c:formatCode>
                <c:ptCount val="58"/>
                <c:pt idx="0">
                  <c:v>108.14814814814815</c:v>
                </c:pt>
                <c:pt idx="1">
                  <c:v>88.148148148148152</c:v>
                </c:pt>
                <c:pt idx="2">
                  <c:v>134.44444444444446</c:v>
                </c:pt>
                <c:pt idx="3">
                  <c:v>87.037037037037038</c:v>
                </c:pt>
                <c:pt idx="5">
                  <c:v>101.48148148148148</c:v>
                </c:pt>
                <c:pt idx="6">
                  <c:v>74.81481481481481</c:v>
                </c:pt>
                <c:pt idx="7">
                  <c:v>87.777777777777771</c:v>
                </c:pt>
                <c:pt idx="11">
                  <c:v>94.074074074074076</c:v>
                </c:pt>
                <c:pt idx="13">
                  <c:v>86.6</c:v>
                </c:pt>
                <c:pt idx="14">
                  <c:v>87.2</c:v>
                </c:pt>
                <c:pt idx="15">
                  <c:v>86.3</c:v>
                </c:pt>
                <c:pt idx="16">
                  <c:v>87.4</c:v>
                </c:pt>
                <c:pt idx="17">
                  <c:v>88.2</c:v>
                </c:pt>
                <c:pt idx="18">
                  <c:v>88.4</c:v>
                </c:pt>
                <c:pt idx="19">
                  <c:v>94</c:v>
                </c:pt>
                <c:pt idx="20">
                  <c:v>87.9</c:v>
                </c:pt>
                <c:pt idx="21">
                  <c:v>87.1</c:v>
                </c:pt>
                <c:pt idx="22">
                  <c:v>86.6</c:v>
                </c:pt>
                <c:pt idx="23">
                  <c:v>84.6</c:v>
                </c:pt>
                <c:pt idx="24">
                  <c:v>89.9</c:v>
                </c:pt>
                <c:pt idx="25">
                  <c:v>86.4</c:v>
                </c:pt>
                <c:pt idx="26">
                  <c:v>96.7</c:v>
                </c:pt>
                <c:pt idx="27">
                  <c:v>84.1</c:v>
                </c:pt>
                <c:pt idx="28">
                  <c:v>110.6</c:v>
                </c:pt>
                <c:pt idx="29">
                  <c:v>95.1</c:v>
                </c:pt>
                <c:pt idx="30">
                  <c:v>85.6</c:v>
                </c:pt>
                <c:pt idx="31">
                  <c:v>83.4</c:v>
                </c:pt>
                <c:pt idx="32">
                  <c:v>77.3</c:v>
                </c:pt>
                <c:pt idx="33">
                  <c:v>98.6</c:v>
                </c:pt>
                <c:pt idx="34">
                  <c:v>90.3</c:v>
                </c:pt>
                <c:pt idx="35">
                  <c:v>82.6</c:v>
                </c:pt>
                <c:pt idx="40">
                  <c:v>92</c:v>
                </c:pt>
                <c:pt idx="41">
                  <c:v>92.4</c:v>
                </c:pt>
                <c:pt idx="42">
                  <c:v>90.6</c:v>
                </c:pt>
                <c:pt idx="43">
                  <c:v>80.599999999999994</c:v>
                </c:pt>
                <c:pt idx="44">
                  <c:v>87.2</c:v>
                </c:pt>
                <c:pt idx="45">
                  <c:v>79.2</c:v>
                </c:pt>
              </c:numCache>
            </c:numRef>
          </c:val>
          <c:smooth val="0"/>
        </c:ser>
        <c:ser>
          <c:idx val="0"/>
          <c:order val="1"/>
          <c:tx>
            <c:strRef>
              <c:f>ほや!$C$101</c:f>
              <c:strCache>
                <c:ptCount val="1"/>
                <c:pt idx="0">
                  <c:v>Be-7</c:v>
                </c:pt>
              </c:strCache>
            </c:strRef>
          </c:tx>
          <c:spPr>
            <a:ln w="0">
              <a:solidFill>
                <a:srgbClr val="0066FF"/>
              </a:solidFill>
              <a:prstDash val="sysDash"/>
            </a:ln>
          </c:spPr>
          <c:marker>
            <c:symbol val="circle"/>
            <c:size val="5"/>
            <c:spPr>
              <a:solidFill>
                <a:srgbClr val="FFFFFF"/>
              </a:solidFill>
              <a:ln>
                <a:solidFill>
                  <a:srgbClr val="0066FF"/>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ほや!$C$102:$C$159</c:f>
              <c:numCache>
                <c:formatCode>0.0</c:formatCode>
                <c:ptCount val="58"/>
                <c:pt idx="0">
                  <c:v>3.5555555555555554</c:v>
                </c:pt>
                <c:pt idx="1">
                  <c:v>5.4444444444444446</c:v>
                </c:pt>
                <c:pt idx="2">
                  <c:v>2.7037037037037037</c:v>
                </c:pt>
                <c:pt idx="3">
                  <c:v>5.4444444444444446</c:v>
                </c:pt>
                <c:pt idx="5">
                  <c:v>7.8148148148148149</c:v>
                </c:pt>
                <c:pt idx="6">
                  <c:v>6.8148148148148149</c:v>
                </c:pt>
                <c:pt idx="7">
                  <c:v>9.518518518518519</c:v>
                </c:pt>
                <c:pt idx="11">
                  <c:v>6.8518518518518521</c:v>
                </c:pt>
                <c:pt idx="13">
                  <c:v>12</c:v>
                </c:pt>
                <c:pt idx="14">
                  <c:v>9.9</c:v>
                </c:pt>
                <c:pt idx="15">
                  <c:v>3.5</c:v>
                </c:pt>
                <c:pt idx="16">
                  <c:v>8.6</c:v>
                </c:pt>
                <c:pt idx="17">
                  <c:v>10</c:v>
                </c:pt>
                <c:pt idx="18">
                  <c:v>9.1999999999999993</c:v>
                </c:pt>
                <c:pt idx="19">
                  <c:v>8.1999999999999993</c:v>
                </c:pt>
                <c:pt idx="20">
                  <c:v>20</c:v>
                </c:pt>
                <c:pt idx="21">
                  <c:v>6.9</c:v>
                </c:pt>
                <c:pt idx="22">
                  <c:v>11.8</c:v>
                </c:pt>
                <c:pt idx="23">
                  <c:v>15.9</c:v>
                </c:pt>
                <c:pt idx="24">
                  <c:v>10.8</c:v>
                </c:pt>
                <c:pt idx="25">
                  <c:v>11.5</c:v>
                </c:pt>
                <c:pt idx="26">
                  <c:v>9.3000000000000007</c:v>
                </c:pt>
                <c:pt idx="27">
                  <c:v>11.1</c:v>
                </c:pt>
                <c:pt idx="28">
                  <c:v>4.5</c:v>
                </c:pt>
                <c:pt idx="29">
                  <c:v>11.6</c:v>
                </c:pt>
                <c:pt idx="30">
                  <c:v>16.2</c:v>
                </c:pt>
                <c:pt idx="31">
                  <c:v>11.1</c:v>
                </c:pt>
                <c:pt idx="32">
                  <c:v>13.9</c:v>
                </c:pt>
                <c:pt idx="33">
                  <c:v>12</c:v>
                </c:pt>
                <c:pt idx="34">
                  <c:v>14.2</c:v>
                </c:pt>
                <c:pt idx="35">
                  <c:v>14.6</c:v>
                </c:pt>
                <c:pt idx="40" formatCode="&quot;(&quot;0&quot;)&quot;">
                  <c:v>9.1</c:v>
                </c:pt>
                <c:pt idx="41">
                  <c:v>7.6</c:v>
                </c:pt>
                <c:pt idx="42">
                  <c:v>5.9</c:v>
                </c:pt>
                <c:pt idx="43">
                  <c:v>7</c:v>
                </c:pt>
                <c:pt idx="44">
                  <c:v>8.6</c:v>
                </c:pt>
                <c:pt idx="45">
                  <c:v>11.6</c:v>
                </c:pt>
              </c:numCache>
            </c:numRef>
          </c:val>
          <c:smooth val="0"/>
        </c:ser>
        <c:ser>
          <c:idx val="2"/>
          <c:order val="2"/>
          <c:tx>
            <c:strRef>
              <c:f>ほや!$F$101</c:f>
              <c:strCache>
                <c:ptCount val="1"/>
                <c:pt idx="0">
                  <c:v>Cs-137</c:v>
                </c:pt>
              </c:strCache>
            </c:strRef>
          </c:tx>
          <c:spPr>
            <a:ln w="12700">
              <a:solidFill>
                <a:srgbClr val="FF0000"/>
              </a:solidFill>
              <a:prstDash val="sysDash"/>
            </a:ln>
          </c:spPr>
          <c:marker>
            <c:symbol val="triangle"/>
            <c:size val="6"/>
            <c:spPr>
              <a:solidFill>
                <a:srgbClr val="FF0000"/>
              </a:solidFill>
              <a:ln>
                <a:solidFill>
                  <a:srgbClr val="FF0000"/>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ほや!$F$102:$F$159</c:f>
              <c:numCache>
                <c:formatCode>0.000</c:formatCode>
                <c:ptCount val="58"/>
                <c:pt idx="0">
                  <c:v>5.9259259259259262E-2</c:v>
                </c:pt>
                <c:pt idx="1">
                  <c:v>2.9629629629629631E-2</c:v>
                </c:pt>
                <c:pt idx="2" formatCode="&quot;(&quot;0.000&quot;)&quot;">
                  <c:v>2.5925925925925925E-2</c:v>
                </c:pt>
                <c:pt idx="3">
                  <c:v>7.407407407407407E-2</c:v>
                </c:pt>
                <c:pt idx="5">
                  <c:v>5.5555555555555552E-2</c:v>
                </c:pt>
                <c:pt idx="6">
                  <c:v>1.8518518518518517E-2</c:v>
                </c:pt>
                <c:pt idx="7">
                  <c:v>2.5925925925925925E-2</c:v>
                </c:pt>
                <c:pt idx="11">
                  <c:v>7.7777777777777779E-2</c:v>
                </c:pt>
                <c:pt idx="13">
                  <c:v>5.1999999999999998E-2</c:v>
                </c:pt>
                <c:pt idx="14" formatCode="&quot;(&quot;0.000&quot;)&quot;">
                  <c:v>2.3E-2</c:v>
                </c:pt>
                <c:pt idx="15">
                  <c:v>3.4000000000000002E-2</c:v>
                </c:pt>
                <c:pt idx="16" formatCode="&quot;(&quot;0.000&quot;)&quot;">
                  <c:v>1.7999999999999999E-2</c:v>
                </c:pt>
                <c:pt idx="17">
                  <c:v>2.8000000000000001E-2</c:v>
                </c:pt>
                <c:pt idx="18" formatCode="&quot;(&quot;0.000&quot;)&quot;">
                  <c:v>1.9E-2</c:v>
                </c:pt>
                <c:pt idx="19">
                  <c:v>4.1000000000000002E-2</c:v>
                </c:pt>
                <c:pt idx="20">
                  <c:v>2.3E-2</c:v>
                </c:pt>
                <c:pt idx="21">
                  <c:v>1.7000000000000001E-2</c:v>
                </c:pt>
                <c:pt idx="22">
                  <c:v>3.1E-2</c:v>
                </c:pt>
                <c:pt idx="23">
                  <c:v>6.8061956663618807E-3</c:v>
                </c:pt>
                <c:pt idx="24">
                  <c:v>2.5000000000000001E-2</c:v>
                </c:pt>
                <c:pt idx="25">
                  <c:v>6.5005624567100097E-3</c:v>
                </c:pt>
                <c:pt idx="26">
                  <c:v>6.3529317232338357E-3</c:v>
                </c:pt>
                <c:pt idx="27">
                  <c:v>6.2086537509397676E-3</c:v>
                </c:pt>
                <c:pt idx="28" formatCode="&quot;(&quot;0.000&quot;)&quot;">
                  <c:v>3.4000000000000002E-2</c:v>
                </c:pt>
                <c:pt idx="29" formatCode="&quot;(&quot;0.000&quot;)&quot;">
                  <c:v>2.5000000000000001E-2</c:v>
                </c:pt>
                <c:pt idx="30">
                  <c:v>5.7875081630750069E-3</c:v>
                </c:pt>
                <c:pt idx="31" formatCode="&quot;(&quot;0.000&quot;)&quot;">
                  <c:v>1.9E-2</c:v>
                </c:pt>
                <c:pt idx="32">
                  <c:v>2.1000000000000001E-2</c:v>
                </c:pt>
                <c:pt idx="33" formatCode="&quot;(&quot;0.000&quot;)&quot;">
                  <c:v>2.3E-2</c:v>
                </c:pt>
                <c:pt idx="34">
                  <c:v>5.2837339216267112E-3</c:v>
                </c:pt>
                <c:pt idx="35">
                  <c:v>5.158851921398467E-3</c:v>
                </c:pt>
                <c:pt idx="40">
                  <c:v>0.3</c:v>
                </c:pt>
                <c:pt idx="41">
                  <c:v>0.1</c:v>
                </c:pt>
                <c:pt idx="42" formatCode="&quot;(&quot;0.000&quot;)&quot;">
                  <c:v>6.8000000000000005E-2</c:v>
                </c:pt>
                <c:pt idx="43">
                  <c:v>8.1829570199305705E-3</c:v>
                </c:pt>
                <c:pt idx="44" formatCode="&quot;(&quot;0.000&quot;)&quot;">
                  <c:v>5.5E-2</c:v>
                </c:pt>
                <c:pt idx="45">
                  <c:v>7.8145137190178352E-3</c:v>
                </c:pt>
              </c:numCache>
            </c:numRef>
          </c:val>
          <c:smooth val="0"/>
        </c:ser>
        <c:ser>
          <c:idx val="4"/>
          <c:order val="3"/>
          <c:tx>
            <c:strRef>
              <c:f>ほや!$E$101</c:f>
              <c:strCache>
                <c:ptCount val="1"/>
                <c:pt idx="0">
                  <c:v>Cs-134</c:v>
                </c:pt>
              </c:strCache>
            </c:strRef>
          </c:tx>
          <c:spPr>
            <a:ln w="12700">
              <a:solidFill>
                <a:srgbClr val="FF0000"/>
              </a:solidFill>
              <a:prstDash val="sysDot"/>
            </a:ln>
          </c:spPr>
          <c:marker>
            <c:symbol val="triangle"/>
            <c:size val="6"/>
            <c:spPr>
              <a:solidFill>
                <a:srgbClr val="FFFFFF"/>
              </a:solidFill>
              <a:ln>
                <a:solidFill>
                  <a:srgbClr val="FF0000"/>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ほや!$E$102:$E$159</c:f>
              <c:numCache>
                <c:formatCode>0.000</c:formatCode>
                <c:ptCount val="58"/>
                <c:pt idx="0">
                  <c:v>8.5000000000000006E-3</c:v>
                </c:pt>
                <c:pt idx="1">
                  <c:v>7.1560824097127119E-3</c:v>
                </c:pt>
                <c:pt idx="2">
                  <c:v>6.7841091807772369E-3</c:v>
                </c:pt>
                <c:pt idx="3">
                  <c:v>6.5328877503596332E-3</c:v>
                </c:pt>
                <c:pt idx="5">
                  <c:v>4.8350818895157013E-3</c:v>
                </c:pt>
                <c:pt idx="6">
                  <c:v>3.5262028983090972E-3</c:v>
                </c:pt>
                <c:pt idx="7">
                  <c:v>2.5504304038426952E-3</c:v>
                </c:pt>
                <c:pt idx="11">
                  <c:v>8.1326747640260728E-3</c:v>
                </c:pt>
                <c:pt idx="13">
                  <c:v>4.1653615171949798E-3</c:v>
                </c:pt>
                <c:pt idx="14">
                  <c:v>2.982374637531887E-3</c:v>
                </c:pt>
                <c:pt idx="15">
                  <c:v>2.1177486288716783E-3</c:v>
                </c:pt>
                <c:pt idx="16">
                  <c:v>1.5232893229597537E-3</c:v>
                </c:pt>
                <c:pt idx="17">
                  <c:v>1.0846602007022357E-3</c:v>
                </c:pt>
                <c:pt idx="18">
                  <c:v>7.7020426069938366E-4</c:v>
                </c:pt>
                <c:pt idx="19">
                  <c:v>5.5400528222585965E-4</c:v>
                </c:pt>
                <c:pt idx="20">
                  <c:v>3.9666456223510485E-4</c:v>
                </c:pt>
                <c:pt idx="21">
                  <c:v>2.8348723165874001E-4</c:v>
                </c:pt>
                <c:pt idx="22">
                  <c:v>2.0148624959689525E-4</c:v>
                </c:pt>
                <c:pt idx="23">
                  <c:v>1.4452877006374213E-4</c:v>
                </c:pt>
                <c:pt idx="24">
                  <c:v>1.0395904844282813E-4</c:v>
                </c:pt>
                <c:pt idx="25">
                  <c:v>7.3956083515660704E-5</c:v>
                </c:pt>
                <c:pt idx="26">
                  <c:v>5.2903414457016861E-5</c:v>
                </c:pt>
                <c:pt idx="27">
                  <c:v>3.7843692204418103E-5</c:v>
                </c:pt>
                <c:pt idx="28">
                  <c:v>2.6921863013685402E-5</c:v>
                </c:pt>
                <c:pt idx="29">
                  <c:v>1.9258165241625244E-5</c:v>
                </c:pt>
                <c:pt idx="30">
                  <c:v>1.3587176973032524E-5</c:v>
                </c:pt>
                <c:pt idx="31">
                  <c:v>9.7732097804319709E-6</c:v>
                </c:pt>
                <c:pt idx="32">
                  <c:v>7.0233694046371915E-6</c:v>
                </c:pt>
                <c:pt idx="33">
                  <c:v>5.0102132942260079E-6</c:v>
                </c:pt>
                <c:pt idx="34">
                  <c:v>3.6005140124822096E-6</c:v>
                </c:pt>
                <c:pt idx="35">
                  <c:v>2.540263855236846E-6</c:v>
                </c:pt>
                <c:pt idx="40">
                  <c:v>4.716414635228784E-3</c:v>
                </c:pt>
                <c:pt idx="41">
                  <c:v>3.9561212388638705E-3</c:v>
                </c:pt>
                <c:pt idx="42">
                  <c:v>2.8825268295876059E-3</c:v>
                </c:pt>
                <c:pt idx="43">
                  <c:v>2.1216503139656487E-3</c:v>
                </c:pt>
                <c:pt idx="44">
                  <c:v>1.5162957100703382E-3</c:v>
                </c:pt>
                <c:pt idx="45">
                  <c:v>1.0836624043291504E-3</c:v>
                </c:pt>
              </c:numCache>
            </c:numRef>
          </c:val>
          <c:smooth val="0"/>
        </c:ser>
        <c:ser>
          <c:idx val="3"/>
          <c:order val="4"/>
          <c:tx>
            <c:strRef>
              <c:f>ほや!$AG$101</c:f>
              <c:strCache>
                <c:ptCount val="1"/>
                <c:pt idx="0">
                  <c:v>Cs137崩壊</c:v>
                </c:pt>
              </c:strCache>
            </c:strRef>
          </c:tx>
          <c:spPr>
            <a:ln w="25400">
              <a:solidFill>
                <a:srgbClr val="FF0000"/>
              </a:solidFill>
              <a:prstDash val="sysDash"/>
            </a:ln>
          </c:spPr>
          <c:marker>
            <c:symbol val="none"/>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ほや!$AG$102:$AG$159</c:f>
              <c:numCache>
                <c:formatCode>0.0</c:formatCode>
                <c:ptCount val="58"/>
                <c:pt idx="0">
                  <c:v>1</c:v>
                </c:pt>
                <c:pt idx="1">
                  <c:v>0.98826765835389963</c:v>
                </c:pt>
                <c:pt idx="2">
                  <c:v>0.98465679335919598</c:v>
                </c:pt>
                <c:pt idx="3">
                  <c:v>0.98211224760240012</c:v>
                </c:pt>
                <c:pt idx="4">
                  <c:v>0.96570174981690582</c:v>
                </c:pt>
                <c:pt idx="5">
                  <c:v>0.9620518953194872</c:v>
                </c:pt>
                <c:pt idx="6">
                  <c:v>0.94145016021224537</c:v>
                </c:pt>
                <c:pt idx="7">
                  <c:v>0.92076645743839958</c:v>
                </c:pt>
                <c:pt idx="8">
                  <c:v>0.90258551104928098</c:v>
                </c:pt>
                <c:pt idx="10">
                  <c:v>1</c:v>
                </c:pt>
                <c:pt idx="11">
                  <c:v>0.9969752681552887</c:v>
                </c:pt>
                <c:pt idx="12">
                  <c:v>0.97261328070753494</c:v>
                </c:pt>
                <c:pt idx="13">
                  <c:v>0.95226604456618769</c:v>
                </c:pt>
                <c:pt idx="14">
                  <c:v>0.9306983842836607</c:v>
                </c:pt>
                <c:pt idx="15">
                  <c:v>0.90910269112694431</c:v>
                </c:pt>
                <c:pt idx="16">
                  <c:v>0.88879304566041939</c:v>
                </c:pt>
                <c:pt idx="17">
                  <c:v>0.86833410159286872</c:v>
                </c:pt>
                <c:pt idx="18">
                  <c:v>0.84818549369564344</c:v>
                </c:pt>
                <c:pt idx="19">
                  <c:v>0.82923675794231078</c:v>
                </c:pt>
                <c:pt idx="20">
                  <c:v>0.81045556040708688</c:v>
                </c:pt>
                <c:pt idx="21">
                  <c:v>0.79199976031325325</c:v>
                </c:pt>
                <c:pt idx="22">
                  <c:v>0.77367122085403717</c:v>
                </c:pt>
                <c:pt idx="23">
                  <c:v>0.7562439629290979</c:v>
                </c:pt>
                <c:pt idx="24">
                  <c:v>0.73934923043826073</c:v>
                </c:pt>
                <c:pt idx="25">
                  <c:v>0.72228471741222333</c:v>
                </c:pt>
                <c:pt idx="26">
                  <c:v>0.70588130258153736</c:v>
                </c:pt>
                <c:pt idx="27">
                  <c:v>0.68985041677108538</c:v>
                </c:pt>
                <c:pt idx="28">
                  <c:v>0.6739283586443332</c:v>
                </c:pt>
                <c:pt idx="29">
                  <c:v>0.65862313874072942</c:v>
                </c:pt>
                <c:pt idx="30">
                  <c:v>0.64305646256388971</c:v>
                </c:pt>
                <c:pt idx="31">
                  <c:v>0.6286903751052324</c:v>
                </c:pt>
                <c:pt idx="32">
                  <c:v>0.614606441152177</c:v>
                </c:pt>
                <c:pt idx="33">
                  <c:v>0.60053473766551735</c:v>
                </c:pt>
                <c:pt idx="34">
                  <c:v>0.58708154684741243</c:v>
                </c:pt>
                <c:pt idx="35">
                  <c:v>0.57320576904427412</c:v>
                </c:pt>
                <c:pt idx="36">
                  <c:v>0.56369899602207396</c:v>
                </c:pt>
                <c:pt idx="38">
                  <c:v>1</c:v>
                </c:pt>
                <c:pt idx="39">
                  <c:v>0.99483828685902442</c:v>
                </c:pt>
                <c:pt idx="40">
                  <c:v>0.96041396439623639</c:v>
                </c:pt>
                <c:pt idx="41">
                  <c:v>0.94890648463861604</c:v>
                </c:pt>
                <c:pt idx="42">
                  <c:v>0.92852764830004286</c:v>
                </c:pt>
                <c:pt idx="43">
                  <c:v>0.90921744665895232</c:v>
                </c:pt>
                <c:pt idx="44">
                  <c:v>0.8885126279654576</c:v>
                </c:pt>
                <c:pt idx="45">
                  <c:v>0.8682793021130929</c:v>
                </c:pt>
              </c:numCache>
            </c:numRef>
          </c:val>
          <c:smooth val="0"/>
        </c:ser>
        <c:ser>
          <c:idx val="5"/>
          <c:order val="5"/>
          <c:tx>
            <c:strRef>
              <c:f>ほや!$AJ$101</c:f>
              <c:strCache>
                <c:ptCount val="1"/>
                <c:pt idx="0">
                  <c:v>K40崩壊</c:v>
                </c:pt>
              </c:strCache>
            </c:strRef>
          </c:tx>
          <c:spPr>
            <a:ln w="28575">
              <a:solidFill>
                <a:srgbClr val="00B050"/>
              </a:solidFill>
              <a:prstDash val="sysDash"/>
            </a:ln>
          </c:spPr>
          <c:marker>
            <c:symbol val="none"/>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ほや!$AJ$102:$AJ$159</c:f>
              <c:numCache>
                <c:formatCode>0</c:formatCode>
                <c:ptCount val="58"/>
                <c:pt idx="0">
                  <c:v>50</c:v>
                </c:pt>
                <c:pt idx="1">
                  <c:v>49.999999986105038</c:v>
                </c:pt>
                <c:pt idx="2">
                  <c:v>49.999999981795376</c:v>
                </c:pt>
                <c:pt idx="3">
                  <c:v>49.999999978748875</c:v>
                </c:pt>
                <c:pt idx="4">
                  <c:v>49.999999958909548</c:v>
                </c:pt>
                <c:pt idx="5">
                  <c:v>49.999999954451269</c:v>
                </c:pt>
                <c:pt idx="6">
                  <c:v>49.999999928964776</c:v>
                </c:pt>
                <c:pt idx="7">
                  <c:v>49.999999902809556</c:v>
                </c:pt>
                <c:pt idx="8">
                  <c:v>49.999999879329295</c:v>
                </c:pt>
                <c:pt idx="10">
                  <c:v>49.999999879180692</c:v>
                </c:pt>
                <c:pt idx="11">
                  <c:v>49.999999875614066</c:v>
                </c:pt>
                <c:pt idx="12">
                  <c:v>49.999999846486652</c:v>
                </c:pt>
                <c:pt idx="13">
                  <c:v>49.999999821594606</c:v>
                </c:pt>
                <c:pt idx="14">
                  <c:v>49.999999794622028</c:v>
                </c:pt>
                <c:pt idx="15">
                  <c:v>49.999999766980707</c:v>
                </c:pt>
                <c:pt idx="16">
                  <c:v>49.99999974037965</c:v>
                </c:pt>
                <c:pt idx="17">
                  <c:v>49.999999712961255</c:v>
                </c:pt>
                <c:pt idx="18">
                  <c:v>49.999999685319928</c:v>
                </c:pt>
                <c:pt idx="19">
                  <c:v>49.999999658718878</c:v>
                </c:pt>
                <c:pt idx="20">
                  <c:v>49.999999631746306</c:v>
                </c:pt>
                <c:pt idx="21">
                  <c:v>49.999999604625117</c:v>
                </c:pt>
                <c:pt idx="22">
                  <c:v>49.999999577058105</c:v>
                </c:pt>
                <c:pt idx="23">
                  <c:v>49.999999550234136</c:v>
                </c:pt>
                <c:pt idx="24">
                  <c:v>49.999999523633079</c:v>
                </c:pt>
                <c:pt idx="25">
                  <c:v>49.999999496140376</c:v>
                </c:pt>
                <c:pt idx="26">
                  <c:v>49.999999469093488</c:v>
                </c:pt>
                <c:pt idx="27">
                  <c:v>49.999999442046608</c:v>
                </c:pt>
                <c:pt idx="28">
                  <c:v>49.999999414553905</c:v>
                </c:pt>
                <c:pt idx="29">
                  <c:v>49.999999387507017</c:v>
                </c:pt>
                <c:pt idx="30">
                  <c:v>49.999999359345566</c:v>
                </c:pt>
                <c:pt idx="31">
                  <c:v>49.999999332744515</c:v>
                </c:pt>
                <c:pt idx="32">
                  <c:v>49.999999306069164</c:v>
                </c:pt>
                <c:pt idx="33">
                  <c:v>49.999999278799365</c:v>
                </c:pt>
                <c:pt idx="34">
                  <c:v>49.999999252124006</c:v>
                </c:pt>
                <c:pt idx="35">
                  <c:v>49.999999223962554</c:v>
                </c:pt>
                <c:pt idx="36">
                  <c:v>49.99999920427183</c:v>
                </c:pt>
                <c:pt idx="38">
                  <c:v>49.999999204123228</c:v>
                </c:pt>
                <c:pt idx="39">
                  <c:v>49.999999198030245</c:v>
                </c:pt>
                <c:pt idx="40">
                  <c:v>49.999999156568272</c:v>
                </c:pt>
                <c:pt idx="41">
                  <c:v>49.99999914237609</c:v>
                </c:pt>
                <c:pt idx="42">
                  <c:v>49.999999116815289</c:v>
                </c:pt>
                <c:pt idx="43">
                  <c:v>49.999999092071853</c:v>
                </c:pt>
                <c:pt idx="44">
                  <c:v>49.999999064950664</c:v>
                </c:pt>
                <c:pt idx="45">
                  <c:v>49.999999037829483</c:v>
                </c:pt>
              </c:numCache>
            </c:numRef>
          </c:val>
          <c:smooth val="0"/>
        </c:ser>
        <c:dLbls>
          <c:showLegendKey val="0"/>
          <c:showVal val="0"/>
          <c:showCatName val="0"/>
          <c:showSerName val="0"/>
          <c:showPercent val="0"/>
          <c:showBubbleSize val="0"/>
        </c:dLbls>
        <c:marker val="1"/>
        <c:smooth val="0"/>
        <c:axId val="248903552"/>
        <c:axId val="248905088"/>
      </c:lineChart>
      <c:dateAx>
        <c:axId val="248903552"/>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8905088"/>
        <c:crossesAt val="1.0000000000000002E-3"/>
        <c:auto val="0"/>
        <c:lblOffset val="100"/>
        <c:baseTimeUnit val="days"/>
        <c:majorUnit val="24"/>
        <c:majorTimeUnit val="months"/>
        <c:minorUnit val="3"/>
        <c:minorTimeUnit val="months"/>
      </c:dateAx>
      <c:valAx>
        <c:axId val="248905088"/>
        <c:scaling>
          <c:logBase val="10"/>
          <c:orientation val="minMax"/>
          <c:min val="1.0000000000000002E-3"/>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a:t>
                </a:r>
              </a:p>
            </c:rich>
          </c:tx>
          <c:layout>
            <c:manualLayout>
              <c:xMode val="edge"/>
              <c:yMode val="edge"/>
              <c:x val="1.5105740181268882E-3"/>
              <c:y val="0.42545454545454547"/>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8903552"/>
        <c:crosses val="autoZero"/>
        <c:crossBetween val="between"/>
        <c:minorUnit val="10"/>
      </c:valAx>
      <c:spPr>
        <a:noFill/>
        <a:ln w="12700">
          <a:solidFill>
            <a:srgbClr val="808080"/>
          </a:solidFill>
          <a:prstDash val="solid"/>
        </a:ln>
      </c:spPr>
    </c:plotArea>
    <c:legend>
      <c:legendPos val="r"/>
      <c:layout>
        <c:manualLayout>
          <c:xMode val="edge"/>
          <c:yMode val="edge"/>
          <c:x val="0.207478898655335"/>
          <c:y val="1.8181944444444424E-2"/>
          <c:w val="0.60610244171103356"/>
          <c:h val="0.11791041666666667"/>
        </c:manualLayout>
      </c:layout>
      <c:overlay val="0"/>
      <c:spPr>
        <a:solidFill>
          <a:srgbClr val="FFFFFF"/>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45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ほや内臓 (塚浜)</a:t>
            </a:r>
          </a:p>
        </c:rich>
      </c:tx>
      <c:layout>
        <c:manualLayout>
          <c:xMode val="edge"/>
          <c:yMode val="edge"/>
          <c:x val="0.25000035468539406"/>
          <c:y val="0.29157316992374688"/>
        </c:manualLayout>
      </c:layout>
      <c:overlay val="0"/>
      <c:spPr>
        <a:solidFill>
          <a:srgbClr val="FFFFFF"/>
        </a:solidFill>
        <a:ln w="25400">
          <a:noFill/>
        </a:ln>
      </c:spPr>
    </c:title>
    <c:autoTitleDeleted val="0"/>
    <c:plotArea>
      <c:layout>
        <c:manualLayout>
          <c:layoutTarget val="inner"/>
          <c:xMode val="edge"/>
          <c:yMode val="edge"/>
          <c:x val="0.13719532618873587"/>
          <c:y val="5.7347870981291238E-2"/>
          <c:w val="0.81707438707958246"/>
          <c:h val="0.80287019373807733"/>
        </c:manualLayout>
      </c:layout>
      <c:lineChart>
        <c:grouping val="standard"/>
        <c:varyColors val="0"/>
        <c:ser>
          <c:idx val="1"/>
          <c:order val="0"/>
          <c:tx>
            <c:strRef>
              <c:f>ほや!$V$101</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ほや!$B$102:$B$117</c:f>
              <c:numCache>
                <c:formatCode>[$-411]m\.d\.ge</c:formatCode>
                <c:ptCount val="16"/>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numCache>
            </c:numRef>
          </c:cat>
          <c:val>
            <c:numRef>
              <c:f>ほや!$V$102:$V$117</c:f>
              <c:numCache>
                <c:formatCode>0</c:formatCode>
                <c:ptCount val="16"/>
                <c:pt idx="0">
                  <c:v>74.074074074074076</c:v>
                </c:pt>
                <c:pt idx="1">
                  <c:v>65.925925925925924</c:v>
                </c:pt>
                <c:pt idx="2">
                  <c:v>60</c:v>
                </c:pt>
                <c:pt idx="3">
                  <c:v>59.25925925925926</c:v>
                </c:pt>
                <c:pt idx="4">
                  <c:v>81.111111111111114</c:v>
                </c:pt>
                <c:pt idx="5">
                  <c:v>81.111111111111114</c:v>
                </c:pt>
                <c:pt idx="6">
                  <c:v>64.444444444444443</c:v>
                </c:pt>
                <c:pt idx="7">
                  <c:v>89.629629629629633</c:v>
                </c:pt>
                <c:pt idx="11">
                  <c:v>98.888888888888886</c:v>
                </c:pt>
                <c:pt idx="14">
                  <c:v>65</c:v>
                </c:pt>
                <c:pt idx="15">
                  <c:v>83</c:v>
                </c:pt>
              </c:numCache>
            </c:numRef>
          </c:val>
          <c:smooth val="0"/>
        </c:ser>
        <c:ser>
          <c:idx val="0"/>
          <c:order val="1"/>
          <c:tx>
            <c:strRef>
              <c:f>ほや!$U$101</c:f>
              <c:strCache>
                <c:ptCount val="1"/>
                <c:pt idx="0">
                  <c:v>Be-7</c:v>
                </c:pt>
              </c:strCache>
            </c:strRef>
          </c:tx>
          <c:spPr>
            <a:ln w="3175">
              <a:solidFill>
                <a:srgbClr val="0066FF"/>
              </a:solidFill>
              <a:prstDash val="sysDash"/>
            </a:ln>
          </c:spPr>
          <c:marker>
            <c:symbol val="circle"/>
            <c:size val="5"/>
            <c:spPr>
              <a:solidFill>
                <a:srgbClr val="FFFFFF"/>
              </a:solidFill>
              <a:ln>
                <a:solidFill>
                  <a:srgbClr val="0066FF"/>
                </a:solidFill>
                <a:prstDash val="solid"/>
              </a:ln>
            </c:spPr>
          </c:marker>
          <c:cat>
            <c:numRef>
              <c:f>ほや!$B$102:$B$117</c:f>
              <c:numCache>
                <c:formatCode>[$-411]m\.d\.ge</c:formatCode>
                <c:ptCount val="16"/>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numCache>
            </c:numRef>
          </c:cat>
          <c:val>
            <c:numRef>
              <c:f>ほや!$U$102:$U$117</c:f>
              <c:numCache>
                <c:formatCode>0</c:formatCode>
                <c:ptCount val="16"/>
                <c:pt idx="0">
                  <c:v>285.18518518518516</c:v>
                </c:pt>
                <c:pt idx="1">
                  <c:v>316.66666666666669</c:v>
                </c:pt>
                <c:pt idx="2">
                  <c:v>474.07407407407408</c:v>
                </c:pt>
                <c:pt idx="3">
                  <c:v>496.2962962962963</c:v>
                </c:pt>
                <c:pt idx="4">
                  <c:v>422.22222222222223</c:v>
                </c:pt>
                <c:pt idx="5">
                  <c:v>992.59259259259261</c:v>
                </c:pt>
                <c:pt idx="6">
                  <c:v>332.96296296296299</c:v>
                </c:pt>
                <c:pt idx="7">
                  <c:v>800</c:v>
                </c:pt>
                <c:pt idx="11">
                  <c:v>440.74074074074076</c:v>
                </c:pt>
                <c:pt idx="14">
                  <c:v>397</c:v>
                </c:pt>
                <c:pt idx="15">
                  <c:v>228</c:v>
                </c:pt>
              </c:numCache>
            </c:numRef>
          </c:val>
          <c:smooth val="0"/>
        </c:ser>
        <c:ser>
          <c:idx val="2"/>
          <c:order val="2"/>
          <c:tx>
            <c:strRef>
              <c:f>ほや!$W$101</c:f>
              <c:strCache>
                <c:ptCount val="1"/>
                <c:pt idx="0">
                  <c:v>Cs-137</c:v>
                </c:pt>
              </c:strCache>
            </c:strRef>
          </c:tx>
          <c:spPr>
            <a:ln w="0">
              <a:solidFill>
                <a:srgbClr val="FF0000"/>
              </a:solidFill>
              <a:prstDash val="sysDash"/>
            </a:ln>
          </c:spPr>
          <c:marker>
            <c:symbol val="triangle"/>
            <c:size val="5"/>
            <c:spPr>
              <a:solidFill>
                <a:srgbClr val="FF0000"/>
              </a:solidFill>
              <a:ln>
                <a:solidFill>
                  <a:srgbClr val="FF0000"/>
                </a:solidFill>
                <a:prstDash val="solid"/>
              </a:ln>
            </c:spPr>
          </c:marker>
          <c:cat>
            <c:numRef>
              <c:f>ほや!$B$102:$B$117</c:f>
              <c:numCache>
                <c:formatCode>[$-411]m\.d\.ge</c:formatCode>
                <c:ptCount val="16"/>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numCache>
            </c:numRef>
          </c:cat>
          <c:val>
            <c:numRef>
              <c:f>ほや!$W$102:$W$117</c:f>
              <c:numCache>
                <c:formatCode>0.000</c:formatCode>
                <c:ptCount val="16"/>
                <c:pt idx="0">
                  <c:v>8.5000000000000006E-3</c:v>
                </c:pt>
                <c:pt idx="1">
                  <c:v>6.6666666666666666E-2</c:v>
                </c:pt>
                <c:pt idx="2">
                  <c:v>8.5185185185185169E-2</c:v>
                </c:pt>
                <c:pt idx="3">
                  <c:v>8.3479541046204021E-3</c:v>
                </c:pt>
                <c:pt idx="4">
                  <c:v>7.0370370370370361E-2</c:v>
                </c:pt>
                <c:pt idx="5">
                  <c:v>9.2592592592592587E-2</c:v>
                </c:pt>
                <c:pt idx="6">
                  <c:v>6.2962962962962957E-2</c:v>
                </c:pt>
                <c:pt idx="7">
                  <c:v>7.407407407407407E-2</c:v>
                </c:pt>
                <c:pt idx="11">
                  <c:v>8.4742897793199552E-3</c:v>
                </c:pt>
                <c:pt idx="14">
                  <c:v>7.9109362664111157E-3</c:v>
                </c:pt>
                <c:pt idx="15">
                  <c:v>6.9000000000000006E-2</c:v>
                </c:pt>
              </c:numCache>
            </c:numRef>
          </c:val>
          <c:smooth val="0"/>
        </c:ser>
        <c:dLbls>
          <c:showLegendKey val="0"/>
          <c:showVal val="0"/>
          <c:showCatName val="0"/>
          <c:showSerName val="0"/>
          <c:showPercent val="0"/>
          <c:showBubbleSize val="0"/>
        </c:dLbls>
        <c:marker val="1"/>
        <c:smooth val="0"/>
        <c:axId val="248956032"/>
        <c:axId val="248957952"/>
      </c:lineChart>
      <c:dateAx>
        <c:axId val="248956032"/>
        <c:scaling>
          <c:orientation val="minMax"/>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8957952"/>
        <c:crossesAt val="1.0000000000000002E-3"/>
        <c:auto val="0"/>
        <c:lblOffset val="100"/>
        <c:baseTimeUnit val="months"/>
        <c:majorUnit val="12"/>
        <c:majorTimeUnit val="months"/>
        <c:minorUnit val="3"/>
        <c:minorTimeUnit val="months"/>
      </c:dateAx>
      <c:valAx>
        <c:axId val="248957952"/>
        <c:scaling>
          <c:logBase val="10"/>
          <c:orientation val="minMax"/>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(m)Bq/kg生</a:t>
                </a:r>
              </a:p>
            </c:rich>
          </c:tx>
          <c:layout>
            <c:manualLayout>
              <c:xMode val="edge"/>
              <c:yMode val="edge"/>
              <c:x val="1.524390243902439E-2"/>
              <c:y val="0.33333446222448004"/>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8956032"/>
        <c:crosses val="autoZero"/>
        <c:crossBetween val="between"/>
        <c:minorUnit val="10"/>
      </c:valAx>
      <c:spPr>
        <a:noFill/>
        <a:ln w="12700">
          <a:solidFill>
            <a:srgbClr val="808080"/>
          </a:solidFill>
          <a:prstDash val="solid"/>
        </a:ln>
      </c:spPr>
    </c:plotArea>
    <c:legend>
      <c:legendPos val="r"/>
      <c:layout>
        <c:manualLayout>
          <c:xMode val="edge"/>
          <c:yMode val="edge"/>
          <c:x val="0.59970936559759302"/>
          <c:y val="0.42790054468997829"/>
          <c:w val="0.28353690544779464"/>
          <c:h val="0.16487530456542396"/>
        </c:manualLayout>
      </c:layout>
      <c:overlay val="0"/>
      <c:spPr>
        <a:solidFill>
          <a:srgbClr val="FFFFFF"/>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4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45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ほや内臓 (小屋取/県)</a:t>
            </a:r>
          </a:p>
        </c:rich>
      </c:tx>
      <c:layout>
        <c:manualLayout>
          <c:xMode val="edge"/>
          <c:yMode val="edge"/>
          <c:x val="0.26244600484691388"/>
          <c:y val="0.28669851812671793"/>
        </c:manualLayout>
      </c:layout>
      <c:overlay val="0"/>
      <c:spPr>
        <a:solidFill>
          <a:srgbClr val="FFFFFF"/>
        </a:solidFill>
        <a:ln w="25400">
          <a:noFill/>
        </a:ln>
      </c:spPr>
    </c:title>
    <c:autoTitleDeleted val="0"/>
    <c:plotArea>
      <c:layout>
        <c:manualLayout>
          <c:layoutTarget val="inner"/>
          <c:xMode val="edge"/>
          <c:yMode val="edge"/>
          <c:x val="0.13554216867469879"/>
          <c:y val="5.7553956834532377E-2"/>
          <c:w val="0.81927710843373491"/>
          <c:h val="0.80215827338129497"/>
        </c:manualLayout>
      </c:layout>
      <c:lineChart>
        <c:grouping val="standard"/>
        <c:varyColors val="0"/>
        <c:ser>
          <c:idx val="1"/>
          <c:order val="0"/>
          <c:tx>
            <c:strRef>
              <c:f>ほや!$K$101</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ほや!$B$102:$B$117</c:f>
              <c:numCache>
                <c:formatCode>[$-411]m\.d\.ge</c:formatCode>
                <c:ptCount val="16"/>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numCache>
            </c:numRef>
          </c:cat>
          <c:val>
            <c:numRef>
              <c:f>ほや!$K$102:$K$117</c:f>
              <c:numCache>
                <c:formatCode>0.0_);[Red]\(0.0\)</c:formatCode>
                <c:ptCount val="16"/>
                <c:pt idx="0">
                  <c:v>72.222222222222229</c:v>
                </c:pt>
                <c:pt idx="1">
                  <c:v>99.629629629629633</c:v>
                </c:pt>
                <c:pt idx="2">
                  <c:v>51.851851851851855</c:v>
                </c:pt>
                <c:pt idx="3">
                  <c:v>62.222222222222221</c:v>
                </c:pt>
                <c:pt idx="5">
                  <c:v>85.555555555555557</c:v>
                </c:pt>
                <c:pt idx="6">
                  <c:v>77.407407407407405</c:v>
                </c:pt>
                <c:pt idx="7">
                  <c:v>94.444444444444443</c:v>
                </c:pt>
                <c:pt idx="11">
                  <c:v>88.888888888888886</c:v>
                </c:pt>
                <c:pt idx="13">
                  <c:v>84</c:v>
                </c:pt>
                <c:pt idx="14">
                  <c:v>66.8</c:v>
                </c:pt>
                <c:pt idx="15">
                  <c:v>83.5</c:v>
                </c:pt>
              </c:numCache>
            </c:numRef>
          </c:val>
          <c:smooth val="0"/>
        </c:ser>
        <c:ser>
          <c:idx val="0"/>
          <c:order val="1"/>
          <c:tx>
            <c:strRef>
              <c:f>ほや!$J$101</c:f>
              <c:strCache>
                <c:ptCount val="1"/>
                <c:pt idx="0">
                  <c:v>Be-7</c:v>
                </c:pt>
              </c:strCache>
            </c:strRef>
          </c:tx>
          <c:spPr>
            <a:ln w="0">
              <a:solidFill>
                <a:srgbClr val="0066FF"/>
              </a:solidFill>
              <a:prstDash val="sysDash"/>
            </a:ln>
          </c:spPr>
          <c:marker>
            <c:symbol val="circle"/>
            <c:size val="5"/>
            <c:spPr>
              <a:solidFill>
                <a:srgbClr val="FFFFFF"/>
              </a:solidFill>
              <a:ln>
                <a:solidFill>
                  <a:srgbClr val="0066FF"/>
                </a:solidFill>
                <a:prstDash val="solid"/>
              </a:ln>
            </c:spPr>
          </c:marker>
          <c:cat>
            <c:numRef>
              <c:f>ほや!$B$102:$B$117</c:f>
              <c:numCache>
                <c:formatCode>[$-411]m\.d\.ge</c:formatCode>
                <c:ptCount val="16"/>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numCache>
            </c:numRef>
          </c:cat>
          <c:val>
            <c:numRef>
              <c:f>ほや!$J$102:$J$117</c:f>
              <c:numCache>
                <c:formatCode>0</c:formatCode>
                <c:ptCount val="16"/>
                <c:pt idx="0">
                  <c:v>187.77777777777777</c:v>
                </c:pt>
                <c:pt idx="1">
                  <c:v>334.44444444444446</c:v>
                </c:pt>
                <c:pt idx="2">
                  <c:v>251.4814814814815</c:v>
                </c:pt>
                <c:pt idx="3">
                  <c:v>451.85185185185185</c:v>
                </c:pt>
                <c:pt idx="5">
                  <c:v>544.44444444444446</c:v>
                </c:pt>
                <c:pt idx="6">
                  <c:v>385.18518518518516</c:v>
                </c:pt>
                <c:pt idx="7">
                  <c:v>844.44444444444446</c:v>
                </c:pt>
                <c:pt idx="11">
                  <c:v>470.37037037037038</c:v>
                </c:pt>
                <c:pt idx="13">
                  <c:v>466</c:v>
                </c:pt>
                <c:pt idx="14">
                  <c:v>442</c:v>
                </c:pt>
                <c:pt idx="15">
                  <c:v>161</c:v>
                </c:pt>
              </c:numCache>
            </c:numRef>
          </c:val>
          <c:smooth val="0"/>
        </c:ser>
        <c:ser>
          <c:idx val="2"/>
          <c:order val="2"/>
          <c:tx>
            <c:strRef>
              <c:f>ほや!$L$101</c:f>
              <c:strCache>
                <c:ptCount val="1"/>
                <c:pt idx="0">
                  <c:v>Cs-137</c:v>
                </c:pt>
              </c:strCache>
            </c:strRef>
          </c:tx>
          <c:spPr>
            <a:ln w="0">
              <a:solidFill>
                <a:srgbClr val="FF0000"/>
              </a:solidFill>
              <a:prstDash val="sysDash"/>
            </a:ln>
          </c:spPr>
          <c:marker>
            <c:symbol val="triangle"/>
            <c:size val="5"/>
            <c:spPr>
              <a:solidFill>
                <a:srgbClr val="FF0000"/>
              </a:solidFill>
              <a:ln>
                <a:solidFill>
                  <a:srgbClr val="FF0000"/>
                </a:solidFill>
                <a:prstDash val="solid"/>
              </a:ln>
            </c:spPr>
          </c:marker>
          <c:cat>
            <c:numRef>
              <c:f>ほや!$B$102:$B$117</c:f>
              <c:numCache>
                <c:formatCode>[$-411]m\.d\.ge</c:formatCode>
                <c:ptCount val="16"/>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numCache>
            </c:numRef>
          </c:cat>
          <c:val>
            <c:numRef>
              <c:f>ほや!$L$102:$L$117</c:f>
              <c:numCache>
                <c:formatCode>0.000</c:formatCode>
                <c:ptCount val="16"/>
                <c:pt idx="0">
                  <c:v>2.6499999999999999E-2</c:v>
                </c:pt>
                <c:pt idx="1">
                  <c:v>0.1111111111111111</c:v>
                </c:pt>
                <c:pt idx="2">
                  <c:v>2.6499999999999999E-2</c:v>
                </c:pt>
                <c:pt idx="3">
                  <c:v>2.6499999999999999E-2</c:v>
                </c:pt>
                <c:pt idx="5">
                  <c:v>6.6666666666666666E-2</c:v>
                </c:pt>
                <c:pt idx="6">
                  <c:v>7.0370370370370361E-2</c:v>
                </c:pt>
                <c:pt idx="7">
                  <c:v>6.2962962962962957E-2</c:v>
                </c:pt>
                <c:pt idx="11">
                  <c:v>0.18518518518518517</c:v>
                </c:pt>
                <c:pt idx="13">
                  <c:v>2.6499999999999999E-2</c:v>
                </c:pt>
                <c:pt idx="14">
                  <c:v>2.6499999999999999E-2</c:v>
                </c:pt>
                <c:pt idx="15">
                  <c:v>5.2999999999999999E-2</c:v>
                </c:pt>
              </c:numCache>
            </c:numRef>
          </c:val>
          <c:smooth val="0"/>
        </c:ser>
        <c:dLbls>
          <c:showLegendKey val="0"/>
          <c:showVal val="0"/>
          <c:showCatName val="0"/>
          <c:showSerName val="0"/>
          <c:showPercent val="0"/>
          <c:showBubbleSize val="0"/>
        </c:dLbls>
        <c:marker val="1"/>
        <c:smooth val="0"/>
        <c:axId val="251966208"/>
        <c:axId val="251968128"/>
      </c:lineChart>
      <c:dateAx>
        <c:axId val="251966208"/>
        <c:scaling>
          <c:orientation val="minMax"/>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51968128"/>
        <c:crossesAt val="1.0000000000000002E-3"/>
        <c:auto val="0"/>
        <c:lblOffset val="100"/>
        <c:baseTimeUnit val="months"/>
        <c:majorUnit val="12"/>
        <c:majorTimeUnit val="months"/>
        <c:minorUnit val="3"/>
        <c:minorTimeUnit val="months"/>
      </c:dateAx>
      <c:valAx>
        <c:axId val="251968128"/>
        <c:scaling>
          <c:logBase val="10"/>
          <c:orientation val="minMax"/>
          <c:min val="1.0000000000000002E-3"/>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a:t>
                </a:r>
              </a:p>
            </c:rich>
          </c:tx>
          <c:layout>
            <c:manualLayout>
              <c:xMode val="edge"/>
              <c:yMode val="edge"/>
              <c:x val="1.5060240963855422E-2"/>
              <c:y val="0.42446043165467628"/>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51966208"/>
        <c:crosses val="autoZero"/>
        <c:crossBetween val="between"/>
        <c:minorUnit val="10"/>
      </c:valAx>
      <c:spPr>
        <a:noFill/>
        <a:ln w="12700">
          <a:solidFill>
            <a:srgbClr val="808080"/>
          </a:solidFill>
          <a:prstDash val="solid"/>
        </a:ln>
      </c:spPr>
    </c:plotArea>
    <c:legend>
      <c:legendPos val="r"/>
      <c:layout>
        <c:manualLayout>
          <c:xMode val="edge"/>
          <c:yMode val="edge"/>
          <c:x val="0.39627160471908318"/>
          <c:y val="0.67476271818394662"/>
          <c:w val="0.32267389527128781"/>
          <c:h val="0.15286434454648409"/>
        </c:manualLayout>
      </c:layout>
      <c:overlay val="0"/>
      <c:spPr>
        <a:solidFill>
          <a:srgbClr val="FFFFFF"/>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4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ほや (小屋取/電力)</a:t>
            </a:r>
          </a:p>
        </c:rich>
      </c:tx>
      <c:layout>
        <c:manualLayout>
          <c:xMode val="edge"/>
          <c:yMode val="edge"/>
          <c:x val="0.2673138491987086"/>
          <c:y val="0.41568999453727229"/>
        </c:manualLayout>
      </c:layout>
      <c:overlay val="0"/>
      <c:spPr>
        <a:solidFill>
          <a:srgbClr val="FFFFFF"/>
        </a:solidFill>
        <a:ln w="25400">
          <a:noFill/>
        </a:ln>
      </c:spPr>
    </c:title>
    <c:autoTitleDeleted val="0"/>
    <c:plotArea>
      <c:layout>
        <c:manualLayout>
          <c:layoutTarget val="inner"/>
          <c:xMode val="edge"/>
          <c:yMode val="edge"/>
          <c:x val="6.7975830815709973E-2"/>
          <c:y val="5.6939501779359428E-2"/>
          <c:w val="0.90936555891238668"/>
          <c:h val="0.80427046263345192"/>
        </c:manualLayout>
      </c:layout>
      <c:lineChart>
        <c:grouping val="standard"/>
        <c:varyColors val="0"/>
        <c:ser>
          <c:idx val="1"/>
          <c:order val="0"/>
          <c:tx>
            <c:strRef>
              <c:f>ほや!$Z$101</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ほや!$X$102:$X$159</c:f>
              <c:numCache>
                <c:formatCode>[$-411]m\.d\.ge</c:formatCode>
                <c:ptCount val="58"/>
                <c:pt idx="0">
                  <c:v>29902</c:v>
                </c:pt>
                <c:pt idx="2">
                  <c:v>30144</c:v>
                </c:pt>
                <c:pt idx="5">
                  <c:v>30522</c:v>
                </c:pt>
                <c:pt idx="6">
                  <c:v>30866</c:v>
                </c:pt>
                <c:pt idx="7">
                  <c:v>31243</c:v>
                </c:pt>
                <c:pt idx="8">
                  <c:v>31526</c:v>
                </c:pt>
                <c:pt idx="9">
                  <c:v>31527</c:v>
                </c:pt>
                <c:pt idx="10">
                  <c:v>31528</c:v>
                </c:pt>
                <c:pt idx="11">
                  <c:v>31608</c:v>
                </c:pt>
                <c:pt idx="12">
                  <c:v>31968</c:v>
                </c:pt>
                <c:pt idx="13">
                  <c:v>32359</c:v>
                </c:pt>
                <c:pt idx="14">
                  <c:v>32709</c:v>
                </c:pt>
                <c:pt idx="15">
                  <c:v>33067</c:v>
                </c:pt>
                <c:pt idx="16">
                  <c:v>33443</c:v>
                </c:pt>
                <c:pt idx="17">
                  <c:v>33800</c:v>
                </c:pt>
                <c:pt idx="18">
                  <c:v>34163</c:v>
                </c:pt>
                <c:pt idx="19">
                  <c:v>34520</c:v>
                </c:pt>
                <c:pt idx="20">
                  <c:v>34913</c:v>
                </c:pt>
                <c:pt idx="21">
                  <c:v>35249</c:v>
                </c:pt>
                <c:pt idx="22">
                  <c:v>35620</c:v>
                </c:pt>
                <c:pt idx="23">
                  <c:v>35997</c:v>
                </c:pt>
                <c:pt idx="24">
                  <c:v>36349</c:v>
                </c:pt>
                <c:pt idx="25">
                  <c:v>36720</c:v>
                </c:pt>
                <c:pt idx="26">
                  <c:v>37088</c:v>
                </c:pt>
                <c:pt idx="27">
                  <c:v>37456</c:v>
                </c:pt>
                <c:pt idx="28">
                  <c:v>37810</c:v>
                </c:pt>
                <c:pt idx="29">
                  <c:v>38188</c:v>
                </c:pt>
                <c:pt idx="30">
                  <c:v>38538</c:v>
                </c:pt>
                <c:pt idx="31">
                  <c:v>38904</c:v>
                </c:pt>
                <c:pt idx="32">
                  <c:v>39281</c:v>
                </c:pt>
                <c:pt idx="33">
                  <c:v>39666</c:v>
                </c:pt>
                <c:pt idx="34">
                  <c:v>40000</c:v>
                </c:pt>
                <c:pt idx="35">
                  <c:v>40379</c:v>
                </c:pt>
                <c:pt idx="36">
                  <c:v>40611</c:v>
                </c:pt>
                <c:pt idx="37">
                  <c:v>40612</c:v>
                </c:pt>
                <c:pt idx="38">
                  <c:v>40613</c:v>
                </c:pt>
                <c:pt idx="39">
                  <c:v>40695</c:v>
                </c:pt>
                <c:pt idx="40">
                  <c:v>41253</c:v>
                </c:pt>
                <c:pt idx="41">
                  <c:v>41483</c:v>
                </c:pt>
                <c:pt idx="42">
                  <c:v>41835</c:v>
                </c:pt>
                <c:pt idx="43">
                  <c:v>42201</c:v>
                </c:pt>
                <c:pt idx="44">
                  <c:v>42571</c:v>
                </c:pt>
                <c:pt idx="45">
                  <c:v>42926</c:v>
                </c:pt>
              </c:numCache>
            </c:numRef>
          </c:cat>
          <c:val>
            <c:numRef>
              <c:f>ほや!$Z$102:$Z$159</c:f>
              <c:numCache>
                <c:formatCode>0_);[Red]\(0\)</c:formatCode>
                <c:ptCount val="58"/>
                <c:pt idx="2">
                  <c:v>97.037037037037038</c:v>
                </c:pt>
                <c:pt idx="5">
                  <c:v>101.11111111111111</c:v>
                </c:pt>
                <c:pt idx="6">
                  <c:v>111.11111111111111</c:v>
                </c:pt>
                <c:pt idx="7">
                  <c:v>101.11111111111111</c:v>
                </c:pt>
                <c:pt idx="11">
                  <c:v>89.259259259259252</c:v>
                </c:pt>
                <c:pt idx="12">
                  <c:v>94.444444444444443</c:v>
                </c:pt>
                <c:pt idx="13">
                  <c:v>89.2</c:v>
                </c:pt>
                <c:pt idx="14">
                  <c:v>88.9</c:v>
                </c:pt>
                <c:pt idx="15">
                  <c:v>92.2</c:v>
                </c:pt>
                <c:pt idx="16">
                  <c:v>106</c:v>
                </c:pt>
                <c:pt idx="17">
                  <c:v>83.9</c:v>
                </c:pt>
                <c:pt idx="18">
                  <c:v>89.4</c:v>
                </c:pt>
                <c:pt idx="19">
                  <c:v>82.9</c:v>
                </c:pt>
                <c:pt idx="20">
                  <c:v>84.9</c:v>
                </c:pt>
                <c:pt idx="21">
                  <c:v>71.8</c:v>
                </c:pt>
                <c:pt idx="22">
                  <c:v>84</c:v>
                </c:pt>
                <c:pt idx="23">
                  <c:v>92.1</c:v>
                </c:pt>
                <c:pt idx="24">
                  <c:v>84.7</c:v>
                </c:pt>
                <c:pt idx="25">
                  <c:v>88.6</c:v>
                </c:pt>
                <c:pt idx="26">
                  <c:v>100</c:v>
                </c:pt>
                <c:pt idx="27">
                  <c:v>90</c:v>
                </c:pt>
                <c:pt idx="28">
                  <c:v>65.3</c:v>
                </c:pt>
                <c:pt idx="29">
                  <c:v>100</c:v>
                </c:pt>
                <c:pt idx="30">
                  <c:v>86</c:v>
                </c:pt>
                <c:pt idx="31">
                  <c:v>89.5</c:v>
                </c:pt>
                <c:pt idx="32">
                  <c:v>74.7</c:v>
                </c:pt>
                <c:pt idx="33">
                  <c:v>96.2</c:v>
                </c:pt>
                <c:pt idx="34">
                  <c:v>100.6</c:v>
                </c:pt>
                <c:pt idx="35">
                  <c:v>100.4</c:v>
                </c:pt>
                <c:pt idx="41">
                  <c:v>99.7</c:v>
                </c:pt>
                <c:pt idx="42">
                  <c:v>95.1</c:v>
                </c:pt>
                <c:pt idx="43">
                  <c:v>100.3</c:v>
                </c:pt>
                <c:pt idx="44">
                  <c:v>93.9</c:v>
                </c:pt>
                <c:pt idx="45">
                  <c:v>83.8</c:v>
                </c:pt>
              </c:numCache>
            </c:numRef>
          </c:val>
          <c:smooth val="0"/>
        </c:ser>
        <c:ser>
          <c:idx val="0"/>
          <c:order val="1"/>
          <c:tx>
            <c:strRef>
              <c:f>ほや!$Y$101</c:f>
              <c:strCache>
                <c:ptCount val="1"/>
                <c:pt idx="0">
                  <c:v>Be-7</c:v>
                </c:pt>
              </c:strCache>
            </c:strRef>
          </c:tx>
          <c:spPr>
            <a:ln w="12700">
              <a:solidFill>
                <a:srgbClr val="0066FF"/>
              </a:solidFill>
              <a:prstDash val="sysDash"/>
            </a:ln>
          </c:spPr>
          <c:marker>
            <c:symbol val="circle"/>
            <c:size val="5"/>
            <c:spPr>
              <a:solidFill>
                <a:srgbClr val="FFFFFF"/>
              </a:solidFill>
              <a:ln>
                <a:solidFill>
                  <a:srgbClr val="0066FF"/>
                </a:solidFill>
                <a:prstDash val="solid"/>
              </a:ln>
            </c:spPr>
          </c:marker>
          <c:cat>
            <c:numRef>
              <c:f>ほや!$X$102:$X$159</c:f>
              <c:numCache>
                <c:formatCode>[$-411]m\.d\.ge</c:formatCode>
                <c:ptCount val="58"/>
                <c:pt idx="0">
                  <c:v>29902</c:v>
                </c:pt>
                <c:pt idx="2">
                  <c:v>30144</c:v>
                </c:pt>
                <c:pt idx="5">
                  <c:v>30522</c:v>
                </c:pt>
                <c:pt idx="6">
                  <c:v>30866</c:v>
                </c:pt>
                <c:pt idx="7">
                  <c:v>31243</c:v>
                </c:pt>
                <c:pt idx="8">
                  <c:v>31526</c:v>
                </c:pt>
                <c:pt idx="9">
                  <c:v>31527</c:v>
                </c:pt>
                <c:pt idx="10">
                  <c:v>31528</c:v>
                </c:pt>
                <c:pt idx="11">
                  <c:v>31608</c:v>
                </c:pt>
                <c:pt idx="12">
                  <c:v>31968</c:v>
                </c:pt>
                <c:pt idx="13">
                  <c:v>32359</c:v>
                </c:pt>
                <c:pt idx="14">
                  <c:v>32709</c:v>
                </c:pt>
                <c:pt idx="15">
                  <c:v>33067</c:v>
                </c:pt>
                <c:pt idx="16">
                  <c:v>33443</c:v>
                </c:pt>
                <c:pt idx="17">
                  <c:v>33800</c:v>
                </c:pt>
                <c:pt idx="18">
                  <c:v>34163</c:v>
                </c:pt>
                <c:pt idx="19">
                  <c:v>34520</c:v>
                </c:pt>
                <c:pt idx="20">
                  <c:v>34913</c:v>
                </c:pt>
                <c:pt idx="21">
                  <c:v>35249</c:v>
                </c:pt>
                <c:pt idx="22">
                  <c:v>35620</c:v>
                </c:pt>
                <c:pt idx="23">
                  <c:v>35997</c:v>
                </c:pt>
                <c:pt idx="24">
                  <c:v>36349</c:v>
                </c:pt>
                <c:pt idx="25">
                  <c:v>36720</c:v>
                </c:pt>
                <c:pt idx="26">
                  <c:v>37088</c:v>
                </c:pt>
                <c:pt idx="27">
                  <c:v>37456</c:v>
                </c:pt>
                <c:pt idx="28">
                  <c:v>37810</c:v>
                </c:pt>
                <c:pt idx="29">
                  <c:v>38188</c:v>
                </c:pt>
                <c:pt idx="30">
                  <c:v>38538</c:v>
                </c:pt>
                <c:pt idx="31">
                  <c:v>38904</c:v>
                </c:pt>
                <c:pt idx="32">
                  <c:v>39281</c:v>
                </c:pt>
                <c:pt idx="33">
                  <c:v>39666</c:v>
                </c:pt>
                <c:pt idx="34">
                  <c:v>40000</c:v>
                </c:pt>
                <c:pt idx="35">
                  <c:v>40379</c:v>
                </c:pt>
                <c:pt idx="36">
                  <c:v>40611</c:v>
                </c:pt>
                <c:pt idx="37">
                  <c:v>40612</c:v>
                </c:pt>
                <c:pt idx="38">
                  <c:v>40613</c:v>
                </c:pt>
                <c:pt idx="39">
                  <c:v>40695</c:v>
                </c:pt>
                <c:pt idx="40">
                  <c:v>41253</c:v>
                </c:pt>
                <c:pt idx="41">
                  <c:v>41483</c:v>
                </c:pt>
                <c:pt idx="42">
                  <c:v>41835</c:v>
                </c:pt>
                <c:pt idx="43">
                  <c:v>42201</c:v>
                </c:pt>
                <c:pt idx="44">
                  <c:v>42571</c:v>
                </c:pt>
                <c:pt idx="45">
                  <c:v>42926</c:v>
                </c:pt>
              </c:numCache>
            </c:numRef>
          </c:cat>
          <c:val>
            <c:numRef>
              <c:f>ほや!$Y$102:$Y$159</c:f>
              <c:numCache>
                <c:formatCode>0.0</c:formatCode>
                <c:ptCount val="58"/>
                <c:pt idx="2">
                  <c:v>7.0370370370370372</c:v>
                </c:pt>
                <c:pt idx="5">
                  <c:v>10.518518518518519</c:v>
                </c:pt>
                <c:pt idx="6">
                  <c:v>30.111111111111111</c:v>
                </c:pt>
                <c:pt idx="7">
                  <c:v>22.62962962962963</c:v>
                </c:pt>
                <c:pt idx="11">
                  <c:v>18.037037037037038</c:v>
                </c:pt>
                <c:pt idx="12">
                  <c:v>9.4074074074074066</c:v>
                </c:pt>
                <c:pt idx="13">
                  <c:v>28.8</c:v>
                </c:pt>
                <c:pt idx="14">
                  <c:v>7.2</c:v>
                </c:pt>
                <c:pt idx="15">
                  <c:v>6.1</c:v>
                </c:pt>
                <c:pt idx="16">
                  <c:v>9.1999999999999993</c:v>
                </c:pt>
                <c:pt idx="17">
                  <c:v>13.8</c:v>
                </c:pt>
                <c:pt idx="18">
                  <c:v>7.5</c:v>
                </c:pt>
                <c:pt idx="19">
                  <c:v>7.3</c:v>
                </c:pt>
                <c:pt idx="20">
                  <c:v>11.2</c:v>
                </c:pt>
                <c:pt idx="21">
                  <c:v>10</c:v>
                </c:pt>
                <c:pt idx="22">
                  <c:v>14.4</c:v>
                </c:pt>
                <c:pt idx="23">
                  <c:v>7.1</c:v>
                </c:pt>
                <c:pt idx="24">
                  <c:v>7.9</c:v>
                </c:pt>
                <c:pt idx="25">
                  <c:v>6</c:v>
                </c:pt>
                <c:pt idx="26">
                  <c:v>7.4</c:v>
                </c:pt>
                <c:pt idx="27">
                  <c:v>12.4</c:v>
                </c:pt>
                <c:pt idx="28">
                  <c:v>8.4</c:v>
                </c:pt>
                <c:pt idx="29">
                  <c:v>7.5</c:v>
                </c:pt>
                <c:pt idx="30">
                  <c:v>6.9</c:v>
                </c:pt>
                <c:pt idx="31">
                  <c:v>11.6</c:v>
                </c:pt>
                <c:pt idx="32">
                  <c:v>15.4</c:v>
                </c:pt>
                <c:pt idx="33">
                  <c:v>6</c:v>
                </c:pt>
                <c:pt idx="34">
                  <c:v>13.9</c:v>
                </c:pt>
                <c:pt idx="35">
                  <c:v>8.3000000000000007</c:v>
                </c:pt>
                <c:pt idx="41">
                  <c:v>9</c:v>
                </c:pt>
                <c:pt idx="42">
                  <c:v>7.5</c:v>
                </c:pt>
                <c:pt idx="43">
                  <c:v>6.9</c:v>
                </c:pt>
                <c:pt idx="44">
                  <c:v>11.2</c:v>
                </c:pt>
                <c:pt idx="45">
                  <c:v>9.5</c:v>
                </c:pt>
              </c:numCache>
            </c:numRef>
          </c:val>
          <c:smooth val="0"/>
        </c:ser>
        <c:ser>
          <c:idx val="2"/>
          <c:order val="2"/>
          <c:tx>
            <c:strRef>
              <c:f>ほや!$AB$101</c:f>
              <c:strCache>
                <c:ptCount val="1"/>
                <c:pt idx="0">
                  <c:v>Cs-137</c:v>
                </c:pt>
              </c:strCache>
            </c:strRef>
          </c:tx>
          <c:spPr>
            <a:ln w="3175">
              <a:solidFill>
                <a:srgbClr val="FF0000"/>
              </a:solidFill>
              <a:prstDash val="sysDash"/>
            </a:ln>
          </c:spPr>
          <c:marker>
            <c:symbol val="triangle"/>
            <c:size val="6"/>
            <c:spPr>
              <a:solidFill>
                <a:srgbClr val="FF0000"/>
              </a:solidFill>
              <a:ln>
                <a:solidFill>
                  <a:srgbClr val="FF0000"/>
                </a:solidFill>
                <a:prstDash val="solid"/>
              </a:ln>
            </c:spPr>
          </c:marker>
          <c:cat>
            <c:numRef>
              <c:f>ほや!$X$102:$X$159</c:f>
              <c:numCache>
                <c:formatCode>[$-411]m\.d\.ge</c:formatCode>
                <c:ptCount val="58"/>
                <c:pt idx="0">
                  <c:v>29902</c:v>
                </c:pt>
                <c:pt idx="2">
                  <c:v>30144</c:v>
                </c:pt>
                <c:pt idx="5">
                  <c:v>30522</c:v>
                </c:pt>
                <c:pt idx="6">
                  <c:v>30866</c:v>
                </c:pt>
                <c:pt idx="7">
                  <c:v>31243</c:v>
                </c:pt>
                <c:pt idx="8">
                  <c:v>31526</c:v>
                </c:pt>
                <c:pt idx="9">
                  <c:v>31527</c:v>
                </c:pt>
                <c:pt idx="10">
                  <c:v>31528</c:v>
                </c:pt>
                <c:pt idx="11">
                  <c:v>31608</c:v>
                </c:pt>
                <c:pt idx="12">
                  <c:v>31968</c:v>
                </c:pt>
                <c:pt idx="13">
                  <c:v>32359</c:v>
                </c:pt>
                <c:pt idx="14">
                  <c:v>32709</c:v>
                </c:pt>
                <c:pt idx="15">
                  <c:v>33067</c:v>
                </c:pt>
                <c:pt idx="16">
                  <c:v>33443</c:v>
                </c:pt>
                <c:pt idx="17">
                  <c:v>33800</c:v>
                </c:pt>
                <c:pt idx="18">
                  <c:v>34163</c:v>
                </c:pt>
                <c:pt idx="19">
                  <c:v>34520</c:v>
                </c:pt>
                <c:pt idx="20">
                  <c:v>34913</c:v>
                </c:pt>
                <c:pt idx="21">
                  <c:v>35249</c:v>
                </c:pt>
                <c:pt idx="22">
                  <c:v>35620</c:v>
                </c:pt>
                <c:pt idx="23">
                  <c:v>35997</c:v>
                </c:pt>
                <c:pt idx="24">
                  <c:v>36349</c:v>
                </c:pt>
                <c:pt idx="25">
                  <c:v>36720</c:v>
                </c:pt>
                <c:pt idx="26">
                  <c:v>37088</c:v>
                </c:pt>
                <c:pt idx="27">
                  <c:v>37456</c:v>
                </c:pt>
                <c:pt idx="28">
                  <c:v>37810</c:v>
                </c:pt>
                <c:pt idx="29">
                  <c:v>38188</c:v>
                </c:pt>
                <c:pt idx="30">
                  <c:v>38538</c:v>
                </c:pt>
                <c:pt idx="31">
                  <c:v>38904</c:v>
                </c:pt>
                <c:pt idx="32">
                  <c:v>39281</c:v>
                </c:pt>
                <c:pt idx="33">
                  <c:v>39666</c:v>
                </c:pt>
                <c:pt idx="34">
                  <c:v>40000</c:v>
                </c:pt>
                <c:pt idx="35">
                  <c:v>40379</c:v>
                </c:pt>
                <c:pt idx="36">
                  <c:v>40611</c:v>
                </c:pt>
                <c:pt idx="37">
                  <c:v>40612</c:v>
                </c:pt>
                <c:pt idx="38">
                  <c:v>40613</c:v>
                </c:pt>
                <c:pt idx="39">
                  <c:v>40695</c:v>
                </c:pt>
                <c:pt idx="40">
                  <c:v>41253</c:v>
                </c:pt>
                <c:pt idx="41">
                  <c:v>41483</c:v>
                </c:pt>
                <c:pt idx="42">
                  <c:v>41835</c:v>
                </c:pt>
                <c:pt idx="43">
                  <c:v>42201</c:v>
                </c:pt>
                <c:pt idx="44">
                  <c:v>42571</c:v>
                </c:pt>
                <c:pt idx="45">
                  <c:v>42926</c:v>
                </c:pt>
              </c:numCache>
            </c:numRef>
          </c:cat>
          <c:val>
            <c:numRef>
              <c:f>ほや!$AB$102:$AB$159</c:f>
              <c:numCache>
                <c:formatCode>0_);[Red]\(0\)</c:formatCode>
                <c:ptCount val="58"/>
                <c:pt idx="2" formatCode="0.000">
                  <c:v>1.0833275620966453E-2</c:v>
                </c:pt>
                <c:pt idx="5" formatCode="&quot;(&quot;0.000&quot;)&quot;">
                  <c:v>6.6666666666666666E-2</c:v>
                </c:pt>
                <c:pt idx="6" formatCode="0.000">
                  <c:v>1.0350724507673032E-2</c:v>
                </c:pt>
                <c:pt idx="7" formatCode="0.000">
                  <c:v>4.8148148148148148E-2</c:v>
                </c:pt>
                <c:pt idx="11" formatCode="&quot;(&quot;0.000&quot;)&quot;">
                  <c:v>0.11481481481481481</c:v>
                </c:pt>
                <c:pt idx="12" formatCode="0.000">
                  <c:v>7.407407407407407E-2</c:v>
                </c:pt>
                <c:pt idx="13" formatCode="&quot;(&quot;0.000&quot;)&quot;">
                  <c:v>4.1000000000000002E-2</c:v>
                </c:pt>
                <c:pt idx="14" formatCode="0.000">
                  <c:v>5.3999999999999999E-2</c:v>
                </c:pt>
                <c:pt idx="15" formatCode="0.000">
                  <c:v>4.3999999999999997E-2</c:v>
                </c:pt>
                <c:pt idx="16" formatCode="0.000">
                  <c:v>5.3999999999999999E-2</c:v>
                </c:pt>
                <c:pt idx="17" formatCode="&quot;(&quot;0.000&quot;)&quot;">
                  <c:v>4.2999999999999997E-2</c:v>
                </c:pt>
                <c:pt idx="18" formatCode="0.000">
                  <c:v>9.3147435142685985E-3</c:v>
                </c:pt>
                <c:pt idx="19" formatCode="0.000">
                  <c:v>2.3E-2</c:v>
                </c:pt>
                <c:pt idx="20" formatCode="0.000">
                  <c:v>4.1000000000000002E-2</c:v>
                </c:pt>
                <c:pt idx="21" formatCode="0.000">
                  <c:v>8.6977137495437597E-3</c:v>
                </c:pt>
                <c:pt idx="22" formatCode="0.000">
                  <c:v>2.4E-2</c:v>
                </c:pt>
                <c:pt idx="23" formatCode="0.000">
                  <c:v>0.02</c:v>
                </c:pt>
                <c:pt idx="24" formatCode="0.000">
                  <c:v>3.9E-2</c:v>
                </c:pt>
                <c:pt idx="25" formatCode="0.000">
                  <c:v>2.9000000000000001E-2</c:v>
                </c:pt>
                <c:pt idx="26" formatCode="0.000">
                  <c:v>7.7446288394474707E-3</c:v>
                </c:pt>
                <c:pt idx="27" formatCode="0.000">
                  <c:v>3.5999999999999997E-2</c:v>
                </c:pt>
                <c:pt idx="28" formatCode="0.000">
                  <c:v>7.3996566076612808E-3</c:v>
                </c:pt>
                <c:pt idx="29" formatCode="&quot;(&quot;0.000&quot;)&quot;">
                  <c:v>3.1E-2</c:v>
                </c:pt>
                <c:pt idx="30" formatCode="0.000">
                  <c:v>7.0673739478343605E-3</c:v>
                </c:pt>
                <c:pt idx="31" formatCode="&quot;(&quot;0.000&quot;)&quot;">
                  <c:v>2.1000000000000001E-2</c:v>
                </c:pt>
                <c:pt idx="32" formatCode="0.000">
                  <c:v>6.7436255385552625E-3</c:v>
                </c:pt>
                <c:pt idx="33" formatCode="&quot;(&quot;0.000&quot;)&quot;">
                  <c:v>2.4E-2</c:v>
                </c:pt>
                <c:pt idx="34" formatCode="0.000">
                  <c:v>6.4444614429251023E-3</c:v>
                </c:pt>
                <c:pt idx="35" formatCode="0.000">
                  <c:v>6.2921454392572806E-3</c:v>
                </c:pt>
                <c:pt idx="41" formatCode="0.000">
                  <c:v>0.61</c:v>
                </c:pt>
                <c:pt idx="42" formatCode="0.000">
                  <c:v>0.13800000000000001</c:v>
                </c:pt>
                <c:pt idx="43" formatCode="0.000">
                  <c:v>5.7000000000000002E-2</c:v>
                </c:pt>
                <c:pt idx="44" formatCode="0.000">
                  <c:v>0.08</c:v>
                </c:pt>
                <c:pt idx="45" formatCode="0.000">
                  <c:v>2.9000000000000001E-2</c:v>
                </c:pt>
              </c:numCache>
            </c:numRef>
          </c:val>
          <c:smooth val="0"/>
        </c:ser>
        <c:ser>
          <c:idx val="4"/>
          <c:order val="3"/>
          <c:tx>
            <c:strRef>
              <c:f>ほや!$AA$101</c:f>
              <c:strCache>
                <c:ptCount val="1"/>
                <c:pt idx="0">
                  <c:v>Cs-134</c:v>
                </c:pt>
              </c:strCache>
            </c:strRef>
          </c:tx>
          <c:spPr>
            <a:ln w="12700">
              <a:solidFill>
                <a:srgbClr val="FF0000"/>
              </a:solidFill>
              <a:prstDash val="sysDot"/>
            </a:ln>
          </c:spPr>
          <c:marker>
            <c:symbol val="triangle"/>
            <c:size val="6"/>
            <c:spPr>
              <a:solidFill>
                <a:srgbClr val="FFFFFF"/>
              </a:solidFill>
              <a:ln>
                <a:solidFill>
                  <a:srgbClr val="FF0000"/>
                </a:solidFill>
                <a:prstDash val="solid"/>
              </a:ln>
            </c:spPr>
          </c:marker>
          <c:val>
            <c:numRef>
              <c:f>ほや!$AA$102:$AA$159</c:f>
              <c:numCache>
                <c:formatCode>0_);[Red]\(0\)</c:formatCode>
                <c:ptCount val="58"/>
                <c:pt idx="2" formatCode="0.000">
                  <c:v>8.4035404930440268E-3</c:v>
                </c:pt>
                <c:pt idx="5" formatCode="0.000">
                  <c:v>5.9343932061362613E-3</c:v>
                </c:pt>
                <c:pt idx="6" formatCode="0.000">
                  <c:v>4.3239442375943831E-3</c:v>
                </c:pt>
                <c:pt idx="7" formatCode="0.000">
                  <c:v>3.0562846810344903E-3</c:v>
                </c:pt>
                <c:pt idx="11" formatCode="0.000">
                  <c:v>9.754689065522246E-3</c:v>
                </c:pt>
                <c:pt idx="12" formatCode="0.000">
                  <c:v>7.0036111061716096E-3</c:v>
                </c:pt>
                <c:pt idx="13" formatCode="0.000">
                  <c:v>4.8869732950671341E-3</c:v>
                </c:pt>
                <c:pt idx="14" formatCode="0.000">
                  <c:v>3.5411599313083441E-3</c:v>
                </c:pt>
                <c:pt idx="15" formatCode="0.000">
                  <c:v>2.5471441892180062E-3</c:v>
                </c:pt>
                <c:pt idx="16" formatCode="0.000">
                  <c:v>1.8020504642038279E-3</c:v>
                </c:pt>
                <c:pt idx="17" formatCode="0.000">
                  <c:v>1.2974022174213101E-3</c:v>
                </c:pt>
                <c:pt idx="18" formatCode="0.000">
                  <c:v>9.289324472658546E-4</c:v>
                </c:pt>
                <c:pt idx="19" formatCode="0.000">
                  <c:v>6.6879315582862896E-4</c:v>
                </c:pt>
                <c:pt idx="20" formatCode="0.000">
                  <c:v>4.6581167181277734E-4</c:v>
                </c:pt>
                <c:pt idx="21" formatCode="0.000">
                  <c:v>3.4190993391058298E-4</c:v>
                </c:pt>
                <c:pt idx="22" formatCode="0.000">
                  <c:v>2.4300971116221267E-4</c:v>
                </c:pt>
                <c:pt idx="23" formatCode="0.000">
                  <c:v>1.7176605819988318E-4</c:v>
                </c:pt>
                <c:pt idx="24" formatCode="0.000">
                  <c:v>1.2423487525101427E-4</c:v>
                </c:pt>
                <c:pt idx="25" formatCode="0.000">
                  <c:v>8.829892950380887E-5</c:v>
                </c:pt>
                <c:pt idx="26" formatCode="0.000">
                  <c:v>6.2931262385517377E-5</c:v>
                </c:pt>
                <c:pt idx="27" formatCode="0.000">
                  <c:v>4.4851549250820831E-5</c:v>
                </c:pt>
                <c:pt idx="28" formatCode="0.000">
                  <c:v>3.238055074306322E-5</c:v>
                </c:pt>
                <c:pt idx="29" formatCode="0.000">
                  <c:v>2.2866424038730206E-5</c:v>
                </c:pt>
                <c:pt idx="30" formatCode="0.000">
                  <c:v>1.6569287305087466E-5</c:v>
                </c:pt>
                <c:pt idx="31" formatCode="0.000">
                  <c:v>1.1830803209360365E-5</c:v>
                </c:pt>
                <c:pt idx="32" formatCode="0.000">
                  <c:v>8.3623424878435313E-6</c:v>
                </c:pt>
                <c:pt idx="33" formatCode="0.000">
                  <c:v>5.8673782112503683E-6</c:v>
                </c:pt>
                <c:pt idx="34" formatCode="0.000">
                  <c:v>4.3146426593799798E-6</c:v>
                </c:pt>
                <c:pt idx="35" formatCode="0.000">
                  <c:v>3.0441016915609379E-6</c:v>
                </c:pt>
                <c:pt idx="41" formatCode="0.000">
                  <c:v>0.25</c:v>
                </c:pt>
                <c:pt idx="42" formatCode="&quot;(&quot;0.000&quot;)&quot;">
                  <c:v>4.9000000000000002E-2</c:v>
                </c:pt>
                <c:pt idx="43" formatCode="0.000">
                  <c:v>2.5507723283308453E-3</c:v>
                </c:pt>
                <c:pt idx="44" formatCode="&quot;(&quot;0.000&quot;)&quot;">
                  <c:v>2.7E-2</c:v>
                </c:pt>
                <c:pt idx="45" formatCode="0.000">
                  <c:v>1.3088515431728723E-3</c:v>
                </c:pt>
              </c:numCache>
            </c:numRef>
          </c:val>
          <c:smooth val="0"/>
        </c:ser>
        <c:ser>
          <c:idx val="3"/>
          <c:order val="4"/>
          <c:tx>
            <c:strRef>
              <c:f>ほや!$AI$101</c:f>
              <c:strCache>
                <c:ptCount val="1"/>
                <c:pt idx="0">
                  <c:v>Be7崩壊</c:v>
                </c:pt>
              </c:strCache>
            </c:strRef>
          </c:tx>
          <c:spPr>
            <a:ln w="28575">
              <a:solidFill>
                <a:srgbClr val="0066FF"/>
              </a:solidFill>
              <a:prstDash val="sysDot"/>
            </a:ln>
          </c:spPr>
          <c:marker>
            <c:symbol val="none"/>
          </c:marker>
          <c:cat>
            <c:numRef>
              <c:f>ほや!$X$102:$X$159</c:f>
              <c:numCache>
                <c:formatCode>[$-411]m\.d\.ge</c:formatCode>
                <c:ptCount val="58"/>
                <c:pt idx="0">
                  <c:v>29902</c:v>
                </c:pt>
                <c:pt idx="2">
                  <c:v>30144</c:v>
                </c:pt>
                <c:pt idx="5">
                  <c:v>30522</c:v>
                </c:pt>
                <c:pt idx="6">
                  <c:v>30866</c:v>
                </c:pt>
                <c:pt idx="7">
                  <c:v>31243</c:v>
                </c:pt>
                <c:pt idx="8">
                  <c:v>31526</c:v>
                </c:pt>
                <c:pt idx="9">
                  <c:v>31527</c:v>
                </c:pt>
                <c:pt idx="10">
                  <c:v>31528</c:v>
                </c:pt>
                <c:pt idx="11">
                  <c:v>31608</c:v>
                </c:pt>
                <c:pt idx="12">
                  <c:v>31968</c:v>
                </c:pt>
                <c:pt idx="13">
                  <c:v>32359</c:v>
                </c:pt>
                <c:pt idx="14">
                  <c:v>32709</c:v>
                </c:pt>
                <c:pt idx="15">
                  <c:v>33067</c:v>
                </c:pt>
                <c:pt idx="16">
                  <c:v>33443</c:v>
                </c:pt>
                <c:pt idx="17">
                  <c:v>33800</c:v>
                </c:pt>
                <c:pt idx="18">
                  <c:v>34163</c:v>
                </c:pt>
                <c:pt idx="19">
                  <c:v>34520</c:v>
                </c:pt>
                <c:pt idx="20">
                  <c:v>34913</c:v>
                </c:pt>
                <c:pt idx="21">
                  <c:v>35249</c:v>
                </c:pt>
                <c:pt idx="22">
                  <c:v>35620</c:v>
                </c:pt>
                <c:pt idx="23">
                  <c:v>35997</c:v>
                </c:pt>
                <c:pt idx="24">
                  <c:v>36349</c:v>
                </c:pt>
                <c:pt idx="25">
                  <c:v>36720</c:v>
                </c:pt>
                <c:pt idx="26">
                  <c:v>37088</c:v>
                </c:pt>
                <c:pt idx="27">
                  <c:v>37456</c:v>
                </c:pt>
                <c:pt idx="28">
                  <c:v>37810</c:v>
                </c:pt>
                <c:pt idx="29">
                  <c:v>38188</c:v>
                </c:pt>
                <c:pt idx="30">
                  <c:v>38538</c:v>
                </c:pt>
                <c:pt idx="31">
                  <c:v>38904</c:v>
                </c:pt>
                <c:pt idx="32">
                  <c:v>39281</c:v>
                </c:pt>
                <c:pt idx="33">
                  <c:v>39666</c:v>
                </c:pt>
                <c:pt idx="34">
                  <c:v>40000</c:v>
                </c:pt>
                <c:pt idx="35">
                  <c:v>40379</c:v>
                </c:pt>
                <c:pt idx="36">
                  <c:v>40611</c:v>
                </c:pt>
                <c:pt idx="37">
                  <c:v>40612</c:v>
                </c:pt>
                <c:pt idx="38">
                  <c:v>40613</c:v>
                </c:pt>
                <c:pt idx="39">
                  <c:v>40695</c:v>
                </c:pt>
                <c:pt idx="40">
                  <c:v>41253</c:v>
                </c:pt>
                <c:pt idx="41">
                  <c:v>41483</c:v>
                </c:pt>
                <c:pt idx="42">
                  <c:v>41835</c:v>
                </c:pt>
                <c:pt idx="43">
                  <c:v>42201</c:v>
                </c:pt>
                <c:pt idx="44">
                  <c:v>42571</c:v>
                </c:pt>
                <c:pt idx="45">
                  <c:v>42926</c:v>
                </c:pt>
              </c:numCache>
            </c:numRef>
          </c:cat>
          <c:val>
            <c:numRef>
              <c:f>ほや!$AI$102:$AI$159</c:f>
              <c:numCache>
                <c:formatCode>0.00</c:formatCode>
                <c:ptCount val="58"/>
                <c:pt idx="0">
                  <c:v>10</c:v>
                </c:pt>
                <c:pt idx="1">
                  <c:v>0.87831685267523607</c:v>
                </c:pt>
                <c:pt idx="2">
                  <c:v>0.41306046065098256</c:v>
                </c:pt>
                <c:pt idx="3">
                  <c:v>0.24233031223123352</c:v>
                </c:pt>
                <c:pt idx="4">
                  <c:v>7.5187395203751301E-3</c:v>
                </c:pt>
                <c:pt idx="5">
                  <c:v>3.4451616214297319E-3</c:v>
                </c:pt>
                <c:pt idx="6">
                  <c:v>3.9776693203886132E-5</c:v>
                </c:pt>
                <c:pt idx="7">
                  <c:v>4.0851446114355073E-7</c:v>
                </c:pt>
                <c:pt idx="8">
                  <c:v>6.7011209606608746E-9</c:v>
                </c:pt>
                <c:pt idx="10">
                  <c:v>6.529044211053326E-9</c:v>
                </c:pt>
                <c:pt idx="11">
                  <c:v>3.4970453023750553E-9</c:v>
                </c:pt>
                <c:pt idx="12">
                  <c:v>2.1346322106841574E-11</c:v>
                </c:pt>
                <c:pt idx="13">
                  <c:v>2.734850088383865E-13</c:v>
                </c:pt>
                <c:pt idx="14">
                  <c:v>2.4343001217209167E-15</c:v>
                </c:pt>
                <c:pt idx="15">
                  <c:v>1.9274112982916104E-17</c:v>
                </c:pt>
                <c:pt idx="16">
                  <c:v>1.830878883698806E-19</c:v>
                </c:pt>
                <c:pt idx="17">
                  <c:v>1.5073241847638898E-21</c:v>
                </c:pt>
                <c:pt idx="18">
                  <c:v>1.1934574697586231E-23</c:v>
                </c:pt>
                <c:pt idx="19">
                  <c:v>1.1336843785809644E-25</c:v>
                </c:pt>
                <c:pt idx="20">
                  <c:v>1.0090966347642036E-27</c:v>
                </c:pt>
                <c:pt idx="21">
                  <c:v>8.7513591093506561E-30</c:v>
                </c:pt>
                <c:pt idx="22">
                  <c:v>7.0197995164050859E-32</c:v>
                </c:pt>
                <c:pt idx="23">
                  <c:v>6.4130282405712216E-34</c:v>
                </c:pt>
                <c:pt idx="24">
                  <c:v>6.0918383100863173E-36</c:v>
                </c:pt>
                <c:pt idx="25">
                  <c:v>4.9504707105423924E-38</c:v>
                </c:pt>
                <c:pt idx="26">
                  <c:v>4.3494882989103179E-40</c:v>
                </c:pt>
                <c:pt idx="27">
                  <c:v>3.8214645775137804E-42</c:v>
                </c:pt>
                <c:pt idx="28">
                  <c:v>3.1054744888804245E-44</c:v>
                </c:pt>
                <c:pt idx="29">
                  <c:v>2.7284728547499703E-46</c:v>
                </c:pt>
                <c:pt idx="30">
                  <c:v>1.9723203203889178E-48</c:v>
                </c:pt>
                <c:pt idx="31">
                  <c:v>1.8735386835652785E-50</c:v>
                </c:pt>
                <c:pt idx="32">
                  <c:v>1.7567054793938009E-52</c:v>
                </c:pt>
                <c:pt idx="33">
                  <c:v>1.4843757661465518E-54</c:v>
                </c:pt>
                <c:pt idx="34">
                  <c:v>1.3918106227232328E-56</c:v>
                </c:pt>
                <c:pt idx="35">
                  <c:v>1.0060926091133049E-58</c:v>
                </c:pt>
                <c:pt idx="36">
                  <c:v>3.203856855407417E-60</c:v>
                </c:pt>
                <c:pt idx="38">
                  <c:v>3.121585653749814E-60</c:v>
                </c:pt>
                <c:pt idx="39">
                  <c:v>1.0743937908808143E-60</c:v>
                </c:pt>
                <c:pt idx="40">
                  <c:v>7.5694427611590807E-64</c:v>
                </c:pt>
                <c:pt idx="41">
                  <c:v>6.3113087900890713E-65</c:v>
                </c:pt>
                <c:pt idx="42">
                  <c:v>7.1926608074639982E-67</c:v>
                </c:pt>
                <c:pt idx="43">
                  <c:v>9.4579691936639017E-69</c:v>
                </c:pt>
                <c:pt idx="44">
                  <c:v>8.2023943007471985E-71</c:v>
                </c:pt>
                <c:pt idx="45">
                  <c:v>7.1135008887531647E-73</c:v>
                </c:pt>
              </c:numCache>
            </c:numRef>
          </c:val>
          <c:smooth val="0"/>
        </c:ser>
        <c:ser>
          <c:idx val="5"/>
          <c:order val="5"/>
          <c:tx>
            <c:strRef>
              <c:f>ほや!$AJ$101</c:f>
              <c:strCache>
                <c:ptCount val="1"/>
                <c:pt idx="0">
                  <c:v>K40崩壊</c:v>
                </c:pt>
              </c:strCache>
            </c:strRef>
          </c:tx>
          <c:spPr>
            <a:ln w="25400">
              <a:solidFill>
                <a:srgbClr val="00B050"/>
              </a:solidFill>
              <a:prstDash val="sysDash"/>
            </a:ln>
          </c:spPr>
          <c:marker>
            <c:symbol val="none"/>
          </c:marker>
          <c:val>
            <c:numRef>
              <c:f>ほや!$AJ$102:$AJ$159</c:f>
              <c:numCache>
                <c:formatCode>0</c:formatCode>
                <c:ptCount val="58"/>
                <c:pt idx="0">
                  <c:v>50</c:v>
                </c:pt>
                <c:pt idx="1">
                  <c:v>49.999999986105038</c:v>
                </c:pt>
                <c:pt idx="2">
                  <c:v>49.999999981795376</c:v>
                </c:pt>
                <c:pt idx="3">
                  <c:v>49.999999978748875</c:v>
                </c:pt>
                <c:pt idx="4">
                  <c:v>49.999999958909548</c:v>
                </c:pt>
                <c:pt idx="5">
                  <c:v>49.999999954451269</c:v>
                </c:pt>
                <c:pt idx="6">
                  <c:v>49.999999928964776</c:v>
                </c:pt>
                <c:pt idx="7">
                  <c:v>49.999999902809556</c:v>
                </c:pt>
                <c:pt idx="8">
                  <c:v>49.999999879329295</c:v>
                </c:pt>
                <c:pt idx="10">
                  <c:v>49.999999879180692</c:v>
                </c:pt>
                <c:pt idx="11">
                  <c:v>49.999999875614066</c:v>
                </c:pt>
                <c:pt idx="12">
                  <c:v>49.999999846486652</c:v>
                </c:pt>
                <c:pt idx="13">
                  <c:v>49.999999821594606</c:v>
                </c:pt>
                <c:pt idx="14">
                  <c:v>49.999999794622028</c:v>
                </c:pt>
                <c:pt idx="15">
                  <c:v>49.999999766980707</c:v>
                </c:pt>
                <c:pt idx="16">
                  <c:v>49.99999974037965</c:v>
                </c:pt>
                <c:pt idx="17">
                  <c:v>49.999999712961255</c:v>
                </c:pt>
                <c:pt idx="18">
                  <c:v>49.999999685319928</c:v>
                </c:pt>
                <c:pt idx="19">
                  <c:v>49.999999658718878</c:v>
                </c:pt>
                <c:pt idx="20">
                  <c:v>49.999999631746306</c:v>
                </c:pt>
                <c:pt idx="21">
                  <c:v>49.999999604625117</c:v>
                </c:pt>
                <c:pt idx="22">
                  <c:v>49.999999577058105</c:v>
                </c:pt>
                <c:pt idx="23">
                  <c:v>49.999999550234136</c:v>
                </c:pt>
                <c:pt idx="24">
                  <c:v>49.999999523633079</c:v>
                </c:pt>
                <c:pt idx="25">
                  <c:v>49.999999496140376</c:v>
                </c:pt>
                <c:pt idx="26">
                  <c:v>49.999999469093488</c:v>
                </c:pt>
                <c:pt idx="27">
                  <c:v>49.999999442046608</c:v>
                </c:pt>
                <c:pt idx="28">
                  <c:v>49.999999414553905</c:v>
                </c:pt>
                <c:pt idx="29">
                  <c:v>49.999999387507017</c:v>
                </c:pt>
                <c:pt idx="30">
                  <c:v>49.999999359345566</c:v>
                </c:pt>
                <c:pt idx="31">
                  <c:v>49.999999332744515</c:v>
                </c:pt>
                <c:pt idx="32">
                  <c:v>49.999999306069164</c:v>
                </c:pt>
                <c:pt idx="33">
                  <c:v>49.999999278799365</c:v>
                </c:pt>
                <c:pt idx="34">
                  <c:v>49.999999252124006</c:v>
                </c:pt>
                <c:pt idx="35">
                  <c:v>49.999999223962554</c:v>
                </c:pt>
                <c:pt idx="36">
                  <c:v>49.99999920427183</c:v>
                </c:pt>
                <c:pt idx="38">
                  <c:v>49.999999204123228</c:v>
                </c:pt>
                <c:pt idx="39">
                  <c:v>49.999999198030245</c:v>
                </c:pt>
                <c:pt idx="40">
                  <c:v>49.999999156568272</c:v>
                </c:pt>
                <c:pt idx="41">
                  <c:v>49.99999914237609</c:v>
                </c:pt>
                <c:pt idx="42">
                  <c:v>49.999999116815289</c:v>
                </c:pt>
                <c:pt idx="43">
                  <c:v>49.999999092071853</c:v>
                </c:pt>
                <c:pt idx="44">
                  <c:v>49.999999064950664</c:v>
                </c:pt>
                <c:pt idx="45">
                  <c:v>49.999999037829483</c:v>
                </c:pt>
              </c:numCache>
            </c:numRef>
          </c:val>
          <c:smooth val="0"/>
        </c:ser>
        <c:dLbls>
          <c:showLegendKey val="0"/>
          <c:showVal val="0"/>
          <c:showCatName val="0"/>
          <c:showSerName val="0"/>
          <c:showPercent val="0"/>
          <c:showBubbleSize val="0"/>
        </c:dLbls>
        <c:marker val="1"/>
        <c:smooth val="0"/>
        <c:axId val="252025856"/>
        <c:axId val="252031744"/>
      </c:lineChart>
      <c:dateAx>
        <c:axId val="252025856"/>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52031744"/>
        <c:crossesAt val="1.0000000000000002E-3"/>
        <c:auto val="0"/>
        <c:lblOffset val="100"/>
        <c:baseTimeUnit val="days"/>
        <c:majorUnit val="24"/>
        <c:majorTimeUnit val="months"/>
        <c:minorUnit val="3"/>
        <c:minorTimeUnit val="months"/>
      </c:dateAx>
      <c:valAx>
        <c:axId val="252031744"/>
        <c:scaling>
          <c:logBase val="10"/>
          <c:orientation val="minMax"/>
          <c:min val="1.0000000000000002E-3"/>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a:t>
                </a:r>
              </a:p>
            </c:rich>
          </c:tx>
          <c:layout>
            <c:manualLayout>
              <c:xMode val="edge"/>
              <c:yMode val="edge"/>
              <c:x val="7.5528700906344415E-3"/>
              <c:y val="0.35231316725978645"/>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52025856"/>
        <c:crosses val="autoZero"/>
        <c:crossBetween val="between"/>
        <c:minorUnit val="10"/>
      </c:valAx>
      <c:spPr>
        <a:noFill/>
        <a:ln w="12700">
          <a:solidFill>
            <a:srgbClr val="808080"/>
          </a:solidFill>
          <a:prstDash val="solid"/>
        </a:ln>
      </c:spPr>
    </c:plotArea>
    <c:legend>
      <c:legendPos val="r"/>
      <c:layout>
        <c:manualLayout>
          <c:xMode val="edge"/>
          <c:yMode val="edge"/>
          <c:x val="0.32678751258811684"/>
          <c:y val="1.7793594306049824E-2"/>
          <c:w val="0.54049729768456123"/>
          <c:h val="0.12614634907697245"/>
        </c:manualLayout>
      </c:layout>
      <c:overlay val="0"/>
      <c:spPr>
        <a:solidFill>
          <a:srgbClr val="FFFFFF"/>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ほやのBe-7</a:t>
            </a:r>
          </a:p>
        </c:rich>
      </c:tx>
      <c:layout>
        <c:manualLayout>
          <c:xMode val="edge"/>
          <c:yMode val="edge"/>
          <c:x val="0.26588994479138378"/>
          <c:y val="0.35695836952765253"/>
        </c:manualLayout>
      </c:layout>
      <c:overlay val="0"/>
      <c:spPr>
        <a:solidFill>
          <a:srgbClr val="FFFFFF"/>
        </a:solidFill>
        <a:ln w="25400">
          <a:noFill/>
        </a:ln>
      </c:spPr>
    </c:title>
    <c:autoTitleDeleted val="0"/>
    <c:plotArea>
      <c:layout>
        <c:manualLayout>
          <c:layoutTarget val="inner"/>
          <c:xMode val="edge"/>
          <c:yMode val="edge"/>
          <c:x val="0.12106887501131323"/>
          <c:y val="3.4669580893135689E-2"/>
          <c:w val="0.90937170784686394"/>
          <c:h val="0.84344214980244903"/>
        </c:manualLayout>
      </c:layout>
      <c:lineChart>
        <c:grouping val="standard"/>
        <c:varyColors val="0"/>
        <c:ser>
          <c:idx val="1"/>
          <c:order val="0"/>
          <c:tx>
            <c:strRef>
              <c:f>ほや!$C$100</c:f>
              <c:strCache>
                <c:ptCount val="1"/>
                <c:pt idx="0">
                  <c:v>小屋取(県)</c:v>
                </c:pt>
              </c:strCache>
            </c:strRef>
          </c:tx>
          <c:spPr>
            <a:ln w="12700">
              <a:solidFill>
                <a:srgbClr val="000080"/>
              </a:solidFill>
              <a:prstDash val="solid"/>
            </a:ln>
          </c:spPr>
          <c:marker>
            <c:symbol val="square"/>
            <c:size val="5"/>
            <c:spPr>
              <a:noFill/>
              <a:ln>
                <a:solidFill>
                  <a:srgbClr val="000080"/>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ほや!$C$102:$C$159</c:f>
              <c:numCache>
                <c:formatCode>0.0</c:formatCode>
                <c:ptCount val="58"/>
                <c:pt idx="0">
                  <c:v>3.5555555555555554</c:v>
                </c:pt>
                <c:pt idx="1">
                  <c:v>5.4444444444444446</c:v>
                </c:pt>
                <c:pt idx="2">
                  <c:v>2.7037037037037037</c:v>
                </c:pt>
                <c:pt idx="3">
                  <c:v>5.4444444444444446</c:v>
                </c:pt>
                <c:pt idx="5">
                  <c:v>7.8148148148148149</c:v>
                </c:pt>
                <c:pt idx="6">
                  <c:v>6.8148148148148149</c:v>
                </c:pt>
                <c:pt idx="7">
                  <c:v>9.518518518518519</c:v>
                </c:pt>
                <c:pt idx="11">
                  <c:v>6.8518518518518521</c:v>
                </c:pt>
                <c:pt idx="13">
                  <c:v>12</c:v>
                </c:pt>
                <c:pt idx="14">
                  <c:v>9.9</c:v>
                </c:pt>
                <c:pt idx="15">
                  <c:v>3.5</c:v>
                </c:pt>
                <c:pt idx="16">
                  <c:v>8.6</c:v>
                </c:pt>
                <c:pt idx="17">
                  <c:v>10</c:v>
                </c:pt>
                <c:pt idx="18">
                  <c:v>9.1999999999999993</c:v>
                </c:pt>
                <c:pt idx="19">
                  <c:v>8.1999999999999993</c:v>
                </c:pt>
                <c:pt idx="20">
                  <c:v>20</c:v>
                </c:pt>
                <c:pt idx="21">
                  <c:v>6.9</c:v>
                </c:pt>
                <c:pt idx="22">
                  <c:v>11.8</c:v>
                </c:pt>
                <c:pt idx="23">
                  <c:v>15.9</c:v>
                </c:pt>
                <c:pt idx="24">
                  <c:v>10.8</c:v>
                </c:pt>
                <c:pt idx="25">
                  <c:v>11.5</c:v>
                </c:pt>
                <c:pt idx="26">
                  <c:v>9.3000000000000007</c:v>
                </c:pt>
                <c:pt idx="27">
                  <c:v>11.1</c:v>
                </c:pt>
                <c:pt idx="28">
                  <c:v>4.5</c:v>
                </c:pt>
                <c:pt idx="29">
                  <c:v>11.6</c:v>
                </c:pt>
                <c:pt idx="30">
                  <c:v>16.2</c:v>
                </c:pt>
                <c:pt idx="31">
                  <c:v>11.1</c:v>
                </c:pt>
                <c:pt idx="32">
                  <c:v>13.9</c:v>
                </c:pt>
                <c:pt idx="33">
                  <c:v>12</c:v>
                </c:pt>
                <c:pt idx="34">
                  <c:v>14.2</c:v>
                </c:pt>
                <c:pt idx="35">
                  <c:v>14.6</c:v>
                </c:pt>
                <c:pt idx="40" formatCode="&quot;(&quot;0&quot;)&quot;">
                  <c:v>9.1</c:v>
                </c:pt>
                <c:pt idx="41">
                  <c:v>7.6</c:v>
                </c:pt>
                <c:pt idx="42">
                  <c:v>5.9</c:v>
                </c:pt>
                <c:pt idx="43">
                  <c:v>7</c:v>
                </c:pt>
                <c:pt idx="44">
                  <c:v>8.6</c:v>
                </c:pt>
                <c:pt idx="45">
                  <c:v>11.6</c:v>
                </c:pt>
              </c:numCache>
            </c:numRef>
          </c:val>
          <c:smooth val="0"/>
        </c:ser>
        <c:ser>
          <c:idx val="2"/>
          <c:order val="1"/>
          <c:tx>
            <c:strRef>
              <c:f>ほや!$N$100</c:f>
              <c:strCache>
                <c:ptCount val="1"/>
                <c:pt idx="0">
                  <c:v>塚浜</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ほや!$N$102:$N$159</c:f>
              <c:numCache>
                <c:formatCode>0.0</c:formatCode>
                <c:ptCount val="58"/>
                <c:pt idx="0">
                  <c:v>5.1851851851851851</c:v>
                </c:pt>
                <c:pt idx="1">
                  <c:v>4.3703703703703702</c:v>
                </c:pt>
                <c:pt idx="2">
                  <c:v>7.2592592592592595</c:v>
                </c:pt>
                <c:pt idx="3">
                  <c:v>6.3703703703703702</c:v>
                </c:pt>
                <c:pt idx="4">
                  <c:v>5.4814814814814818</c:v>
                </c:pt>
                <c:pt idx="5">
                  <c:v>11.518518518518519</c:v>
                </c:pt>
                <c:pt idx="6">
                  <c:v>5.7777777777777777</c:v>
                </c:pt>
                <c:pt idx="7">
                  <c:v>10.62962962962963</c:v>
                </c:pt>
                <c:pt idx="11">
                  <c:v>6.1111111111111107</c:v>
                </c:pt>
                <c:pt idx="13">
                  <c:v>10</c:v>
                </c:pt>
                <c:pt idx="14">
                  <c:v>10.7</c:v>
                </c:pt>
                <c:pt idx="15">
                  <c:v>5</c:v>
                </c:pt>
                <c:pt idx="16">
                  <c:v>7.3</c:v>
                </c:pt>
                <c:pt idx="17">
                  <c:v>10</c:v>
                </c:pt>
                <c:pt idx="18">
                  <c:v>9.9</c:v>
                </c:pt>
                <c:pt idx="19">
                  <c:v>7.4</c:v>
                </c:pt>
                <c:pt idx="20">
                  <c:v>19.100000000000001</c:v>
                </c:pt>
                <c:pt idx="21">
                  <c:v>7.7</c:v>
                </c:pt>
                <c:pt idx="22">
                  <c:v>15.4</c:v>
                </c:pt>
                <c:pt idx="23">
                  <c:v>15.1</c:v>
                </c:pt>
                <c:pt idx="24">
                  <c:v>10.1</c:v>
                </c:pt>
                <c:pt idx="25">
                  <c:v>13.2</c:v>
                </c:pt>
                <c:pt idx="26">
                  <c:v>9.5</c:v>
                </c:pt>
                <c:pt idx="27">
                  <c:v>10.8</c:v>
                </c:pt>
                <c:pt idx="28">
                  <c:v>5.6</c:v>
                </c:pt>
                <c:pt idx="29">
                  <c:v>11</c:v>
                </c:pt>
                <c:pt idx="30">
                  <c:v>11.7</c:v>
                </c:pt>
                <c:pt idx="31">
                  <c:v>9.9</c:v>
                </c:pt>
                <c:pt idx="32">
                  <c:v>13</c:v>
                </c:pt>
                <c:pt idx="33">
                  <c:v>7.4</c:v>
                </c:pt>
                <c:pt idx="34">
                  <c:v>7.1</c:v>
                </c:pt>
                <c:pt idx="35">
                  <c:v>8.8000000000000007</c:v>
                </c:pt>
                <c:pt idx="40">
                  <c:v>9</c:v>
                </c:pt>
                <c:pt idx="41">
                  <c:v>9.6</c:v>
                </c:pt>
                <c:pt idx="42">
                  <c:v>3.7</c:v>
                </c:pt>
                <c:pt idx="43">
                  <c:v>6.2</c:v>
                </c:pt>
                <c:pt idx="44">
                  <c:v>9.4</c:v>
                </c:pt>
                <c:pt idx="45">
                  <c:v>11.2</c:v>
                </c:pt>
              </c:numCache>
            </c:numRef>
          </c:val>
          <c:smooth val="0"/>
        </c:ser>
        <c:ser>
          <c:idx val="3"/>
          <c:order val="2"/>
          <c:tx>
            <c:strRef>
              <c:f>ほや!$Y$100</c:f>
              <c:strCache>
                <c:ptCount val="1"/>
                <c:pt idx="0">
                  <c:v>塚浜h25~←小屋取(電力)</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ほや!$Y$102:$Y$159</c:f>
              <c:numCache>
                <c:formatCode>0.0</c:formatCode>
                <c:ptCount val="58"/>
                <c:pt idx="2">
                  <c:v>7.0370370370370372</c:v>
                </c:pt>
                <c:pt idx="5">
                  <c:v>10.518518518518519</c:v>
                </c:pt>
                <c:pt idx="6">
                  <c:v>30.111111111111111</c:v>
                </c:pt>
                <c:pt idx="7">
                  <c:v>22.62962962962963</c:v>
                </c:pt>
                <c:pt idx="11">
                  <c:v>18.037037037037038</c:v>
                </c:pt>
                <c:pt idx="12">
                  <c:v>9.4074074074074066</c:v>
                </c:pt>
                <c:pt idx="13">
                  <c:v>28.8</c:v>
                </c:pt>
                <c:pt idx="14">
                  <c:v>7.2</c:v>
                </c:pt>
                <c:pt idx="15">
                  <c:v>6.1</c:v>
                </c:pt>
                <c:pt idx="16">
                  <c:v>9.1999999999999993</c:v>
                </c:pt>
                <c:pt idx="17">
                  <c:v>13.8</c:v>
                </c:pt>
                <c:pt idx="18">
                  <c:v>7.5</c:v>
                </c:pt>
                <c:pt idx="19">
                  <c:v>7.3</c:v>
                </c:pt>
                <c:pt idx="20">
                  <c:v>11.2</c:v>
                </c:pt>
                <c:pt idx="21">
                  <c:v>10</c:v>
                </c:pt>
                <c:pt idx="22">
                  <c:v>14.4</c:v>
                </c:pt>
                <c:pt idx="23">
                  <c:v>7.1</c:v>
                </c:pt>
                <c:pt idx="24">
                  <c:v>7.9</c:v>
                </c:pt>
                <c:pt idx="25">
                  <c:v>6</c:v>
                </c:pt>
                <c:pt idx="26">
                  <c:v>7.4</c:v>
                </c:pt>
                <c:pt idx="27">
                  <c:v>12.4</c:v>
                </c:pt>
                <c:pt idx="28">
                  <c:v>8.4</c:v>
                </c:pt>
                <c:pt idx="29">
                  <c:v>7.5</c:v>
                </c:pt>
                <c:pt idx="30">
                  <c:v>6.9</c:v>
                </c:pt>
                <c:pt idx="31">
                  <c:v>11.6</c:v>
                </c:pt>
                <c:pt idx="32">
                  <c:v>15.4</c:v>
                </c:pt>
                <c:pt idx="33">
                  <c:v>6</c:v>
                </c:pt>
                <c:pt idx="34">
                  <c:v>13.9</c:v>
                </c:pt>
                <c:pt idx="35">
                  <c:v>8.3000000000000007</c:v>
                </c:pt>
                <c:pt idx="41">
                  <c:v>9</c:v>
                </c:pt>
                <c:pt idx="42">
                  <c:v>7.5</c:v>
                </c:pt>
                <c:pt idx="43">
                  <c:v>6.9</c:v>
                </c:pt>
                <c:pt idx="44">
                  <c:v>11.2</c:v>
                </c:pt>
                <c:pt idx="45">
                  <c:v>9.5</c:v>
                </c:pt>
              </c:numCache>
            </c:numRef>
          </c:val>
          <c:smooth val="0"/>
        </c:ser>
        <c:ser>
          <c:idx val="0"/>
          <c:order val="3"/>
          <c:tx>
            <c:strRef>
              <c:f>ほや!$AI$101</c:f>
              <c:strCache>
                <c:ptCount val="1"/>
                <c:pt idx="0">
                  <c:v>Be7崩壊</c:v>
                </c:pt>
              </c:strCache>
            </c:strRef>
          </c:tx>
          <c:spPr>
            <a:ln>
              <a:solidFill>
                <a:srgbClr val="C00000"/>
              </a:solidFill>
              <a:prstDash val="sysDash"/>
            </a:ln>
          </c:spPr>
          <c:marker>
            <c:symbol val="none"/>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ほや!$AI$102:$AI$159</c:f>
              <c:numCache>
                <c:formatCode>0.00</c:formatCode>
                <c:ptCount val="58"/>
                <c:pt idx="0">
                  <c:v>10</c:v>
                </c:pt>
                <c:pt idx="1">
                  <c:v>0.87831685267523607</c:v>
                </c:pt>
                <c:pt idx="2">
                  <c:v>0.41306046065098256</c:v>
                </c:pt>
                <c:pt idx="3">
                  <c:v>0.24233031223123352</c:v>
                </c:pt>
                <c:pt idx="4">
                  <c:v>7.5187395203751301E-3</c:v>
                </c:pt>
                <c:pt idx="5">
                  <c:v>3.4451616214297319E-3</c:v>
                </c:pt>
                <c:pt idx="6">
                  <c:v>3.9776693203886132E-5</c:v>
                </c:pt>
                <c:pt idx="7">
                  <c:v>4.0851446114355073E-7</c:v>
                </c:pt>
                <c:pt idx="8">
                  <c:v>6.7011209606608746E-9</c:v>
                </c:pt>
                <c:pt idx="10">
                  <c:v>6.529044211053326E-9</c:v>
                </c:pt>
                <c:pt idx="11">
                  <c:v>3.4970453023750553E-9</c:v>
                </c:pt>
                <c:pt idx="12">
                  <c:v>2.1346322106841574E-11</c:v>
                </c:pt>
                <c:pt idx="13">
                  <c:v>2.734850088383865E-13</c:v>
                </c:pt>
                <c:pt idx="14">
                  <c:v>2.4343001217209167E-15</c:v>
                </c:pt>
                <c:pt idx="15">
                  <c:v>1.9274112982916104E-17</c:v>
                </c:pt>
                <c:pt idx="16">
                  <c:v>1.830878883698806E-19</c:v>
                </c:pt>
                <c:pt idx="17">
                  <c:v>1.5073241847638898E-21</c:v>
                </c:pt>
                <c:pt idx="18">
                  <c:v>1.1934574697586231E-23</c:v>
                </c:pt>
                <c:pt idx="19">
                  <c:v>1.1336843785809644E-25</c:v>
                </c:pt>
                <c:pt idx="20">
                  <c:v>1.0090966347642036E-27</c:v>
                </c:pt>
                <c:pt idx="21">
                  <c:v>8.7513591093506561E-30</c:v>
                </c:pt>
                <c:pt idx="22">
                  <c:v>7.0197995164050859E-32</c:v>
                </c:pt>
                <c:pt idx="23">
                  <c:v>6.4130282405712216E-34</c:v>
                </c:pt>
                <c:pt idx="24">
                  <c:v>6.0918383100863173E-36</c:v>
                </c:pt>
                <c:pt idx="25">
                  <c:v>4.9504707105423924E-38</c:v>
                </c:pt>
                <c:pt idx="26">
                  <c:v>4.3494882989103179E-40</c:v>
                </c:pt>
                <c:pt idx="27">
                  <c:v>3.8214645775137804E-42</c:v>
                </c:pt>
                <c:pt idx="28">
                  <c:v>3.1054744888804245E-44</c:v>
                </c:pt>
                <c:pt idx="29">
                  <c:v>2.7284728547499703E-46</c:v>
                </c:pt>
                <c:pt idx="30">
                  <c:v>1.9723203203889178E-48</c:v>
                </c:pt>
                <c:pt idx="31">
                  <c:v>1.8735386835652785E-50</c:v>
                </c:pt>
                <c:pt idx="32">
                  <c:v>1.7567054793938009E-52</c:v>
                </c:pt>
                <c:pt idx="33">
                  <c:v>1.4843757661465518E-54</c:v>
                </c:pt>
                <c:pt idx="34">
                  <c:v>1.3918106227232328E-56</c:v>
                </c:pt>
                <c:pt idx="35">
                  <c:v>1.0060926091133049E-58</c:v>
                </c:pt>
                <c:pt idx="36">
                  <c:v>3.203856855407417E-60</c:v>
                </c:pt>
                <c:pt idx="38">
                  <c:v>3.121585653749814E-60</c:v>
                </c:pt>
                <c:pt idx="39">
                  <c:v>1.0743937908808143E-60</c:v>
                </c:pt>
                <c:pt idx="40">
                  <c:v>7.5694427611590807E-64</c:v>
                </c:pt>
                <c:pt idx="41">
                  <c:v>6.3113087900890713E-65</c:v>
                </c:pt>
                <c:pt idx="42">
                  <c:v>7.1926608074639982E-67</c:v>
                </c:pt>
                <c:pt idx="43">
                  <c:v>9.4579691936639017E-69</c:v>
                </c:pt>
                <c:pt idx="44">
                  <c:v>8.2023943007471985E-71</c:v>
                </c:pt>
                <c:pt idx="45">
                  <c:v>7.1135008887531647E-73</c:v>
                </c:pt>
              </c:numCache>
            </c:numRef>
          </c:val>
          <c:smooth val="0"/>
        </c:ser>
        <c:dLbls>
          <c:showLegendKey val="0"/>
          <c:showVal val="0"/>
          <c:showCatName val="0"/>
          <c:showSerName val="0"/>
          <c:showPercent val="0"/>
          <c:showBubbleSize val="0"/>
        </c:dLbls>
        <c:marker val="1"/>
        <c:smooth val="0"/>
        <c:axId val="252087680"/>
        <c:axId val="252097664"/>
      </c:lineChart>
      <c:dateAx>
        <c:axId val="252087680"/>
        <c:scaling>
          <c:orientation val="minMax"/>
          <c:min val="29677"/>
        </c:scaling>
        <c:delete val="0"/>
        <c:axPos val="b"/>
        <c:majorGridlines>
          <c:spPr>
            <a:ln w="3175">
              <a:solidFill>
                <a:schemeClr val="bg1">
                  <a:lumMod val="85000"/>
                </a:schemeClr>
              </a:solidFill>
              <a:prstDash val="solid"/>
            </a:ln>
          </c:spPr>
        </c:majorGridlines>
        <c:minorGridlines>
          <c:spPr>
            <a:ln w="3175">
              <a:pattFill prst="pct50">
                <a:fgClr>
                  <a:srgbClr val="000000"/>
                </a:fgClr>
                <a:bgClr>
                  <a:srgbClr val="FFFFFF"/>
                </a:bgClr>
              </a:pattFill>
              <a:prstDash val="solid"/>
            </a:ln>
          </c:spPr>
        </c:min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52097664"/>
        <c:crossesAt val="1.0000000000000002E-4"/>
        <c:auto val="0"/>
        <c:lblOffset val="100"/>
        <c:baseTimeUnit val="days"/>
        <c:majorUnit val="24"/>
        <c:majorTimeUnit val="months"/>
        <c:minorUnit val="24"/>
        <c:minorTimeUnit val="months"/>
      </c:dateAx>
      <c:valAx>
        <c:axId val="252097664"/>
        <c:scaling>
          <c:logBase val="10"/>
          <c:orientation val="minMax"/>
          <c:min val="1.0000000000000002E-4"/>
        </c:scaling>
        <c:delete val="0"/>
        <c:axPos val="l"/>
        <c:minorGridlines>
          <c:spPr>
            <a:ln>
              <a:solidFill>
                <a:schemeClr val="bg1">
                  <a:lumMod val="85000"/>
                </a:schemeClr>
              </a:solidFill>
            </a:ln>
          </c:spPr>
        </c:min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a:t>
                </a:r>
              </a:p>
            </c:rich>
          </c:tx>
          <c:layout>
            <c:manualLayout>
              <c:xMode val="edge"/>
              <c:yMode val="edge"/>
              <c:x val="2.5493166802425558E-2"/>
              <c:y val="0.17993592437955933"/>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52087680"/>
        <c:crosses val="autoZero"/>
        <c:crossBetween val="midCat"/>
      </c:valAx>
      <c:spPr>
        <a:solidFill>
          <a:srgbClr val="FFFFFF"/>
        </a:solidFill>
        <a:ln w="12700">
          <a:solidFill>
            <a:srgbClr val="808080"/>
          </a:solidFill>
          <a:prstDash val="solid"/>
        </a:ln>
      </c:spPr>
    </c:plotArea>
    <c:legend>
      <c:legendPos val="r"/>
      <c:layout>
        <c:manualLayout>
          <c:xMode val="edge"/>
          <c:yMode val="edge"/>
          <c:x val="0.60593193954204005"/>
          <c:y val="0.47376430259384839"/>
          <c:w val="0.35390352068060454"/>
          <c:h val="0.22226431660455254"/>
        </c:manualLayout>
      </c:layout>
      <c:overlay val="0"/>
      <c:spPr>
        <a:solidFill>
          <a:srgbClr val="FFFFFF"/>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ほやのK-40</a:t>
            </a:r>
          </a:p>
        </c:rich>
      </c:tx>
      <c:layout>
        <c:manualLayout>
          <c:xMode val="edge"/>
          <c:yMode val="edge"/>
          <c:x val="0.20552546721133544"/>
          <c:y val="9.0252855716979052E-2"/>
        </c:manualLayout>
      </c:layout>
      <c:overlay val="0"/>
      <c:spPr>
        <a:solidFill>
          <a:srgbClr val="FFFFFF"/>
        </a:solidFill>
        <a:ln w="25400">
          <a:noFill/>
        </a:ln>
      </c:spPr>
    </c:title>
    <c:autoTitleDeleted val="0"/>
    <c:plotArea>
      <c:layout>
        <c:manualLayout>
          <c:layoutTarget val="inner"/>
          <c:xMode val="edge"/>
          <c:yMode val="edge"/>
          <c:x val="7.0542814688285715E-2"/>
          <c:y val="2.9592991016967954E-2"/>
          <c:w val="0.90510726004296504"/>
          <c:h val="0.84307291666666662"/>
        </c:manualLayout>
      </c:layout>
      <c:lineChart>
        <c:grouping val="standard"/>
        <c:varyColors val="0"/>
        <c:ser>
          <c:idx val="1"/>
          <c:order val="0"/>
          <c:tx>
            <c:strRef>
              <c:f>ほや!$C$100</c:f>
              <c:strCache>
                <c:ptCount val="1"/>
                <c:pt idx="0">
                  <c:v>小屋取(県)</c:v>
                </c:pt>
              </c:strCache>
            </c:strRef>
          </c:tx>
          <c:spPr>
            <a:ln w="12700">
              <a:solidFill>
                <a:srgbClr val="000080"/>
              </a:solidFill>
              <a:prstDash val="solid"/>
            </a:ln>
          </c:spPr>
          <c:marker>
            <c:symbol val="square"/>
            <c:size val="5"/>
            <c:spPr>
              <a:noFill/>
              <a:ln>
                <a:solidFill>
                  <a:srgbClr val="000080"/>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ほや!$D$102:$D$159</c:f>
              <c:numCache>
                <c:formatCode>0_);[Red]\(0\)</c:formatCode>
                <c:ptCount val="58"/>
                <c:pt idx="0">
                  <c:v>108.14814814814815</c:v>
                </c:pt>
                <c:pt idx="1">
                  <c:v>88.148148148148152</c:v>
                </c:pt>
                <c:pt idx="2">
                  <c:v>134.44444444444446</c:v>
                </c:pt>
                <c:pt idx="3">
                  <c:v>87.037037037037038</c:v>
                </c:pt>
                <c:pt idx="5">
                  <c:v>101.48148148148148</c:v>
                </c:pt>
                <c:pt idx="6">
                  <c:v>74.81481481481481</c:v>
                </c:pt>
                <c:pt idx="7">
                  <c:v>87.777777777777771</c:v>
                </c:pt>
                <c:pt idx="11">
                  <c:v>94.074074074074076</c:v>
                </c:pt>
                <c:pt idx="13">
                  <c:v>86.6</c:v>
                </c:pt>
                <c:pt idx="14">
                  <c:v>87.2</c:v>
                </c:pt>
                <c:pt idx="15">
                  <c:v>86.3</c:v>
                </c:pt>
                <c:pt idx="16">
                  <c:v>87.4</c:v>
                </c:pt>
                <c:pt idx="17">
                  <c:v>88.2</c:v>
                </c:pt>
                <c:pt idx="18">
                  <c:v>88.4</c:v>
                </c:pt>
                <c:pt idx="19">
                  <c:v>94</c:v>
                </c:pt>
                <c:pt idx="20">
                  <c:v>87.9</c:v>
                </c:pt>
                <c:pt idx="21">
                  <c:v>87.1</c:v>
                </c:pt>
                <c:pt idx="22">
                  <c:v>86.6</c:v>
                </c:pt>
                <c:pt idx="23">
                  <c:v>84.6</c:v>
                </c:pt>
                <c:pt idx="24">
                  <c:v>89.9</c:v>
                </c:pt>
                <c:pt idx="25">
                  <c:v>86.4</c:v>
                </c:pt>
                <c:pt idx="26">
                  <c:v>96.7</c:v>
                </c:pt>
                <c:pt idx="27">
                  <c:v>84.1</c:v>
                </c:pt>
                <c:pt idx="28">
                  <c:v>110.6</c:v>
                </c:pt>
                <c:pt idx="29">
                  <c:v>95.1</c:v>
                </c:pt>
                <c:pt idx="30">
                  <c:v>85.6</c:v>
                </c:pt>
                <c:pt idx="31">
                  <c:v>83.4</c:v>
                </c:pt>
                <c:pt idx="32">
                  <c:v>77.3</c:v>
                </c:pt>
                <c:pt idx="33">
                  <c:v>98.6</c:v>
                </c:pt>
                <c:pt idx="34">
                  <c:v>90.3</c:v>
                </c:pt>
                <c:pt idx="35">
                  <c:v>82.6</c:v>
                </c:pt>
                <c:pt idx="40">
                  <c:v>92</c:v>
                </c:pt>
                <c:pt idx="41">
                  <c:v>92.4</c:v>
                </c:pt>
                <c:pt idx="42">
                  <c:v>90.6</c:v>
                </c:pt>
                <c:pt idx="43">
                  <c:v>80.599999999999994</c:v>
                </c:pt>
                <c:pt idx="44">
                  <c:v>87.2</c:v>
                </c:pt>
                <c:pt idx="45">
                  <c:v>79.2</c:v>
                </c:pt>
              </c:numCache>
            </c:numRef>
          </c:val>
          <c:smooth val="0"/>
        </c:ser>
        <c:ser>
          <c:idx val="2"/>
          <c:order val="1"/>
          <c:tx>
            <c:strRef>
              <c:f>ほや!$O$100:$O$101</c:f>
              <c:strCache>
                <c:ptCount val="1"/>
                <c:pt idx="0">
                  <c:v>塚浜 K-40</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ほや!$O$102:$O$159</c:f>
              <c:numCache>
                <c:formatCode>0_);[Red]\(0\)</c:formatCode>
                <c:ptCount val="58"/>
                <c:pt idx="0">
                  <c:v>102.5925925925926</c:v>
                </c:pt>
                <c:pt idx="1">
                  <c:v>72.222222222222229</c:v>
                </c:pt>
                <c:pt idx="2">
                  <c:v>81.481481481481481</c:v>
                </c:pt>
                <c:pt idx="3">
                  <c:v>79.259259259259252</c:v>
                </c:pt>
                <c:pt idx="4">
                  <c:v>93.333333333333329</c:v>
                </c:pt>
                <c:pt idx="5">
                  <c:v>75.18518518518519</c:v>
                </c:pt>
                <c:pt idx="6">
                  <c:v>79.629629629629633</c:v>
                </c:pt>
                <c:pt idx="7">
                  <c:v>90.370370370370367</c:v>
                </c:pt>
                <c:pt idx="11">
                  <c:v>84.074074074074076</c:v>
                </c:pt>
                <c:pt idx="13">
                  <c:v>90.7</c:v>
                </c:pt>
                <c:pt idx="14">
                  <c:v>90.6</c:v>
                </c:pt>
                <c:pt idx="15">
                  <c:v>78</c:v>
                </c:pt>
                <c:pt idx="16">
                  <c:v>86.5</c:v>
                </c:pt>
                <c:pt idx="17">
                  <c:v>83.8</c:v>
                </c:pt>
                <c:pt idx="18">
                  <c:v>88.8</c:v>
                </c:pt>
                <c:pt idx="19">
                  <c:v>92.5</c:v>
                </c:pt>
                <c:pt idx="20">
                  <c:v>82.4</c:v>
                </c:pt>
                <c:pt idx="21">
                  <c:v>84.7</c:v>
                </c:pt>
                <c:pt idx="22">
                  <c:v>87.5</c:v>
                </c:pt>
                <c:pt idx="23">
                  <c:v>85.9</c:v>
                </c:pt>
                <c:pt idx="24">
                  <c:v>90.6</c:v>
                </c:pt>
                <c:pt idx="25">
                  <c:v>93</c:v>
                </c:pt>
                <c:pt idx="26">
                  <c:v>91</c:v>
                </c:pt>
                <c:pt idx="27">
                  <c:v>86.4</c:v>
                </c:pt>
                <c:pt idx="28">
                  <c:v>81.099999999999994</c:v>
                </c:pt>
                <c:pt idx="29">
                  <c:v>89.4</c:v>
                </c:pt>
                <c:pt idx="30">
                  <c:v>74.900000000000006</c:v>
                </c:pt>
                <c:pt idx="31">
                  <c:v>86.5</c:v>
                </c:pt>
                <c:pt idx="32">
                  <c:v>81.3</c:v>
                </c:pt>
                <c:pt idx="33">
                  <c:v>98.2</c:v>
                </c:pt>
                <c:pt idx="34">
                  <c:v>86.4</c:v>
                </c:pt>
                <c:pt idx="35">
                  <c:v>82.8</c:v>
                </c:pt>
                <c:pt idx="40">
                  <c:v>88.8</c:v>
                </c:pt>
                <c:pt idx="41">
                  <c:v>92.4</c:v>
                </c:pt>
                <c:pt idx="42">
                  <c:v>92.9</c:v>
                </c:pt>
                <c:pt idx="43">
                  <c:v>73.2</c:v>
                </c:pt>
                <c:pt idx="44">
                  <c:v>69.900000000000006</c:v>
                </c:pt>
                <c:pt idx="45">
                  <c:v>74.3</c:v>
                </c:pt>
              </c:numCache>
            </c:numRef>
          </c:val>
          <c:smooth val="0"/>
        </c:ser>
        <c:ser>
          <c:idx val="3"/>
          <c:order val="2"/>
          <c:tx>
            <c:strRef>
              <c:f>ほや!$Y$100</c:f>
              <c:strCache>
                <c:ptCount val="1"/>
                <c:pt idx="0">
                  <c:v>塚浜h25~←小屋取(電力)</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ほや!$Z$102:$Z$159</c:f>
              <c:numCache>
                <c:formatCode>0_);[Red]\(0\)</c:formatCode>
                <c:ptCount val="58"/>
                <c:pt idx="2">
                  <c:v>97.037037037037038</c:v>
                </c:pt>
                <c:pt idx="5">
                  <c:v>101.11111111111111</c:v>
                </c:pt>
                <c:pt idx="6">
                  <c:v>111.11111111111111</c:v>
                </c:pt>
                <c:pt idx="7">
                  <c:v>101.11111111111111</c:v>
                </c:pt>
                <c:pt idx="11">
                  <c:v>89.259259259259252</c:v>
                </c:pt>
                <c:pt idx="12">
                  <c:v>94.444444444444443</c:v>
                </c:pt>
                <c:pt idx="13">
                  <c:v>89.2</c:v>
                </c:pt>
                <c:pt idx="14">
                  <c:v>88.9</c:v>
                </c:pt>
                <c:pt idx="15">
                  <c:v>92.2</c:v>
                </c:pt>
                <c:pt idx="16">
                  <c:v>106</c:v>
                </c:pt>
                <c:pt idx="17">
                  <c:v>83.9</c:v>
                </c:pt>
                <c:pt idx="18">
                  <c:v>89.4</c:v>
                </c:pt>
                <c:pt idx="19">
                  <c:v>82.9</c:v>
                </c:pt>
                <c:pt idx="20">
                  <c:v>84.9</c:v>
                </c:pt>
                <c:pt idx="21">
                  <c:v>71.8</c:v>
                </c:pt>
                <c:pt idx="22">
                  <c:v>84</c:v>
                </c:pt>
                <c:pt idx="23">
                  <c:v>92.1</c:v>
                </c:pt>
                <c:pt idx="24">
                  <c:v>84.7</c:v>
                </c:pt>
                <c:pt idx="25">
                  <c:v>88.6</c:v>
                </c:pt>
                <c:pt idx="26">
                  <c:v>100</c:v>
                </c:pt>
                <c:pt idx="27">
                  <c:v>90</c:v>
                </c:pt>
                <c:pt idx="28">
                  <c:v>65.3</c:v>
                </c:pt>
                <c:pt idx="29">
                  <c:v>100</c:v>
                </c:pt>
                <c:pt idx="30">
                  <c:v>86</c:v>
                </c:pt>
                <c:pt idx="31">
                  <c:v>89.5</c:v>
                </c:pt>
                <c:pt idx="32">
                  <c:v>74.7</c:v>
                </c:pt>
                <c:pt idx="33">
                  <c:v>96.2</c:v>
                </c:pt>
                <c:pt idx="34">
                  <c:v>100.6</c:v>
                </c:pt>
                <c:pt idx="35">
                  <c:v>100.4</c:v>
                </c:pt>
                <c:pt idx="41">
                  <c:v>99.7</c:v>
                </c:pt>
                <c:pt idx="42">
                  <c:v>95.1</c:v>
                </c:pt>
                <c:pt idx="43">
                  <c:v>100.3</c:v>
                </c:pt>
                <c:pt idx="44">
                  <c:v>93.9</c:v>
                </c:pt>
                <c:pt idx="45">
                  <c:v>83.8</c:v>
                </c:pt>
              </c:numCache>
            </c:numRef>
          </c:val>
          <c:smooth val="0"/>
        </c:ser>
        <c:ser>
          <c:idx val="0"/>
          <c:order val="3"/>
          <c:tx>
            <c:strRef>
              <c:f>ほや!$AJ$101</c:f>
              <c:strCache>
                <c:ptCount val="1"/>
                <c:pt idx="0">
                  <c:v>K40崩壊</c:v>
                </c:pt>
              </c:strCache>
            </c:strRef>
          </c:tx>
          <c:spPr>
            <a:ln>
              <a:solidFill>
                <a:srgbClr val="C00000"/>
              </a:solidFill>
              <a:prstDash val="sysDash"/>
            </a:ln>
          </c:spPr>
          <c:marker>
            <c:symbol val="none"/>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ほや!$AJ$102:$AJ$159</c:f>
              <c:numCache>
                <c:formatCode>0</c:formatCode>
                <c:ptCount val="58"/>
                <c:pt idx="0">
                  <c:v>50</c:v>
                </c:pt>
                <c:pt idx="1">
                  <c:v>49.999999986105038</c:v>
                </c:pt>
                <c:pt idx="2">
                  <c:v>49.999999981795376</c:v>
                </c:pt>
                <c:pt idx="3">
                  <c:v>49.999999978748875</c:v>
                </c:pt>
                <c:pt idx="4">
                  <c:v>49.999999958909548</c:v>
                </c:pt>
                <c:pt idx="5">
                  <c:v>49.999999954451269</c:v>
                </c:pt>
                <c:pt idx="6">
                  <c:v>49.999999928964776</c:v>
                </c:pt>
                <c:pt idx="7">
                  <c:v>49.999999902809556</c:v>
                </c:pt>
                <c:pt idx="8">
                  <c:v>49.999999879329295</c:v>
                </c:pt>
                <c:pt idx="10">
                  <c:v>49.999999879180692</c:v>
                </c:pt>
                <c:pt idx="11">
                  <c:v>49.999999875614066</c:v>
                </c:pt>
                <c:pt idx="12">
                  <c:v>49.999999846486652</c:v>
                </c:pt>
                <c:pt idx="13">
                  <c:v>49.999999821594606</c:v>
                </c:pt>
                <c:pt idx="14">
                  <c:v>49.999999794622028</c:v>
                </c:pt>
                <c:pt idx="15">
                  <c:v>49.999999766980707</c:v>
                </c:pt>
                <c:pt idx="16">
                  <c:v>49.99999974037965</c:v>
                </c:pt>
                <c:pt idx="17">
                  <c:v>49.999999712961255</c:v>
                </c:pt>
                <c:pt idx="18">
                  <c:v>49.999999685319928</c:v>
                </c:pt>
                <c:pt idx="19">
                  <c:v>49.999999658718878</c:v>
                </c:pt>
                <c:pt idx="20">
                  <c:v>49.999999631746306</c:v>
                </c:pt>
                <c:pt idx="21">
                  <c:v>49.999999604625117</c:v>
                </c:pt>
                <c:pt idx="22">
                  <c:v>49.999999577058105</c:v>
                </c:pt>
                <c:pt idx="23">
                  <c:v>49.999999550234136</c:v>
                </c:pt>
                <c:pt idx="24">
                  <c:v>49.999999523633079</c:v>
                </c:pt>
                <c:pt idx="25">
                  <c:v>49.999999496140376</c:v>
                </c:pt>
                <c:pt idx="26">
                  <c:v>49.999999469093488</c:v>
                </c:pt>
                <c:pt idx="27">
                  <c:v>49.999999442046608</c:v>
                </c:pt>
                <c:pt idx="28">
                  <c:v>49.999999414553905</c:v>
                </c:pt>
                <c:pt idx="29">
                  <c:v>49.999999387507017</c:v>
                </c:pt>
                <c:pt idx="30">
                  <c:v>49.999999359345566</c:v>
                </c:pt>
                <c:pt idx="31">
                  <c:v>49.999999332744515</c:v>
                </c:pt>
                <c:pt idx="32">
                  <c:v>49.999999306069164</c:v>
                </c:pt>
                <c:pt idx="33">
                  <c:v>49.999999278799365</c:v>
                </c:pt>
                <c:pt idx="34">
                  <c:v>49.999999252124006</c:v>
                </c:pt>
                <c:pt idx="35">
                  <c:v>49.999999223962554</c:v>
                </c:pt>
                <c:pt idx="36">
                  <c:v>49.99999920427183</c:v>
                </c:pt>
                <c:pt idx="38">
                  <c:v>49.999999204123228</c:v>
                </c:pt>
                <c:pt idx="39">
                  <c:v>49.999999198030245</c:v>
                </c:pt>
                <c:pt idx="40">
                  <c:v>49.999999156568272</c:v>
                </c:pt>
                <c:pt idx="41">
                  <c:v>49.99999914237609</c:v>
                </c:pt>
                <c:pt idx="42">
                  <c:v>49.999999116815289</c:v>
                </c:pt>
                <c:pt idx="43">
                  <c:v>49.999999092071853</c:v>
                </c:pt>
                <c:pt idx="44">
                  <c:v>49.999999064950664</c:v>
                </c:pt>
                <c:pt idx="45">
                  <c:v>49.999999037829483</c:v>
                </c:pt>
              </c:numCache>
            </c:numRef>
          </c:val>
          <c:smooth val="0"/>
        </c:ser>
        <c:dLbls>
          <c:showLegendKey val="0"/>
          <c:showVal val="0"/>
          <c:showCatName val="0"/>
          <c:showSerName val="0"/>
          <c:showPercent val="0"/>
          <c:showBubbleSize val="0"/>
        </c:dLbls>
        <c:marker val="1"/>
        <c:smooth val="0"/>
        <c:axId val="253874560"/>
        <c:axId val="253876096"/>
      </c:lineChart>
      <c:dateAx>
        <c:axId val="253874560"/>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53876096"/>
        <c:crossesAt val="0.01"/>
        <c:auto val="0"/>
        <c:lblOffset val="100"/>
        <c:baseTimeUnit val="months"/>
        <c:majorUnit val="24"/>
        <c:majorTimeUnit val="months"/>
        <c:minorUnit val="1"/>
        <c:minorTimeUnit val="months"/>
      </c:dateAx>
      <c:valAx>
        <c:axId val="253876096"/>
        <c:scaling>
          <c:logBase val="10"/>
          <c:orientation val="minMax"/>
          <c:min val="10"/>
        </c:scaling>
        <c:delete val="0"/>
        <c:axPos val="l"/>
        <c:minorGridlines>
          <c:spPr>
            <a:ln>
              <a:solidFill>
                <a:schemeClr val="bg1">
                  <a:lumMod val="85000"/>
                </a:schemeClr>
              </a:solidFill>
            </a:ln>
          </c:spPr>
        </c:min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a:t>
                </a:r>
              </a:p>
            </c:rich>
          </c:tx>
          <c:layout>
            <c:manualLayout>
              <c:xMode val="edge"/>
              <c:yMode val="edge"/>
              <c:x val="2.7007133239501675E-2"/>
              <c:y val="0.1970575758954986"/>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53874560"/>
        <c:crosses val="autoZero"/>
        <c:crossBetween val="midCat"/>
      </c:valAx>
      <c:spPr>
        <a:solidFill>
          <a:srgbClr val="FFFFFF"/>
        </a:solidFill>
        <a:ln w="12700">
          <a:solidFill>
            <a:srgbClr val="808080"/>
          </a:solidFill>
          <a:prstDash val="solid"/>
        </a:ln>
      </c:spPr>
    </c:plotArea>
    <c:legend>
      <c:legendPos val="r"/>
      <c:layout>
        <c:manualLayout>
          <c:xMode val="edge"/>
          <c:yMode val="edge"/>
          <c:x val="0.59098292292876786"/>
          <c:y val="1.8050719012236146E-2"/>
          <c:w val="0.34638400969109628"/>
          <c:h val="0.2197198124800874"/>
        </c:manualLayout>
      </c:layout>
      <c:overlay val="0"/>
      <c:spPr>
        <a:solidFill>
          <a:srgbClr val="FFFFFF"/>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ほやのCs-134</a:t>
            </a:r>
          </a:p>
        </c:rich>
      </c:tx>
      <c:layout>
        <c:manualLayout>
          <c:xMode val="edge"/>
          <c:yMode val="edge"/>
          <c:x val="0.24642768345528165"/>
          <c:y val="2.1180653736422816E-2"/>
        </c:manualLayout>
      </c:layout>
      <c:overlay val="0"/>
      <c:spPr>
        <a:solidFill>
          <a:srgbClr val="FFFFFF"/>
        </a:solidFill>
        <a:ln w="25400">
          <a:noFill/>
        </a:ln>
      </c:spPr>
    </c:title>
    <c:autoTitleDeleted val="0"/>
    <c:plotArea>
      <c:layout>
        <c:manualLayout>
          <c:layoutTarget val="inner"/>
          <c:xMode val="edge"/>
          <c:yMode val="edge"/>
          <c:x val="8.1347835552813968E-2"/>
          <c:y val="3.9871854253512432E-2"/>
          <c:w val="0.88613358670171205"/>
          <c:h val="0.81362433436899451"/>
        </c:manualLayout>
      </c:layout>
      <c:lineChart>
        <c:grouping val="standard"/>
        <c:varyColors val="0"/>
        <c:ser>
          <c:idx val="1"/>
          <c:order val="0"/>
          <c:tx>
            <c:strRef>
              <c:f>ほや!$C$100</c:f>
              <c:strCache>
                <c:ptCount val="1"/>
                <c:pt idx="0">
                  <c:v>小屋取(県)</c:v>
                </c:pt>
              </c:strCache>
            </c:strRef>
          </c:tx>
          <c:spPr>
            <a:ln w="12700">
              <a:solidFill>
                <a:srgbClr val="000080"/>
              </a:solidFill>
              <a:prstDash val="solid"/>
            </a:ln>
          </c:spPr>
          <c:marker>
            <c:symbol val="square"/>
            <c:size val="5"/>
            <c:spPr>
              <a:noFill/>
              <a:ln>
                <a:solidFill>
                  <a:srgbClr val="000080"/>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ほや!$E$102:$E$159</c:f>
              <c:numCache>
                <c:formatCode>0.000</c:formatCode>
                <c:ptCount val="58"/>
                <c:pt idx="0">
                  <c:v>8.5000000000000006E-3</c:v>
                </c:pt>
                <c:pt idx="1">
                  <c:v>7.1560824097127119E-3</c:v>
                </c:pt>
                <c:pt idx="2">
                  <c:v>6.7841091807772369E-3</c:v>
                </c:pt>
                <c:pt idx="3">
                  <c:v>6.5328877503596332E-3</c:v>
                </c:pt>
                <c:pt idx="5">
                  <c:v>4.8350818895157013E-3</c:v>
                </c:pt>
                <c:pt idx="6">
                  <c:v>3.5262028983090972E-3</c:v>
                </c:pt>
                <c:pt idx="7">
                  <c:v>2.5504304038426952E-3</c:v>
                </c:pt>
                <c:pt idx="11">
                  <c:v>8.1326747640260728E-3</c:v>
                </c:pt>
                <c:pt idx="13">
                  <c:v>4.1653615171949798E-3</c:v>
                </c:pt>
                <c:pt idx="14">
                  <c:v>2.982374637531887E-3</c:v>
                </c:pt>
                <c:pt idx="15">
                  <c:v>2.1177486288716783E-3</c:v>
                </c:pt>
                <c:pt idx="16">
                  <c:v>1.5232893229597537E-3</c:v>
                </c:pt>
                <c:pt idx="17">
                  <c:v>1.0846602007022357E-3</c:v>
                </c:pt>
                <c:pt idx="18">
                  <c:v>7.7020426069938366E-4</c:v>
                </c:pt>
                <c:pt idx="19">
                  <c:v>5.5400528222585965E-4</c:v>
                </c:pt>
                <c:pt idx="20">
                  <c:v>3.9666456223510485E-4</c:v>
                </c:pt>
                <c:pt idx="21">
                  <c:v>2.8348723165874001E-4</c:v>
                </c:pt>
                <c:pt idx="22">
                  <c:v>2.0148624959689525E-4</c:v>
                </c:pt>
                <c:pt idx="23">
                  <c:v>1.4452877006374213E-4</c:v>
                </c:pt>
                <c:pt idx="24">
                  <c:v>1.0395904844282813E-4</c:v>
                </c:pt>
                <c:pt idx="25">
                  <c:v>7.3956083515660704E-5</c:v>
                </c:pt>
                <c:pt idx="26">
                  <c:v>5.2903414457016861E-5</c:v>
                </c:pt>
                <c:pt idx="27">
                  <c:v>3.7843692204418103E-5</c:v>
                </c:pt>
                <c:pt idx="28">
                  <c:v>2.6921863013685402E-5</c:v>
                </c:pt>
                <c:pt idx="29">
                  <c:v>1.9258165241625244E-5</c:v>
                </c:pt>
                <c:pt idx="30">
                  <c:v>1.3587176973032524E-5</c:v>
                </c:pt>
                <c:pt idx="31">
                  <c:v>9.7732097804319709E-6</c:v>
                </c:pt>
                <c:pt idx="32">
                  <c:v>7.0233694046371915E-6</c:v>
                </c:pt>
                <c:pt idx="33">
                  <c:v>5.0102132942260079E-6</c:v>
                </c:pt>
                <c:pt idx="34">
                  <c:v>3.6005140124822096E-6</c:v>
                </c:pt>
                <c:pt idx="35">
                  <c:v>2.540263855236846E-6</c:v>
                </c:pt>
                <c:pt idx="40">
                  <c:v>4.716414635228784E-3</c:v>
                </c:pt>
                <c:pt idx="41">
                  <c:v>3.9561212388638705E-3</c:v>
                </c:pt>
                <c:pt idx="42">
                  <c:v>2.8825268295876059E-3</c:v>
                </c:pt>
                <c:pt idx="43">
                  <c:v>2.1216503139656487E-3</c:v>
                </c:pt>
                <c:pt idx="44">
                  <c:v>1.5162957100703382E-3</c:v>
                </c:pt>
                <c:pt idx="45">
                  <c:v>1.0836624043291504E-3</c:v>
                </c:pt>
              </c:numCache>
            </c:numRef>
          </c:val>
          <c:smooth val="0"/>
        </c:ser>
        <c:ser>
          <c:idx val="2"/>
          <c:order val="1"/>
          <c:tx>
            <c:strRef>
              <c:f>ほや!$N$100</c:f>
              <c:strCache>
                <c:ptCount val="1"/>
                <c:pt idx="0">
                  <c:v>塚浜</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ほや!$P$102:$P$159</c:f>
              <c:numCache>
                <c:formatCode>0.000</c:formatCode>
                <c:ptCount val="58"/>
                <c:pt idx="0">
                  <c:v>8.0000000000000002E-3</c:v>
                </c:pt>
                <c:pt idx="1">
                  <c:v>6.7351363856119634E-3</c:v>
                </c:pt>
                <c:pt idx="2">
                  <c:v>6.3850439348491642E-3</c:v>
                </c:pt>
                <c:pt idx="3">
                  <c:v>6.1486002356325956E-3</c:v>
                </c:pt>
                <c:pt idx="4">
                  <c:v>4.8090223616263786E-3</c:v>
                </c:pt>
                <c:pt idx="5">
                  <c:v>4.5506653077794831E-3</c:v>
                </c:pt>
                <c:pt idx="6">
                  <c:v>3.3187791984085617E-3</c:v>
                </c:pt>
                <c:pt idx="7">
                  <c:v>2.4004050859695951E-3</c:v>
                </c:pt>
                <c:pt idx="11">
                  <c:v>7.6542821308480677E-3</c:v>
                </c:pt>
                <c:pt idx="13">
                  <c:v>3.9203402514776274E-3</c:v>
                </c:pt>
                <c:pt idx="14">
                  <c:v>2.8069408353241284E-3</c:v>
                </c:pt>
                <c:pt idx="15">
                  <c:v>1.9931751801145208E-3</c:v>
                </c:pt>
                <c:pt idx="16">
                  <c:v>1.4336840686680035E-3</c:v>
                </c:pt>
                <c:pt idx="17">
                  <c:v>1.020856659484457E-3</c:v>
                </c:pt>
                <c:pt idx="18">
                  <c:v>7.2489812771706693E-4</c:v>
                </c:pt>
                <c:pt idx="19">
                  <c:v>5.2141673621257378E-4</c:v>
                </c:pt>
                <c:pt idx="20">
                  <c:v>3.7333135269186337E-4</c:v>
                </c:pt>
                <c:pt idx="21">
                  <c:v>2.6681151214940236E-4</c:v>
                </c:pt>
                <c:pt idx="22">
                  <c:v>1.8963411726766611E-4</c:v>
                </c:pt>
                <c:pt idx="23">
                  <c:v>1.3602707770705142E-4</c:v>
                </c:pt>
                <c:pt idx="24">
                  <c:v>9.7843810299132349E-5</c:v>
                </c:pt>
                <c:pt idx="25">
                  <c:v>6.9605725661798306E-5</c:v>
                </c:pt>
                <c:pt idx="26">
                  <c:v>4.9791448900721748E-5</c:v>
                </c:pt>
                <c:pt idx="27">
                  <c:v>3.5617592662981742E-5</c:v>
                </c:pt>
                <c:pt idx="28">
                  <c:v>2.5338224012880376E-5</c:v>
                </c:pt>
                <c:pt idx="29">
                  <c:v>1.8125331992117876E-5</c:v>
                </c:pt>
                <c:pt idx="30">
                  <c:v>1.2787931268736493E-5</c:v>
                </c:pt>
                <c:pt idx="31">
                  <c:v>9.1983150874653852E-6</c:v>
                </c:pt>
                <c:pt idx="32">
                  <c:v>6.6102300278938269E-6</c:v>
                </c:pt>
                <c:pt idx="33">
                  <c:v>4.7154948651538893E-6</c:v>
                </c:pt>
                <c:pt idx="34">
                  <c:v>3.3887190705714912E-6</c:v>
                </c:pt>
                <c:pt idx="35">
                  <c:v>2.3974468347842182E-6</c:v>
                </c:pt>
                <c:pt idx="40">
                  <c:v>0.37</c:v>
                </c:pt>
                <c:pt idx="41">
                  <c:v>0.1</c:v>
                </c:pt>
                <c:pt idx="42">
                  <c:v>2.7557466717649253E-3</c:v>
                </c:pt>
                <c:pt idx="43">
                  <c:v>2.0171655808426643E-3</c:v>
                </c:pt>
                <c:pt idx="44" formatCode="&quot;(&quot;0.000&quot;)&quot;">
                  <c:v>7.1999999999999995E-2</c:v>
                </c:pt>
                <c:pt idx="45">
                  <c:v>1.020856659484457E-3</c:v>
                </c:pt>
              </c:numCache>
            </c:numRef>
          </c:val>
          <c:smooth val="0"/>
        </c:ser>
        <c:ser>
          <c:idx val="3"/>
          <c:order val="2"/>
          <c:tx>
            <c:strRef>
              <c:f>ほや!$Y$100</c:f>
              <c:strCache>
                <c:ptCount val="1"/>
                <c:pt idx="0">
                  <c:v>塚浜h25~←小屋取(電力)</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ほや!$AA$102:$AA$159</c:f>
              <c:numCache>
                <c:formatCode>0_);[Red]\(0\)</c:formatCode>
                <c:ptCount val="58"/>
                <c:pt idx="2" formatCode="0.000">
                  <c:v>8.4035404930440268E-3</c:v>
                </c:pt>
                <c:pt idx="5" formatCode="0.000">
                  <c:v>5.9343932061362613E-3</c:v>
                </c:pt>
                <c:pt idx="6" formatCode="0.000">
                  <c:v>4.3239442375943831E-3</c:v>
                </c:pt>
                <c:pt idx="7" formatCode="0.000">
                  <c:v>3.0562846810344903E-3</c:v>
                </c:pt>
                <c:pt idx="11" formatCode="0.000">
                  <c:v>9.754689065522246E-3</c:v>
                </c:pt>
                <c:pt idx="12" formatCode="0.000">
                  <c:v>7.0036111061716096E-3</c:v>
                </c:pt>
                <c:pt idx="13" formatCode="0.000">
                  <c:v>4.8869732950671341E-3</c:v>
                </c:pt>
                <c:pt idx="14" formatCode="0.000">
                  <c:v>3.5411599313083441E-3</c:v>
                </c:pt>
                <c:pt idx="15" formatCode="0.000">
                  <c:v>2.5471441892180062E-3</c:v>
                </c:pt>
                <c:pt idx="16" formatCode="0.000">
                  <c:v>1.8020504642038279E-3</c:v>
                </c:pt>
                <c:pt idx="17" formatCode="0.000">
                  <c:v>1.2974022174213101E-3</c:v>
                </c:pt>
                <c:pt idx="18" formatCode="0.000">
                  <c:v>9.289324472658546E-4</c:v>
                </c:pt>
                <c:pt idx="19" formatCode="0.000">
                  <c:v>6.6879315582862896E-4</c:v>
                </c:pt>
                <c:pt idx="20" formatCode="0.000">
                  <c:v>4.6581167181277734E-4</c:v>
                </c:pt>
                <c:pt idx="21" formatCode="0.000">
                  <c:v>3.4190993391058298E-4</c:v>
                </c:pt>
                <c:pt idx="22" formatCode="0.000">
                  <c:v>2.4300971116221267E-4</c:v>
                </c:pt>
                <c:pt idx="23" formatCode="0.000">
                  <c:v>1.7176605819988318E-4</c:v>
                </c:pt>
                <c:pt idx="24" formatCode="0.000">
                  <c:v>1.2423487525101427E-4</c:v>
                </c:pt>
                <c:pt idx="25" formatCode="0.000">
                  <c:v>8.829892950380887E-5</c:v>
                </c:pt>
                <c:pt idx="26" formatCode="0.000">
                  <c:v>6.2931262385517377E-5</c:v>
                </c:pt>
                <c:pt idx="27" formatCode="0.000">
                  <c:v>4.4851549250820831E-5</c:v>
                </c:pt>
                <c:pt idx="28" formatCode="0.000">
                  <c:v>3.238055074306322E-5</c:v>
                </c:pt>
                <c:pt idx="29" formatCode="0.000">
                  <c:v>2.2866424038730206E-5</c:v>
                </c:pt>
                <c:pt idx="30" formatCode="0.000">
                  <c:v>1.6569287305087466E-5</c:v>
                </c:pt>
                <c:pt idx="31" formatCode="0.000">
                  <c:v>1.1830803209360365E-5</c:v>
                </c:pt>
                <c:pt idx="32" formatCode="0.000">
                  <c:v>8.3623424878435313E-6</c:v>
                </c:pt>
                <c:pt idx="33" formatCode="0.000">
                  <c:v>5.8673782112503683E-6</c:v>
                </c:pt>
                <c:pt idx="34" formatCode="0.000">
                  <c:v>4.3146426593799798E-6</c:v>
                </c:pt>
                <c:pt idx="35" formatCode="0.000">
                  <c:v>3.0441016915609379E-6</c:v>
                </c:pt>
                <c:pt idx="41" formatCode="0.000">
                  <c:v>0.25</c:v>
                </c:pt>
                <c:pt idx="42" formatCode="&quot;(&quot;0.000&quot;)&quot;">
                  <c:v>4.9000000000000002E-2</c:v>
                </c:pt>
                <c:pt idx="43" formatCode="0.000">
                  <c:v>2.5507723283308453E-3</c:v>
                </c:pt>
                <c:pt idx="44" formatCode="&quot;(&quot;0.000&quot;)&quot;">
                  <c:v>2.7E-2</c:v>
                </c:pt>
                <c:pt idx="45" formatCode="0.000">
                  <c:v>1.3088515431728723E-3</c:v>
                </c:pt>
              </c:numCache>
            </c:numRef>
          </c:val>
          <c:smooth val="0"/>
        </c:ser>
        <c:ser>
          <c:idx val="0"/>
          <c:order val="3"/>
          <c:tx>
            <c:strRef>
              <c:f>ほや!$AH$101</c:f>
              <c:strCache>
                <c:ptCount val="1"/>
                <c:pt idx="0">
                  <c:v>Cs134崩壊</c:v>
                </c:pt>
              </c:strCache>
            </c:strRef>
          </c:tx>
          <c:spPr>
            <a:ln>
              <a:solidFill>
                <a:srgbClr val="C00000"/>
              </a:solidFill>
              <a:prstDash val="sysDash"/>
            </a:ln>
          </c:spPr>
          <c:marker>
            <c:symbol val="none"/>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ほや!$AH$102:$AH$159</c:f>
              <c:numCache>
                <c:formatCode>0.00</c:formatCode>
                <c:ptCount val="58"/>
                <c:pt idx="0">
                  <c:v>1</c:v>
                </c:pt>
                <c:pt idx="1">
                  <c:v>0.84189204820149544</c:v>
                </c:pt>
                <c:pt idx="2">
                  <c:v>0.79813049185614549</c:v>
                </c:pt>
                <c:pt idx="3">
                  <c:v>0.76857502945407441</c:v>
                </c:pt>
                <c:pt idx="4">
                  <c:v>0.60112779520329729</c:v>
                </c:pt>
                <c:pt idx="5">
                  <c:v>0.5688331634724354</c:v>
                </c:pt>
                <c:pt idx="6">
                  <c:v>0.41484739980107022</c:v>
                </c:pt>
                <c:pt idx="7">
                  <c:v>0.30005063574619939</c:v>
                </c:pt>
                <c:pt idx="8">
                  <c:v>0.22433129892881273</c:v>
                </c:pt>
                <c:pt idx="10">
                  <c:v>1</c:v>
                </c:pt>
                <c:pt idx="11">
                  <c:v>0.95678526635600847</c:v>
                </c:pt>
                <c:pt idx="12">
                  <c:v>0.66701058154015325</c:v>
                </c:pt>
                <c:pt idx="13">
                  <c:v>0.49004253143470344</c:v>
                </c:pt>
                <c:pt idx="14">
                  <c:v>0.35086760441551607</c:v>
                </c:pt>
                <c:pt idx="15">
                  <c:v>0.2491468975143151</c:v>
                </c:pt>
                <c:pt idx="16">
                  <c:v>0.17921050858350043</c:v>
                </c:pt>
                <c:pt idx="17">
                  <c:v>0.12760708243555713</c:v>
                </c:pt>
                <c:pt idx="18">
                  <c:v>9.0612265964633371E-2</c:v>
                </c:pt>
                <c:pt idx="19">
                  <c:v>6.5177092026571723E-2</c:v>
                </c:pt>
                <c:pt idx="20">
                  <c:v>4.6666419086482919E-2</c:v>
                </c:pt>
                <c:pt idx="21">
                  <c:v>3.3351439018675294E-2</c:v>
                </c:pt>
                <c:pt idx="22">
                  <c:v>2.3704264658458263E-2</c:v>
                </c:pt>
                <c:pt idx="23">
                  <c:v>1.7003384713381427E-2</c:v>
                </c:pt>
                <c:pt idx="24">
                  <c:v>1.2230476287391543E-2</c:v>
                </c:pt>
                <c:pt idx="25">
                  <c:v>8.700715707724788E-3</c:v>
                </c:pt>
                <c:pt idx="26">
                  <c:v>6.2239311125902187E-3</c:v>
                </c:pt>
                <c:pt idx="27">
                  <c:v>4.4521990828727178E-3</c:v>
                </c:pt>
                <c:pt idx="28">
                  <c:v>3.1672780016100471E-3</c:v>
                </c:pt>
                <c:pt idx="29">
                  <c:v>2.2656664990147344E-3</c:v>
                </c:pt>
                <c:pt idx="30">
                  <c:v>1.5984914085920615E-3</c:v>
                </c:pt>
                <c:pt idx="31">
                  <c:v>1.149789385933173E-3</c:v>
                </c:pt>
                <c:pt idx="32">
                  <c:v>8.2627875348672837E-4</c:v>
                </c:pt>
                <c:pt idx="33">
                  <c:v>5.8943685814423616E-4</c:v>
                </c:pt>
                <c:pt idx="34">
                  <c:v>4.2358988382143638E-4</c:v>
                </c:pt>
                <c:pt idx="35">
                  <c:v>2.9885457120433479E-4</c:v>
                </c:pt>
                <c:pt idx="36">
                  <c:v>2.3417462796115863E-4</c:v>
                </c:pt>
                <c:pt idx="38">
                  <c:v>1</c:v>
                </c:pt>
                <c:pt idx="39">
                  <c:v>0.92730955519004921</c:v>
                </c:pt>
                <c:pt idx="40">
                  <c:v>0.55487231002691573</c:v>
                </c:pt>
                <c:pt idx="41">
                  <c:v>0.46542602810163175</c:v>
                </c:pt>
                <c:pt idx="42">
                  <c:v>0.33912080348089479</c:v>
                </c:pt>
                <c:pt idx="43">
                  <c:v>0.24960591929007628</c:v>
                </c:pt>
                <c:pt idx="44">
                  <c:v>0.17838773059651036</c:v>
                </c:pt>
                <c:pt idx="45">
                  <c:v>0.12748969462695886</c:v>
                </c:pt>
              </c:numCache>
            </c:numRef>
          </c:val>
          <c:smooth val="0"/>
        </c:ser>
        <c:dLbls>
          <c:showLegendKey val="0"/>
          <c:showVal val="0"/>
          <c:showCatName val="0"/>
          <c:showSerName val="0"/>
          <c:showPercent val="0"/>
          <c:showBubbleSize val="0"/>
        </c:dLbls>
        <c:marker val="1"/>
        <c:smooth val="0"/>
        <c:axId val="254526208"/>
        <c:axId val="254527744"/>
      </c:lineChart>
      <c:dateAx>
        <c:axId val="254526208"/>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54527744"/>
        <c:crossesAt val="1.0000000000000002E-3"/>
        <c:auto val="0"/>
        <c:lblOffset val="100"/>
        <c:baseTimeUnit val="days"/>
        <c:majorUnit val="24"/>
        <c:majorTimeUnit val="months"/>
        <c:minorUnit val="1"/>
        <c:minorTimeUnit val="months"/>
      </c:dateAx>
      <c:valAx>
        <c:axId val="254527744"/>
        <c:scaling>
          <c:logBase val="10"/>
          <c:orientation val="minMax"/>
          <c:max val="10"/>
          <c:min val="1.0000000000000002E-3"/>
        </c:scaling>
        <c:delete val="0"/>
        <c:axPos val="l"/>
        <c:minorGridlines>
          <c:spPr>
            <a:ln>
              <a:solidFill>
                <a:schemeClr val="bg1">
                  <a:lumMod val="85000"/>
                </a:schemeClr>
              </a:solidFill>
            </a:ln>
          </c:spPr>
        </c:min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a:t>
                </a:r>
              </a:p>
            </c:rich>
          </c:tx>
          <c:layout>
            <c:manualLayout>
              <c:xMode val="edge"/>
              <c:yMode val="edge"/>
              <c:x val="1.7052420240298644E-2"/>
              <c:y val="7.8066872075773133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54526208"/>
        <c:crosses val="autoZero"/>
        <c:crossBetween val="midCat"/>
      </c:valAx>
      <c:spPr>
        <a:solidFill>
          <a:srgbClr val="FFFFFF"/>
        </a:solidFill>
        <a:ln w="12700">
          <a:solidFill>
            <a:srgbClr val="808080"/>
          </a:solidFill>
          <a:prstDash val="solid"/>
        </a:ln>
      </c:spPr>
    </c:plotArea>
    <c:legend>
      <c:legendPos val="r"/>
      <c:layout>
        <c:manualLayout>
          <c:xMode val="edge"/>
          <c:yMode val="edge"/>
          <c:x val="0.45986857995311503"/>
          <c:y val="3.3758603465937399E-3"/>
          <c:w val="0.3344076345295548"/>
          <c:h val="0.23482569960445085"/>
        </c:manualLayout>
      </c:layout>
      <c:overlay val="0"/>
      <c:spPr>
        <a:solidFill>
          <a:srgbClr val="FFFFFF"/>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ほやのCs-137</a:t>
            </a:r>
          </a:p>
        </c:rich>
      </c:tx>
      <c:layout>
        <c:manualLayout>
          <c:xMode val="edge"/>
          <c:yMode val="edge"/>
          <c:x val="0.25193240747318318"/>
          <c:y val="7.1354289245773389E-2"/>
        </c:manualLayout>
      </c:layout>
      <c:overlay val="0"/>
      <c:spPr>
        <a:solidFill>
          <a:srgbClr val="FFFFFF"/>
        </a:solidFill>
        <a:ln w="25400">
          <a:noFill/>
        </a:ln>
      </c:spPr>
    </c:title>
    <c:autoTitleDeleted val="0"/>
    <c:plotArea>
      <c:layout>
        <c:manualLayout>
          <c:layoutTarget val="inner"/>
          <c:xMode val="edge"/>
          <c:yMode val="edge"/>
          <c:x val="7.2951188070517731E-2"/>
          <c:y val="3.5594382818935962E-2"/>
          <c:w val="0.90261880705177344"/>
          <c:h val="0.83223472222222217"/>
        </c:manualLayout>
      </c:layout>
      <c:lineChart>
        <c:grouping val="standard"/>
        <c:varyColors val="0"/>
        <c:ser>
          <c:idx val="1"/>
          <c:order val="0"/>
          <c:tx>
            <c:strRef>
              <c:f>ほや!$C$100</c:f>
              <c:strCache>
                <c:ptCount val="1"/>
                <c:pt idx="0">
                  <c:v>小屋取(県)</c:v>
                </c:pt>
              </c:strCache>
            </c:strRef>
          </c:tx>
          <c:spPr>
            <a:ln w="12700">
              <a:solidFill>
                <a:srgbClr val="000080"/>
              </a:solidFill>
              <a:prstDash val="solid"/>
            </a:ln>
          </c:spPr>
          <c:marker>
            <c:symbol val="square"/>
            <c:size val="5"/>
            <c:spPr>
              <a:noFill/>
              <a:ln>
                <a:solidFill>
                  <a:srgbClr val="000080"/>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ほや!$F$102:$F$159</c:f>
              <c:numCache>
                <c:formatCode>0.000</c:formatCode>
                <c:ptCount val="58"/>
                <c:pt idx="0">
                  <c:v>5.9259259259259262E-2</c:v>
                </c:pt>
                <c:pt idx="1">
                  <c:v>2.9629629629629631E-2</c:v>
                </c:pt>
                <c:pt idx="2" formatCode="&quot;(&quot;0.000&quot;)&quot;">
                  <c:v>2.5925925925925925E-2</c:v>
                </c:pt>
                <c:pt idx="3">
                  <c:v>7.407407407407407E-2</c:v>
                </c:pt>
                <c:pt idx="5">
                  <c:v>5.5555555555555552E-2</c:v>
                </c:pt>
                <c:pt idx="6">
                  <c:v>1.8518518518518517E-2</c:v>
                </c:pt>
                <c:pt idx="7">
                  <c:v>2.5925925925925925E-2</c:v>
                </c:pt>
                <c:pt idx="11">
                  <c:v>7.7777777777777779E-2</c:v>
                </c:pt>
                <c:pt idx="13">
                  <c:v>5.1999999999999998E-2</c:v>
                </c:pt>
                <c:pt idx="14" formatCode="&quot;(&quot;0.000&quot;)&quot;">
                  <c:v>2.3E-2</c:v>
                </c:pt>
                <c:pt idx="15">
                  <c:v>3.4000000000000002E-2</c:v>
                </c:pt>
                <c:pt idx="16" formatCode="&quot;(&quot;0.000&quot;)&quot;">
                  <c:v>1.7999999999999999E-2</c:v>
                </c:pt>
                <c:pt idx="17">
                  <c:v>2.8000000000000001E-2</c:v>
                </c:pt>
                <c:pt idx="18" formatCode="&quot;(&quot;0.000&quot;)&quot;">
                  <c:v>1.9E-2</c:v>
                </c:pt>
                <c:pt idx="19">
                  <c:v>4.1000000000000002E-2</c:v>
                </c:pt>
                <c:pt idx="20">
                  <c:v>2.3E-2</c:v>
                </c:pt>
                <c:pt idx="21">
                  <c:v>1.7000000000000001E-2</c:v>
                </c:pt>
                <c:pt idx="22">
                  <c:v>3.1E-2</c:v>
                </c:pt>
                <c:pt idx="23">
                  <c:v>6.8061956663618807E-3</c:v>
                </c:pt>
                <c:pt idx="24">
                  <c:v>2.5000000000000001E-2</c:v>
                </c:pt>
                <c:pt idx="25">
                  <c:v>6.5005624567100097E-3</c:v>
                </c:pt>
                <c:pt idx="26">
                  <c:v>6.3529317232338357E-3</c:v>
                </c:pt>
                <c:pt idx="27">
                  <c:v>6.2086537509397676E-3</c:v>
                </c:pt>
                <c:pt idx="28" formatCode="&quot;(&quot;0.000&quot;)&quot;">
                  <c:v>3.4000000000000002E-2</c:v>
                </c:pt>
                <c:pt idx="29" formatCode="&quot;(&quot;0.000&quot;)&quot;">
                  <c:v>2.5000000000000001E-2</c:v>
                </c:pt>
                <c:pt idx="30">
                  <c:v>5.7875081630750069E-3</c:v>
                </c:pt>
                <c:pt idx="31" formatCode="&quot;(&quot;0.000&quot;)&quot;">
                  <c:v>1.9E-2</c:v>
                </c:pt>
                <c:pt idx="32">
                  <c:v>2.1000000000000001E-2</c:v>
                </c:pt>
                <c:pt idx="33" formatCode="&quot;(&quot;0.000&quot;)&quot;">
                  <c:v>2.3E-2</c:v>
                </c:pt>
                <c:pt idx="34">
                  <c:v>5.2837339216267112E-3</c:v>
                </c:pt>
                <c:pt idx="35">
                  <c:v>5.158851921398467E-3</c:v>
                </c:pt>
                <c:pt idx="40">
                  <c:v>0.3</c:v>
                </c:pt>
                <c:pt idx="41">
                  <c:v>0.1</c:v>
                </c:pt>
                <c:pt idx="42" formatCode="&quot;(&quot;0.000&quot;)&quot;">
                  <c:v>6.8000000000000005E-2</c:v>
                </c:pt>
                <c:pt idx="43">
                  <c:v>8.1829570199305705E-3</c:v>
                </c:pt>
                <c:pt idx="44" formatCode="&quot;(&quot;0.000&quot;)&quot;">
                  <c:v>5.5E-2</c:v>
                </c:pt>
                <c:pt idx="45">
                  <c:v>7.8145137190178352E-3</c:v>
                </c:pt>
              </c:numCache>
            </c:numRef>
          </c:val>
          <c:smooth val="0"/>
        </c:ser>
        <c:ser>
          <c:idx val="2"/>
          <c:order val="1"/>
          <c:tx>
            <c:strRef>
              <c:f>ほや!$N$100</c:f>
              <c:strCache>
                <c:ptCount val="1"/>
                <c:pt idx="0">
                  <c:v>塚浜</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ほや!$Q$102:$Q$159</c:f>
              <c:numCache>
                <c:formatCode>0.000</c:formatCode>
                <c:ptCount val="58"/>
                <c:pt idx="0">
                  <c:v>7.407407407407407E-2</c:v>
                </c:pt>
                <c:pt idx="1">
                  <c:v>2.9629629629629631E-2</c:v>
                </c:pt>
                <c:pt idx="2">
                  <c:v>7.0370370370370361E-2</c:v>
                </c:pt>
                <c:pt idx="3">
                  <c:v>6.6666666666666666E-2</c:v>
                </c:pt>
                <c:pt idx="4">
                  <c:v>4.4444444444444446E-2</c:v>
                </c:pt>
                <c:pt idx="5">
                  <c:v>4.0740740740740751E-2</c:v>
                </c:pt>
                <c:pt idx="6">
                  <c:v>2.5925925925925925E-2</c:v>
                </c:pt>
                <c:pt idx="7">
                  <c:v>3.7037037037037035E-2</c:v>
                </c:pt>
                <c:pt idx="11">
                  <c:v>3.7037037037037035E-2</c:v>
                </c:pt>
                <c:pt idx="13">
                  <c:v>2.5999999999999999E-2</c:v>
                </c:pt>
                <c:pt idx="14" formatCode="&quot;(&quot;0.000&quot;)&quot;">
                  <c:v>2.1999999999999999E-2</c:v>
                </c:pt>
                <c:pt idx="15">
                  <c:v>3.6999999999999998E-2</c:v>
                </c:pt>
                <c:pt idx="16">
                  <c:v>3.2000000000000001E-2</c:v>
                </c:pt>
                <c:pt idx="17" formatCode="&quot;(&quot;0.000&quot;)&quot;">
                  <c:v>2.7E-2</c:v>
                </c:pt>
                <c:pt idx="18" formatCode="&quot;(&quot;0.000&quot;)&quot;">
                  <c:v>1.6E-2</c:v>
                </c:pt>
                <c:pt idx="19">
                  <c:v>2.5000000000000001E-2</c:v>
                </c:pt>
                <c:pt idx="20">
                  <c:v>2.3E-2</c:v>
                </c:pt>
                <c:pt idx="21">
                  <c:v>1.7000000000000001E-2</c:v>
                </c:pt>
                <c:pt idx="22">
                  <c:v>2.5000000000000001E-2</c:v>
                </c:pt>
                <c:pt idx="23">
                  <c:v>2.4E-2</c:v>
                </c:pt>
                <c:pt idx="24">
                  <c:v>2.1999999999999999E-2</c:v>
                </c:pt>
                <c:pt idx="25">
                  <c:v>5.7782777392977871E-3</c:v>
                </c:pt>
                <c:pt idx="26" formatCode="&quot;(&quot;0.000&quot;)&quot;">
                  <c:v>2.4E-2</c:v>
                </c:pt>
                <c:pt idx="27">
                  <c:v>5.5188033341686833E-3</c:v>
                </c:pt>
                <c:pt idx="28">
                  <c:v>5.3914268691546662E-3</c:v>
                </c:pt>
                <c:pt idx="29">
                  <c:v>5.2689851099258353E-3</c:v>
                </c:pt>
                <c:pt idx="30">
                  <c:v>5.1444517005111174E-3</c:v>
                </c:pt>
                <c:pt idx="31">
                  <c:v>5.0295230008418597E-3</c:v>
                </c:pt>
                <c:pt idx="32">
                  <c:v>4.9168515292174163E-3</c:v>
                </c:pt>
                <c:pt idx="33" formatCode="&quot;(&quot;0.000&quot;)&quot;">
                  <c:v>2.4E-2</c:v>
                </c:pt>
                <c:pt idx="34">
                  <c:v>4.6966523747792996E-3</c:v>
                </c:pt>
                <c:pt idx="35">
                  <c:v>0.03</c:v>
                </c:pt>
                <c:pt idx="40">
                  <c:v>0.74</c:v>
                </c:pt>
                <c:pt idx="41">
                  <c:v>0.21</c:v>
                </c:pt>
                <c:pt idx="42" formatCode="&quot;(&quot;0.000&quot;)&quot;">
                  <c:v>0.06</c:v>
                </c:pt>
                <c:pt idx="43" formatCode="&quot;(&quot;0.000&quot;)&quot;">
                  <c:v>0.09</c:v>
                </c:pt>
                <c:pt idx="44" formatCode="&quot;(&quot;0.000&quot;)&quot;">
                  <c:v>0.25</c:v>
                </c:pt>
                <c:pt idx="45">
                  <c:v>0.15</c:v>
                </c:pt>
              </c:numCache>
            </c:numRef>
          </c:val>
          <c:smooth val="0"/>
        </c:ser>
        <c:ser>
          <c:idx val="3"/>
          <c:order val="2"/>
          <c:tx>
            <c:strRef>
              <c:f>ほや!$Y$100</c:f>
              <c:strCache>
                <c:ptCount val="1"/>
                <c:pt idx="0">
                  <c:v>塚浜h25~←小屋取(電力)</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ほや!$AB$102:$AB$159</c:f>
              <c:numCache>
                <c:formatCode>0_);[Red]\(0\)</c:formatCode>
                <c:ptCount val="58"/>
                <c:pt idx="2" formatCode="0.000">
                  <c:v>1.0833275620966453E-2</c:v>
                </c:pt>
                <c:pt idx="5" formatCode="&quot;(&quot;0.000&quot;)&quot;">
                  <c:v>6.6666666666666666E-2</c:v>
                </c:pt>
                <c:pt idx="6" formatCode="0.000">
                  <c:v>1.0350724507673032E-2</c:v>
                </c:pt>
                <c:pt idx="7" formatCode="0.000">
                  <c:v>4.8148148148148148E-2</c:v>
                </c:pt>
                <c:pt idx="11" formatCode="&quot;(&quot;0.000&quot;)&quot;">
                  <c:v>0.11481481481481481</c:v>
                </c:pt>
                <c:pt idx="12" formatCode="0.000">
                  <c:v>7.407407407407407E-2</c:v>
                </c:pt>
                <c:pt idx="13" formatCode="&quot;(&quot;0.000&quot;)&quot;">
                  <c:v>4.1000000000000002E-2</c:v>
                </c:pt>
                <c:pt idx="14" formatCode="0.000">
                  <c:v>5.3999999999999999E-2</c:v>
                </c:pt>
                <c:pt idx="15" formatCode="0.000">
                  <c:v>4.3999999999999997E-2</c:v>
                </c:pt>
                <c:pt idx="16" formatCode="0.000">
                  <c:v>5.3999999999999999E-2</c:v>
                </c:pt>
                <c:pt idx="17" formatCode="&quot;(&quot;0.000&quot;)&quot;">
                  <c:v>4.2999999999999997E-2</c:v>
                </c:pt>
                <c:pt idx="18" formatCode="0.000">
                  <c:v>9.3147435142685985E-3</c:v>
                </c:pt>
                <c:pt idx="19" formatCode="0.000">
                  <c:v>2.3E-2</c:v>
                </c:pt>
                <c:pt idx="20" formatCode="0.000">
                  <c:v>4.1000000000000002E-2</c:v>
                </c:pt>
                <c:pt idx="21" formatCode="0.000">
                  <c:v>8.6977137495437597E-3</c:v>
                </c:pt>
                <c:pt idx="22" formatCode="0.000">
                  <c:v>2.4E-2</c:v>
                </c:pt>
                <c:pt idx="23" formatCode="0.000">
                  <c:v>0.02</c:v>
                </c:pt>
                <c:pt idx="24" formatCode="0.000">
                  <c:v>3.9E-2</c:v>
                </c:pt>
                <c:pt idx="25" formatCode="0.000">
                  <c:v>2.9000000000000001E-2</c:v>
                </c:pt>
                <c:pt idx="26" formatCode="0.000">
                  <c:v>7.7446288394474707E-3</c:v>
                </c:pt>
                <c:pt idx="27" formatCode="0.000">
                  <c:v>3.5999999999999997E-2</c:v>
                </c:pt>
                <c:pt idx="28" formatCode="0.000">
                  <c:v>7.3996566076612808E-3</c:v>
                </c:pt>
                <c:pt idx="29" formatCode="&quot;(&quot;0.000&quot;)&quot;">
                  <c:v>3.1E-2</c:v>
                </c:pt>
                <c:pt idx="30" formatCode="0.000">
                  <c:v>7.0673739478343605E-3</c:v>
                </c:pt>
                <c:pt idx="31" formatCode="&quot;(&quot;0.000&quot;)&quot;">
                  <c:v>2.1000000000000001E-2</c:v>
                </c:pt>
                <c:pt idx="32" formatCode="0.000">
                  <c:v>6.7436255385552625E-3</c:v>
                </c:pt>
                <c:pt idx="33" formatCode="&quot;(&quot;0.000&quot;)&quot;">
                  <c:v>2.4E-2</c:v>
                </c:pt>
                <c:pt idx="34" formatCode="0.000">
                  <c:v>6.4444614429251023E-3</c:v>
                </c:pt>
                <c:pt idx="35" formatCode="0.000">
                  <c:v>6.2921454392572806E-3</c:v>
                </c:pt>
                <c:pt idx="41" formatCode="0.000">
                  <c:v>0.61</c:v>
                </c:pt>
                <c:pt idx="42" formatCode="0.000">
                  <c:v>0.13800000000000001</c:v>
                </c:pt>
                <c:pt idx="43" formatCode="0.000">
                  <c:v>5.7000000000000002E-2</c:v>
                </c:pt>
                <c:pt idx="44" formatCode="0.000">
                  <c:v>0.08</c:v>
                </c:pt>
                <c:pt idx="45" formatCode="0.000">
                  <c:v>2.9000000000000001E-2</c:v>
                </c:pt>
              </c:numCache>
            </c:numRef>
          </c:val>
          <c:smooth val="0"/>
        </c:ser>
        <c:ser>
          <c:idx val="0"/>
          <c:order val="3"/>
          <c:tx>
            <c:strRef>
              <c:f>ほや!$AG$101</c:f>
              <c:strCache>
                <c:ptCount val="1"/>
                <c:pt idx="0">
                  <c:v>Cs137崩壊</c:v>
                </c:pt>
              </c:strCache>
            </c:strRef>
          </c:tx>
          <c:spPr>
            <a:ln>
              <a:solidFill>
                <a:srgbClr val="C00000"/>
              </a:solidFill>
              <a:prstDash val="sysDash"/>
            </a:ln>
          </c:spPr>
          <c:marker>
            <c:symbol val="none"/>
          </c:marker>
          <c:cat>
            <c:numRef>
              <c:f>ほや!$B$102:$B$159</c:f>
              <c:numCache>
                <c:formatCode>[$-411]m\.d\.ge</c:formatCode>
                <c:ptCount val="58"/>
                <c:pt idx="0">
                  <c:v>29902</c:v>
                </c:pt>
                <c:pt idx="1">
                  <c:v>30089</c:v>
                </c:pt>
                <c:pt idx="2">
                  <c:v>30147</c:v>
                </c:pt>
                <c:pt idx="3">
                  <c:v>30188</c:v>
                </c:pt>
                <c:pt idx="4">
                  <c:v>30455</c:v>
                </c:pt>
                <c:pt idx="5">
                  <c:v>30515</c:v>
                </c:pt>
                <c:pt idx="6">
                  <c:v>30858</c:v>
                </c:pt>
                <c:pt idx="7">
                  <c:v>31210</c:v>
                </c:pt>
                <c:pt idx="8">
                  <c:v>31526</c:v>
                </c:pt>
                <c:pt idx="9">
                  <c:v>31527</c:v>
                </c:pt>
                <c:pt idx="10">
                  <c:v>31528</c:v>
                </c:pt>
                <c:pt idx="11">
                  <c:v>31576</c:v>
                </c:pt>
                <c:pt idx="12">
                  <c:v>31968</c:v>
                </c:pt>
                <c:pt idx="13">
                  <c:v>32303</c:v>
                </c:pt>
                <c:pt idx="14">
                  <c:v>32666</c:v>
                </c:pt>
                <c:pt idx="15">
                  <c:v>33038</c:v>
                </c:pt>
                <c:pt idx="16">
                  <c:v>33396</c:v>
                </c:pt>
                <c:pt idx="17">
                  <c:v>33765</c:v>
                </c:pt>
                <c:pt idx="18">
                  <c:v>34137</c:v>
                </c:pt>
                <c:pt idx="19">
                  <c:v>34495</c:v>
                </c:pt>
                <c:pt idx="20">
                  <c:v>34858</c:v>
                </c:pt>
                <c:pt idx="21">
                  <c:v>35223</c:v>
                </c:pt>
                <c:pt idx="22">
                  <c:v>35594</c:v>
                </c:pt>
                <c:pt idx="23">
                  <c:v>35955</c:v>
                </c:pt>
                <c:pt idx="24">
                  <c:v>36313</c:v>
                </c:pt>
                <c:pt idx="25">
                  <c:v>36683</c:v>
                </c:pt>
                <c:pt idx="26">
                  <c:v>37047</c:v>
                </c:pt>
                <c:pt idx="27">
                  <c:v>37411</c:v>
                </c:pt>
                <c:pt idx="28">
                  <c:v>37781</c:v>
                </c:pt>
                <c:pt idx="29">
                  <c:v>38145</c:v>
                </c:pt>
                <c:pt idx="30">
                  <c:v>38524</c:v>
                </c:pt>
                <c:pt idx="31">
                  <c:v>38882</c:v>
                </c:pt>
                <c:pt idx="32">
                  <c:v>39241</c:v>
                </c:pt>
                <c:pt idx="33">
                  <c:v>39608</c:v>
                </c:pt>
                <c:pt idx="34">
                  <c:v>39967</c:v>
                </c:pt>
                <c:pt idx="35">
                  <c:v>40346</c:v>
                </c:pt>
                <c:pt idx="36">
                  <c:v>40611</c:v>
                </c:pt>
                <c:pt idx="37">
                  <c:v>40612</c:v>
                </c:pt>
                <c:pt idx="38">
                  <c:v>40613</c:v>
                </c:pt>
                <c:pt idx="39">
                  <c:v>40695</c:v>
                </c:pt>
                <c:pt idx="40">
                  <c:v>41253</c:v>
                </c:pt>
                <c:pt idx="41">
                  <c:v>41444</c:v>
                </c:pt>
                <c:pt idx="42">
                  <c:v>41788</c:v>
                </c:pt>
                <c:pt idx="43">
                  <c:v>42121</c:v>
                </c:pt>
                <c:pt idx="44">
                  <c:v>42486</c:v>
                </c:pt>
                <c:pt idx="45">
                  <c:v>42851</c:v>
                </c:pt>
              </c:numCache>
            </c:numRef>
          </c:cat>
          <c:val>
            <c:numRef>
              <c:f>ほや!$AG$102:$AG$159</c:f>
              <c:numCache>
                <c:formatCode>0.0</c:formatCode>
                <c:ptCount val="58"/>
                <c:pt idx="0">
                  <c:v>1</c:v>
                </c:pt>
                <c:pt idx="1">
                  <c:v>0.98826765835389963</c:v>
                </c:pt>
                <c:pt idx="2">
                  <c:v>0.98465679335919598</c:v>
                </c:pt>
                <c:pt idx="3">
                  <c:v>0.98211224760240012</c:v>
                </c:pt>
                <c:pt idx="4">
                  <c:v>0.96570174981690582</c:v>
                </c:pt>
                <c:pt idx="5">
                  <c:v>0.9620518953194872</c:v>
                </c:pt>
                <c:pt idx="6">
                  <c:v>0.94145016021224537</c:v>
                </c:pt>
                <c:pt idx="7">
                  <c:v>0.92076645743839958</c:v>
                </c:pt>
                <c:pt idx="8">
                  <c:v>0.90258551104928098</c:v>
                </c:pt>
                <c:pt idx="10">
                  <c:v>1</c:v>
                </c:pt>
                <c:pt idx="11">
                  <c:v>0.9969752681552887</c:v>
                </c:pt>
                <c:pt idx="12">
                  <c:v>0.97261328070753494</c:v>
                </c:pt>
                <c:pt idx="13">
                  <c:v>0.95226604456618769</c:v>
                </c:pt>
                <c:pt idx="14">
                  <c:v>0.9306983842836607</c:v>
                </c:pt>
                <c:pt idx="15">
                  <c:v>0.90910269112694431</c:v>
                </c:pt>
                <c:pt idx="16">
                  <c:v>0.88879304566041939</c:v>
                </c:pt>
                <c:pt idx="17">
                  <c:v>0.86833410159286872</c:v>
                </c:pt>
                <c:pt idx="18">
                  <c:v>0.84818549369564344</c:v>
                </c:pt>
                <c:pt idx="19">
                  <c:v>0.82923675794231078</c:v>
                </c:pt>
                <c:pt idx="20">
                  <c:v>0.81045556040708688</c:v>
                </c:pt>
                <c:pt idx="21">
                  <c:v>0.79199976031325325</c:v>
                </c:pt>
                <c:pt idx="22">
                  <c:v>0.77367122085403717</c:v>
                </c:pt>
                <c:pt idx="23">
                  <c:v>0.7562439629290979</c:v>
                </c:pt>
                <c:pt idx="24">
                  <c:v>0.73934923043826073</c:v>
                </c:pt>
                <c:pt idx="25">
                  <c:v>0.72228471741222333</c:v>
                </c:pt>
                <c:pt idx="26">
                  <c:v>0.70588130258153736</c:v>
                </c:pt>
                <c:pt idx="27">
                  <c:v>0.68985041677108538</c:v>
                </c:pt>
                <c:pt idx="28">
                  <c:v>0.6739283586443332</c:v>
                </c:pt>
                <c:pt idx="29">
                  <c:v>0.65862313874072942</c:v>
                </c:pt>
                <c:pt idx="30">
                  <c:v>0.64305646256388971</c:v>
                </c:pt>
                <c:pt idx="31">
                  <c:v>0.6286903751052324</c:v>
                </c:pt>
                <c:pt idx="32">
                  <c:v>0.614606441152177</c:v>
                </c:pt>
                <c:pt idx="33">
                  <c:v>0.60053473766551735</c:v>
                </c:pt>
                <c:pt idx="34">
                  <c:v>0.58708154684741243</c:v>
                </c:pt>
                <c:pt idx="35">
                  <c:v>0.57320576904427412</c:v>
                </c:pt>
                <c:pt idx="36">
                  <c:v>0.56369899602207396</c:v>
                </c:pt>
                <c:pt idx="38">
                  <c:v>1</c:v>
                </c:pt>
                <c:pt idx="39">
                  <c:v>0.99483828685902442</c:v>
                </c:pt>
                <c:pt idx="40">
                  <c:v>0.96041396439623639</c:v>
                </c:pt>
                <c:pt idx="41">
                  <c:v>0.94890648463861604</c:v>
                </c:pt>
                <c:pt idx="42">
                  <c:v>0.92852764830004286</c:v>
                </c:pt>
                <c:pt idx="43">
                  <c:v>0.90921744665895232</c:v>
                </c:pt>
                <c:pt idx="44">
                  <c:v>0.8885126279654576</c:v>
                </c:pt>
                <c:pt idx="45">
                  <c:v>0.8682793021130929</c:v>
                </c:pt>
              </c:numCache>
            </c:numRef>
          </c:val>
          <c:smooth val="0"/>
        </c:ser>
        <c:dLbls>
          <c:showLegendKey val="0"/>
          <c:showVal val="0"/>
          <c:showCatName val="0"/>
          <c:showSerName val="0"/>
          <c:showPercent val="0"/>
          <c:showBubbleSize val="0"/>
        </c:dLbls>
        <c:marker val="1"/>
        <c:smooth val="0"/>
        <c:axId val="254649088"/>
        <c:axId val="254650624"/>
      </c:lineChart>
      <c:dateAx>
        <c:axId val="254649088"/>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54650624"/>
        <c:crossesAt val="1.0000000000000003E-4"/>
        <c:auto val="0"/>
        <c:lblOffset val="100"/>
        <c:baseTimeUnit val="days"/>
        <c:majorUnit val="24"/>
        <c:majorTimeUnit val="months"/>
        <c:minorUnit val="1"/>
        <c:minorTimeUnit val="months"/>
      </c:dateAx>
      <c:valAx>
        <c:axId val="254650624"/>
        <c:scaling>
          <c:logBase val="10"/>
          <c:orientation val="minMax"/>
          <c:max val="10"/>
        </c:scaling>
        <c:delete val="0"/>
        <c:axPos val="l"/>
        <c:minorGridlines>
          <c:spPr>
            <a:ln>
              <a:solidFill>
                <a:schemeClr val="bg1">
                  <a:lumMod val="85000"/>
                </a:schemeClr>
              </a:solidFill>
            </a:ln>
          </c:spPr>
        </c:min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a:t>
                </a:r>
              </a:p>
            </c:rich>
          </c:tx>
          <c:layout>
            <c:manualLayout>
              <c:xMode val="edge"/>
              <c:yMode val="edge"/>
              <c:x val="8.1433224755700327E-3"/>
              <c:y val="7.4906760250474311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54649088"/>
        <c:crosses val="autoZero"/>
        <c:crossBetween val="midCat"/>
      </c:valAx>
      <c:spPr>
        <a:solidFill>
          <a:srgbClr val="FFFFFF"/>
        </a:solidFill>
        <a:ln w="12700">
          <a:solidFill>
            <a:srgbClr val="808080"/>
          </a:solidFill>
          <a:prstDash val="solid"/>
        </a:ln>
      </c:spPr>
    </c:plotArea>
    <c:legend>
      <c:legendPos val="r"/>
      <c:layout>
        <c:manualLayout>
          <c:xMode val="edge"/>
          <c:yMode val="edge"/>
          <c:x val="0.44835991333380693"/>
          <c:y val="1.9949035311248634E-3"/>
          <c:w val="0.35106577938819589"/>
          <c:h val="0.21348390822509236"/>
        </c:manualLayout>
      </c:layout>
      <c:overlay val="0"/>
      <c:spPr>
        <a:solidFill>
          <a:srgbClr val="FFFFFF"/>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editAs="oneCell">
    <xdr:from>
      <xdr:col>16</xdr:col>
      <xdr:colOff>136525</xdr:colOff>
      <xdr:row>6</xdr:row>
      <xdr:rowOff>53974</xdr:rowOff>
    </xdr:from>
    <xdr:to>
      <xdr:col>32</xdr:col>
      <xdr:colOff>169800</xdr:colOff>
      <xdr:row>24</xdr:row>
      <xdr:rowOff>114574</xdr:rowOff>
    </xdr:to>
    <xdr:graphicFrame macro="">
      <xdr:nvGraphicFramePr>
        <xdr:cNvPr id="1648"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34923</xdr:colOff>
      <xdr:row>6</xdr:row>
      <xdr:rowOff>57149</xdr:rowOff>
    </xdr:from>
    <xdr:to>
      <xdr:col>16</xdr:col>
      <xdr:colOff>131698</xdr:colOff>
      <xdr:row>24</xdr:row>
      <xdr:rowOff>124099</xdr:rowOff>
    </xdr:to>
    <xdr:graphicFrame macro="">
      <xdr:nvGraphicFramePr>
        <xdr:cNvPr id="1649"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24</xdr:col>
      <xdr:colOff>41275</xdr:colOff>
      <xdr:row>23</xdr:row>
      <xdr:rowOff>38099</xdr:rowOff>
    </xdr:from>
    <xdr:to>
      <xdr:col>32</xdr:col>
      <xdr:colOff>171450</xdr:colOff>
      <xdr:row>41</xdr:row>
      <xdr:rowOff>111125</xdr:rowOff>
    </xdr:to>
    <xdr:graphicFrame macro="">
      <xdr:nvGraphicFramePr>
        <xdr:cNvPr id="1650"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16</xdr:col>
      <xdr:colOff>133350</xdr:colOff>
      <xdr:row>23</xdr:row>
      <xdr:rowOff>34924</xdr:rowOff>
    </xdr:from>
    <xdr:to>
      <xdr:col>24</xdr:col>
      <xdr:colOff>41275</xdr:colOff>
      <xdr:row>41</xdr:row>
      <xdr:rowOff>101874</xdr:rowOff>
    </xdr:to>
    <xdr:graphicFrame macro="">
      <xdr:nvGraphicFramePr>
        <xdr:cNvPr id="1651"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41275</xdr:colOff>
      <xdr:row>22</xdr:row>
      <xdr:rowOff>117474</xdr:rowOff>
    </xdr:from>
    <xdr:to>
      <xdr:col>16</xdr:col>
      <xdr:colOff>138050</xdr:colOff>
      <xdr:row>41</xdr:row>
      <xdr:rowOff>32024</xdr:rowOff>
    </xdr:to>
    <xdr:graphicFrame macro="">
      <xdr:nvGraphicFramePr>
        <xdr:cNvPr id="1652"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xdr:col>
      <xdr:colOff>31750</xdr:colOff>
      <xdr:row>42</xdr:row>
      <xdr:rowOff>41273</xdr:rowOff>
    </xdr:from>
    <xdr:to>
      <xdr:col>16</xdr:col>
      <xdr:colOff>125350</xdr:colOff>
      <xdr:row>60</xdr:row>
      <xdr:rowOff>105048</xdr:rowOff>
    </xdr:to>
    <xdr:graphicFrame macro="">
      <xdr:nvGraphicFramePr>
        <xdr:cNvPr id="1654"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16</xdr:col>
      <xdr:colOff>126998</xdr:colOff>
      <xdr:row>42</xdr:row>
      <xdr:rowOff>41273</xdr:rowOff>
    </xdr:from>
    <xdr:to>
      <xdr:col>32</xdr:col>
      <xdr:colOff>157098</xdr:colOff>
      <xdr:row>60</xdr:row>
      <xdr:rowOff>105048</xdr:rowOff>
    </xdr:to>
    <xdr:graphicFrame macro="">
      <xdr:nvGraphicFramePr>
        <xdr:cNvPr id="1655" name="グラフ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xdr:col>
      <xdr:colOff>28574</xdr:colOff>
      <xdr:row>58</xdr:row>
      <xdr:rowOff>136524</xdr:rowOff>
    </xdr:from>
    <xdr:to>
      <xdr:col>16</xdr:col>
      <xdr:colOff>115824</xdr:colOff>
      <xdr:row>77</xdr:row>
      <xdr:rowOff>47899</xdr:rowOff>
    </xdr:to>
    <xdr:graphicFrame macro="">
      <xdr:nvGraphicFramePr>
        <xdr:cNvPr id="1656" name="グラフ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16</xdr:col>
      <xdr:colOff>123824</xdr:colOff>
      <xdr:row>58</xdr:row>
      <xdr:rowOff>130172</xdr:rowOff>
    </xdr:from>
    <xdr:to>
      <xdr:col>32</xdr:col>
      <xdr:colOff>153924</xdr:colOff>
      <xdr:row>77</xdr:row>
      <xdr:rowOff>41547</xdr:rowOff>
    </xdr:to>
    <xdr:graphicFrame macro="">
      <xdr:nvGraphicFramePr>
        <xdr:cNvPr id="1900" name="グラフ 33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15</xdr:col>
      <xdr:colOff>85725</xdr:colOff>
      <xdr:row>231</xdr:row>
      <xdr:rowOff>0</xdr:rowOff>
    </xdr:from>
    <xdr:to>
      <xdr:col>15</xdr:col>
      <xdr:colOff>295275</xdr:colOff>
      <xdr:row>232</xdr:row>
      <xdr:rowOff>0</xdr:rowOff>
    </xdr:to>
    <xdr:sp macro="" textlink="">
      <xdr:nvSpPr>
        <xdr:cNvPr id="1363" name="Rectangle 339"/>
        <xdr:cNvSpPr>
          <a:spLocks noChangeArrowheads="1"/>
        </xdr:cNvSpPr>
      </xdr:nvSpPr>
      <xdr:spPr bwMode="auto">
        <a:xfrm>
          <a:off x="16411575" y="16992600"/>
          <a:ext cx="20955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ja-JP" altLang="en-US" sz="700" b="0" i="0" u="none" strike="noStrike" baseline="0">
              <a:solidFill>
                <a:srgbClr val="000000"/>
              </a:solidFill>
              <a:latin typeface="Meiryo UI"/>
              <a:ea typeface="Meiryo UI"/>
            </a:rPr>
            <a:t>ND</a:t>
          </a:r>
        </a:p>
      </xdr:txBody>
    </xdr:sp>
    <xdr:clientData/>
  </xdr:twoCellAnchor>
  <xdr:twoCellAnchor>
    <xdr:from>
      <xdr:col>16</xdr:col>
      <xdr:colOff>66675</xdr:colOff>
      <xdr:row>231</xdr:row>
      <xdr:rowOff>0</xdr:rowOff>
    </xdr:from>
    <xdr:to>
      <xdr:col>16</xdr:col>
      <xdr:colOff>276225</xdr:colOff>
      <xdr:row>232</xdr:row>
      <xdr:rowOff>0</xdr:rowOff>
    </xdr:to>
    <xdr:sp macro="" textlink="">
      <xdr:nvSpPr>
        <xdr:cNvPr id="1364" name="Rectangle 340"/>
        <xdr:cNvSpPr>
          <a:spLocks noChangeArrowheads="1"/>
        </xdr:cNvSpPr>
      </xdr:nvSpPr>
      <xdr:spPr bwMode="auto">
        <a:xfrm>
          <a:off x="16716375" y="16992600"/>
          <a:ext cx="20955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ja-JP" altLang="en-US" sz="700" b="0" i="0" u="none" strike="noStrike" baseline="0">
              <a:solidFill>
                <a:srgbClr val="000000"/>
              </a:solidFill>
              <a:latin typeface="Meiryo UI"/>
              <a:ea typeface="Meiryo UI"/>
            </a:rPr>
            <a:t>ND</a:t>
          </a:r>
        </a:p>
      </xdr:txBody>
    </xdr:sp>
    <xdr:clientData/>
  </xdr:twoCellAnchor>
  <xdr:twoCellAnchor editAs="oneCell">
    <xdr:from>
      <xdr:col>1</xdr:col>
      <xdr:colOff>31749</xdr:colOff>
      <xdr:row>75</xdr:row>
      <xdr:rowOff>28574</xdr:rowOff>
    </xdr:from>
    <xdr:to>
      <xdr:col>16</xdr:col>
      <xdr:colOff>125349</xdr:colOff>
      <xdr:row>93</xdr:row>
      <xdr:rowOff>92349</xdr:rowOff>
    </xdr:to>
    <xdr:graphicFrame macro="">
      <xdr:nvGraphicFramePr>
        <xdr:cNvPr id="1653"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kmdmyg.info/" TargetMode="External"/><Relationship Id="rId3" Type="http://schemas.openxmlformats.org/officeDocument/2006/relationships/hyperlink" Target="http://www.pref.miyagi.jp/soshiki/gentai/" TargetMode="External"/><Relationship Id="rId7" Type="http://schemas.openxmlformats.org/officeDocument/2006/relationships/hyperlink" Target="http://www.r-info-miyagi.jp/r-info/" TargetMode="External"/><Relationship Id="rId2" Type="http://schemas.openxmlformats.org/officeDocument/2006/relationships/hyperlink" Target="http://miyagi-ermc.jp/" TargetMode="External"/><Relationship Id="rId1" Type="http://schemas.openxmlformats.org/officeDocument/2006/relationships/hyperlink" Target="http://www.miyagi-gc.gr.jp/html/sokutei.htm" TargetMode="External"/><Relationship Id="rId6" Type="http://schemas.openxmlformats.org/officeDocument/2006/relationships/hyperlink" Target="http://www.pref.miyagi.jp/soshiki/gentai/" TargetMode="External"/><Relationship Id="rId5" Type="http://schemas.openxmlformats.org/officeDocument/2006/relationships/hyperlink" Target="http://miyagi-ermc.jp/" TargetMode="External"/><Relationship Id="rId10" Type="http://schemas.openxmlformats.org/officeDocument/2006/relationships/drawing" Target="../drawings/drawing1.xml"/><Relationship Id="rId4" Type="http://schemas.openxmlformats.org/officeDocument/2006/relationships/hyperlink" Target="http://www.r-info-miyagi.jp/r-info/"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codeName="Sheet1"/>
  <dimension ref="A1:AN287"/>
  <sheetViews>
    <sheetView tabSelected="1" zoomScale="75" zoomScaleNormal="75" workbookViewId="0"/>
  </sheetViews>
  <sheetFormatPr defaultColWidth="10.69921875" defaultRowHeight="12" customHeight="1" x14ac:dyDescent="0.2"/>
  <cols>
    <col min="1" max="1" width="1" style="4" customWidth="1"/>
    <col min="2" max="2" width="6.19921875" style="4" customWidth="1"/>
    <col min="3" max="4" width="3.3984375" style="4" customWidth="1"/>
    <col min="5" max="6" width="3.3984375" style="3" customWidth="1"/>
    <col min="7" max="11" width="3.3984375" style="4" customWidth="1"/>
    <col min="12" max="12" width="3.3984375" style="3" customWidth="1"/>
    <col min="13" max="13" width="6.19921875" style="4" customWidth="1"/>
    <col min="14" max="15" width="3.3984375" style="4" customWidth="1"/>
    <col min="16" max="17" width="3.3984375" style="3" customWidth="1"/>
    <col min="18" max="22" width="3.3984375" style="4" customWidth="1"/>
    <col min="23" max="23" width="3.3984375" style="3" customWidth="1"/>
    <col min="24" max="24" width="6.19921875" style="4" customWidth="1"/>
    <col min="25" max="55" width="3.3984375" style="4" customWidth="1"/>
    <col min="56" max="16384" width="10.69921875" style="4"/>
  </cols>
  <sheetData>
    <row r="1" spans="2:32" ht="6.75" customHeight="1" x14ac:dyDescent="0.2"/>
    <row r="2" spans="2:32" ht="15.75" customHeight="1" x14ac:dyDescent="0.3">
      <c r="B2" s="61" t="s">
        <v>0</v>
      </c>
      <c r="C2" s="2"/>
      <c r="D2" s="58" t="s">
        <v>34</v>
      </c>
      <c r="E2" s="4"/>
      <c r="F2" s="4"/>
      <c r="K2" s="5"/>
      <c r="O2" s="3"/>
      <c r="Q2" s="4"/>
      <c r="V2" s="49"/>
      <c r="W2" s="4"/>
      <c r="X2" s="49"/>
      <c r="Y2" s="328"/>
      <c r="Z2" s="83"/>
      <c r="AA2" s="84"/>
      <c r="AB2" s="328"/>
      <c r="AC2" s="83"/>
      <c r="AD2" s="83"/>
      <c r="AE2" s="84"/>
      <c r="AF2" s="328"/>
    </row>
    <row r="3" spans="2:32" ht="12" customHeight="1" x14ac:dyDescent="0.2">
      <c r="B3" s="248"/>
      <c r="C3" s="249" t="s">
        <v>40</v>
      </c>
      <c r="D3" s="250"/>
      <c r="E3" s="250"/>
      <c r="F3" s="250"/>
      <c r="G3" s="249" t="s">
        <v>41</v>
      </c>
      <c r="H3" s="250"/>
      <c r="I3" s="250"/>
      <c r="J3" s="249" t="s">
        <v>42</v>
      </c>
      <c r="K3" s="250"/>
      <c r="L3" s="251"/>
      <c r="M3" s="3"/>
      <c r="N3" s="252" t="s">
        <v>96</v>
      </c>
      <c r="O3" s="253"/>
      <c r="S3" s="332"/>
      <c r="T3" s="332"/>
      <c r="U3" s="332"/>
      <c r="V3" s="332"/>
      <c r="W3" s="332"/>
      <c r="X3" s="332"/>
      <c r="Y3" s="332"/>
      <c r="Z3" s="332"/>
      <c r="AA3" s="332"/>
      <c r="AB3" s="332"/>
      <c r="AC3" s="332"/>
      <c r="AD3" s="332"/>
      <c r="AE3" s="332"/>
      <c r="AF3" s="332"/>
    </row>
    <row r="4" spans="2:32" ht="12" customHeight="1" x14ac:dyDescent="0.2">
      <c r="B4" s="248"/>
      <c r="C4" s="330" t="s">
        <v>137</v>
      </c>
      <c r="D4" s="250"/>
      <c r="E4" s="250"/>
      <c r="F4" s="250"/>
      <c r="G4" s="249"/>
      <c r="H4" s="250"/>
      <c r="I4" s="250"/>
      <c r="J4" s="249"/>
      <c r="K4" s="250"/>
      <c r="L4" s="251"/>
      <c r="M4" s="3"/>
      <c r="N4" s="252"/>
      <c r="O4" s="253"/>
      <c r="R4" s="332"/>
      <c r="S4" s="332"/>
      <c r="T4" s="332"/>
      <c r="U4" s="332"/>
      <c r="V4" s="332"/>
      <c r="W4" s="332"/>
      <c r="X4" s="332"/>
      <c r="Y4" s="332"/>
      <c r="Z4" s="332"/>
      <c r="AA4" s="332"/>
      <c r="AB4" s="332"/>
      <c r="AC4" s="332"/>
      <c r="AD4" s="332"/>
      <c r="AE4" s="332"/>
      <c r="AF4" s="332"/>
    </row>
    <row r="5" spans="2:32" ht="12" customHeight="1" x14ac:dyDescent="0.2">
      <c r="B5" s="248"/>
      <c r="C5" s="4" t="s">
        <v>138</v>
      </c>
      <c r="D5" s="250"/>
      <c r="E5" s="250"/>
      <c r="F5" s="250"/>
      <c r="G5" s="249"/>
      <c r="H5" s="250"/>
      <c r="I5" s="250"/>
      <c r="J5" s="249"/>
      <c r="K5" s="250"/>
      <c r="L5" s="251"/>
      <c r="M5" s="3"/>
      <c r="N5" s="252"/>
      <c r="O5" s="253"/>
      <c r="R5" s="331"/>
      <c r="S5" s="331"/>
      <c r="T5" s="331"/>
      <c r="U5" s="331"/>
      <c r="V5" s="331"/>
      <c r="W5" s="331"/>
      <c r="X5" s="331"/>
      <c r="Y5" s="331"/>
      <c r="Z5" s="331"/>
      <c r="AA5" s="331"/>
      <c r="AB5" s="331"/>
      <c r="AC5" s="331"/>
      <c r="AD5" s="331"/>
      <c r="AE5" s="331"/>
      <c r="AF5" s="331"/>
    </row>
    <row r="6" spans="2:32" ht="12" customHeight="1" x14ac:dyDescent="0.2">
      <c r="B6" s="248"/>
      <c r="C6" s="4" t="s">
        <v>139</v>
      </c>
      <c r="D6" s="250"/>
      <c r="E6" s="250"/>
      <c r="F6" s="250"/>
      <c r="G6" s="249"/>
      <c r="H6" s="250"/>
      <c r="I6" s="250"/>
      <c r="J6" s="249"/>
      <c r="K6" s="250"/>
      <c r="L6" s="251"/>
      <c r="M6" s="3"/>
      <c r="N6" s="252"/>
      <c r="O6" s="253"/>
      <c r="R6" s="331"/>
      <c r="S6" s="331"/>
      <c r="T6" s="331"/>
      <c r="U6" s="331"/>
      <c r="V6" s="331"/>
      <c r="W6" s="331"/>
      <c r="X6" s="331"/>
      <c r="Y6" s="331"/>
      <c r="Z6" s="331"/>
      <c r="AA6" s="331"/>
      <c r="AB6" s="331"/>
      <c r="AC6" s="331"/>
      <c r="AD6" s="331"/>
      <c r="AE6" s="331"/>
      <c r="AF6" s="331"/>
    </row>
    <row r="7" spans="2:32" ht="12" customHeight="1" x14ac:dyDescent="0.2">
      <c r="B7" s="248"/>
      <c r="C7" s="249"/>
      <c r="D7" s="250"/>
      <c r="E7" s="250"/>
      <c r="F7" s="250"/>
      <c r="G7" s="249"/>
      <c r="H7" s="250"/>
      <c r="I7" s="250"/>
      <c r="J7" s="249"/>
      <c r="K7" s="250"/>
      <c r="L7" s="251"/>
      <c r="M7" s="3"/>
      <c r="N7" s="252"/>
      <c r="O7" s="253"/>
      <c r="R7" s="331"/>
      <c r="S7" s="331"/>
      <c r="T7" s="331"/>
      <c r="U7" s="331"/>
      <c r="V7" s="331"/>
      <c r="W7" s="331"/>
      <c r="X7" s="331"/>
      <c r="Y7" s="331"/>
      <c r="Z7" s="331"/>
      <c r="AA7" s="331"/>
      <c r="AB7" s="331"/>
      <c r="AC7" s="331"/>
      <c r="AD7" s="331"/>
      <c r="AE7" s="331"/>
      <c r="AF7" s="331"/>
    </row>
    <row r="8" spans="2:32" ht="12" customHeight="1" x14ac:dyDescent="0.2">
      <c r="B8" s="248"/>
      <c r="C8" s="249"/>
      <c r="D8" s="250"/>
      <c r="E8" s="250"/>
      <c r="F8" s="250"/>
      <c r="G8" s="249"/>
      <c r="H8" s="250"/>
      <c r="I8" s="250"/>
      <c r="J8" s="249"/>
      <c r="K8" s="250"/>
      <c r="L8" s="251"/>
      <c r="M8" s="3"/>
      <c r="N8" s="252"/>
      <c r="O8" s="253"/>
      <c r="T8" s="248"/>
      <c r="W8" s="4"/>
      <c r="X8" s="49"/>
      <c r="Z8" s="328"/>
      <c r="AA8" s="328"/>
      <c r="AB8" s="328"/>
      <c r="AC8" s="328"/>
      <c r="AD8" s="83"/>
      <c r="AE8" s="84"/>
      <c r="AF8" s="83"/>
    </row>
    <row r="9" spans="2:32" ht="12" customHeight="1" x14ac:dyDescent="0.3">
      <c r="B9" s="64"/>
      <c r="C9" s="80"/>
      <c r="E9" s="4"/>
      <c r="F9" s="4"/>
      <c r="G9" s="3"/>
      <c r="H9" s="81"/>
      <c r="I9" s="79"/>
      <c r="J9" s="79"/>
      <c r="L9" s="81"/>
      <c r="M9" s="79"/>
      <c r="N9" s="82"/>
      <c r="O9" s="3"/>
      <c r="P9" s="4"/>
      <c r="R9" s="59"/>
      <c r="S9" s="3"/>
      <c r="T9" s="3"/>
      <c r="U9" s="5"/>
      <c r="V9" s="5"/>
      <c r="W9" s="5"/>
      <c r="X9" s="5"/>
      <c r="Y9" s="5"/>
      <c r="Z9" s="5"/>
      <c r="AA9" s="5"/>
      <c r="AB9" s="5"/>
      <c r="AC9" s="5"/>
      <c r="AD9" s="5"/>
    </row>
    <row r="10" spans="2:32" ht="12" customHeight="1" x14ac:dyDescent="0.3">
      <c r="B10" s="64"/>
      <c r="C10" s="79"/>
      <c r="D10" s="80"/>
      <c r="E10" s="4"/>
      <c r="F10" s="4"/>
      <c r="G10" s="3"/>
      <c r="H10" s="81"/>
      <c r="I10" s="79"/>
      <c r="J10" s="79"/>
      <c r="K10" s="81"/>
      <c r="L10" s="79"/>
      <c r="M10" s="82"/>
      <c r="N10" s="3"/>
      <c r="O10" s="82"/>
      <c r="P10" s="59"/>
      <c r="R10" s="3"/>
      <c r="S10" s="3"/>
      <c r="T10" s="3"/>
      <c r="U10" s="5"/>
      <c r="V10" s="5"/>
      <c r="W10" s="5"/>
      <c r="X10" s="5"/>
      <c r="Y10" s="5"/>
      <c r="Z10" s="5"/>
      <c r="AA10" s="5"/>
      <c r="AB10" s="5"/>
      <c r="AC10" s="5"/>
      <c r="AD10" s="5"/>
    </row>
    <row r="11" spans="2:32" ht="12" customHeight="1" x14ac:dyDescent="0.2">
      <c r="O11" s="48"/>
    </row>
    <row r="12" spans="2:32" ht="12" customHeight="1" x14ac:dyDescent="0.2">
      <c r="O12" s="48"/>
    </row>
    <row r="13" spans="2:32" ht="12" customHeight="1" x14ac:dyDescent="0.2">
      <c r="O13" s="48"/>
    </row>
    <row r="14" spans="2:32" ht="12" customHeight="1" x14ac:dyDescent="0.2">
      <c r="O14" s="48"/>
    </row>
    <row r="15" spans="2:32" ht="12" customHeight="1" x14ac:dyDescent="0.2">
      <c r="O15" s="48"/>
    </row>
    <row r="16" spans="2:32" ht="12" customHeight="1" x14ac:dyDescent="0.2">
      <c r="O16" s="48"/>
    </row>
    <row r="17" spans="15:15" ht="12" customHeight="1" x14ac:dyDescent="0.2">
      <c r="O17" s="48"/>
    </row>
    <row r="18" spans="15:15" ht="12" customHeight="1" x14ac:dyDescent="0.2">
      <c r="O18" s="48"/>
    </row>
    <row r="19" spans="15:15" ht="12" customHeight="1" x14ac:dyDescent="0.2">
      <c r="O19" s="48"/>
    </row>
    <row r="20" spans="15:15" ht="12" customHeight="1" x14ac:dyDescent="0.2">
      <c r="O20" s="48"/>
    </row>
    <row r="21" spans="15:15" ht="12" customHeight="1" x14ac:dyDescent="0.2">
      <c r="O21" s="48"/>
    </row>
    <row r="22" spans="15:15" ht="12" customHeight="1" x14ac:dyDescent="0.2">
      <c r="O22" s="48"/>
    </row>
    <row r="23" spans="15:15" ht="12" customHeight="1" x14ac:dyDescent="0.2">
      <c r="O23" s="48"/>
    </row>
    <row r="24" spans="15:15" ht="12" customHeight="1" x14ac:dyDescent="0.2">
      <c r="O24" s="48"/>
    </row>
    <row r="25" spans="15:15" ht="12" customHeight="1" x14ac:dyDescent="0.2">
      <c r="O25" s="48"/>
    </row>
    <row r="26" spans="15:15" ht="12" customHeight="1" x14ac:dyDescent="0.2">
      <c r="O26" s="48"/>
    </row>
    <row r="27" spans="15:15" ht="12" customHeight="1" x14ac:dyDescent="0.2">
      <c r="O27" s="48"/>
    </row>
    <row r="28" spans="15:15" ht="12" customHeight="1" x14ac:dyDescent="0.2">
      <c r="O28" s="48"/>
    </row>
    <row r="29" spans="15:15" ht="12" customHeight="1" x14ac:dyDescent="0.2">
      <c r="O29" s="48"/>
    </row>
    <row r="30" spans="15:15" ht="12" customHeight="1" x14ac:dyDescent="0.2">
      <c r="O30" s="48"/>
    </row>
    <row r="31" spans="15:15" ht="12" customHeight="1" x14ac:dyDescent="0.2">
      <c r="O31" s="48"/>
    </row>
    <row r="32" spans="15:15" ht="12" customHeight="1" x14ac:dyDescent="0.2">
      <c r="O32" s="48"/>
    </row>
    <row r="33" spans="15:15" ht="12" customHeight="1" x14ac:dyDescent="0.2">
      <c r="O33" s="48"/>
    </row>
    <row r="34" spans="15:15" ht="12" customHeight="1" x14ac:dyDescent="0.2">
      <c r="O34" s="48"/>
    </row>
    <row r="35" spans="15:15" ht="12" customHeight="1" x14ac:dyDescent="0.2">
      <c r="O35" s="48"/>
    </row>
    <row r="36" spans="15:15" ht="12" customHeight="1" x14ac:dyDescent="0.2">
      <c r="O36" s="48"/>
    </row>
    <row r="37" spans="15:15" ht="12" customHeight="1" x14ac:dyDescent="0.2">
      <c r="O37" s="48"/>
    </row>
    <row r="38" spans="15:15" ht="12" customHeight="1" x14ac:dyDescent="0.2">
      <c r="O38" s="48"/>
    </row>
    <row r="39" spans="15:15" ht="12" customHeight="1" x14ac:dyDescent="0.2">
      <c r="O39" s="48"/>
    </row>
    <row r="40" spans="15:15" ht="12" customHeight="1" x14ac:dyDescent="0.2">
      <c r="O40" s="48"/>
    </row>
    <row r="41" spans="15:15" ht="12" customHeight="1" x14ac:dyDescent="0.2">
      <c r="O41" s="48"/>
    </row>
    <row r="42" spans="15:15" ht="12" customHeight="1" x14ac:dyDescent="0.2">
      <c r="O42" s="48"/>
    </row>
    <row r="43" spans="15:15" ht="12" customHeight="1" x14ac:dyDescent="0.2">
      <c r="O43" s="48"/>
    </row>
    <row r="44" spans="15:15" ht="12" customHeight="1" x14ac:dyDescent="0.2">
      <c r="O44" s="48"/>
    </row>
    <row r="45" spans="15:15" ht="12" customHeight="1" x14ac:dyDescent="0.2">
      <c r="O45" s="48"/>
    </row>
    <row r="46" spans="15:15" ht="12" customHeight="1" x14ac:dyDescent="0.2">
      <c r="O46" s="48"/>
    </row>
    <row r="47" spans="15:15" ht="12" customHeight="1" x14ac:dyDescent="0.2">
      <c r="O47" s="48"/>
    </row>
    <row r="48" spans="15:15" ht="12" customHeight="1" x14ac:dyDescent="0.2">
      <c r="O48" s="48"/>
    </row>
    <row r="49" spans="15:15" ht="12" customHeight="1" x14ac:dyDescent="0.2">
      <c r="O49" s="48"/>
    </row>
    <row r="50" spans="15:15" ht="12" customHeight="1" x14ac:dyDescent="0.2">
      <c r="O50" s="48"/>
    </row>
    <row r="51" spans="15:15" ht="12" customHeight="1" x14ac:dyDescent="0.2">
      <c r="O51" s="48"/>
    </row>
    <row r="52" spans="15:15" ht="12" customHeight="1" x14ac:dyDescent="0.2">
      <c r="O52" s="48"/>
    </row>
    <row r="53" spans="15:15" ht="12" customHeight="1" x14ac:dyDescent="0.2">
      <c r="O53" s="48"/>
    </row>
    <row r="54" spans="15:15" ht="12" customHeight="1" x14ac:dyDescent="0.2">
      <c r="O54" s="48"/>
    </row>
    <row r="55" spans="15:15" ht="12" customHeight="1" x14ac:dyDescent="0.2">
      <c r="O55" s="48"/>
    </row>
    <row r="56" spans="15:15" ht="12" customHeight="1" x14ac:dyDescent="0.2">
      <c r="O56" s="48"/>
    </row>
    <row r="57" spans="15:15" ht="12" customHeight="1" x14ac:dyDescent="0.2">
      <c r="O57" s="48"/>
    </row>
    <row r="58" spans="15:15" ht="12" customHeight="1" x14ac:dyDescent="0.2">
      <c r="O58" s="48"/>
    </row>
    <row r="59" spans="15:15" ht="12" customHeight="1" x14ac:dyDescent="0.2">
      <c r="O59" s="48"/>
    </row>
    <row r="60" spans="15:15" ht="12" customHeight="1" x14ac:dyDescent="0.2">
      <c r="O60" s="48"/>
    </row>
    <row r="61" spans="15:15" ht="12" customHeight="1" x14ac:dyDescent="0.2">
      <c r="O61" s="48"/>
    </row>
    <row r="62" spans="15:15" ht="12" customHeight="1" x14ac:dyDescent="0.2">
      <c r="O62" s="48"/>
    </row>
    <row r="63" spans="15:15" ht="12" customHeight="1" x14ac:dyDescent="0.2">
      <c r="O63" s="48"/>
    </row>
    <row r="64" spans="15:15" ht="12" customHeight="1" x14ac:dyDescent="0.2">
      <c r="O64" s="48"/>
    </row>
    <row r="65" spans="15:24" ht="12" customHeight="1" x14ac:dyDescent="0.2">
      <c r="O65" s="48"/>
    </row>
    <row r="66" spans="15:24" ht="12" customHeight="1" x14ac:dyDescent="0.2">
      <c r="O66" s="48"/>
    </row>
    <row r="67" spans="15:24" ht="12" customHeight="1" x14ac:dyDescent="0.2">
      <c r="O67" s="48"/>
    </row>
    <row r="68" spans="15:24" ht="12" customHeight="1" x14ac:dyDescent="0.2">
      <c r="O68" s="48"/>
    </row>
    <row r="69" spans="15:24" ht="12" customHeight="1" x14ac:dyDescent="0.2">
      <c r="O69" s="48"/>
    </row>
    <row r="70" spans="15:24" ht="12" customHeight="1" x14ac:dyDescent="0.2">
      <c r="O70" s="48"/>
    </row>
    <row r="71" spans="15:24" ht="12" customHeight="1" x14ac:dyDescent="0.2">
      <c r="O71" s="48"/>
    </row>
    <row r="72" spans="15:24" ht="12" customHeight="1" x14ac:dyDescent="0.2">
      <c r="O72" s="48"/>
    </row>
    <row r="73" spans="15:24" ht="12" customHeight="1" x14ac:dyDescent="0.2">
      <c r="O73" s="48"/>
    </row>
    <row r="74" spans="15:24" ht="12" customHeight="1" x14ac:dyDescent="0.2">
      <c r="O74" s="48"/>
    </row>
    <row r="75" spans="15:24" ht="12" customHeight="1" x14ac:dyDescent="0.2">
      <c r="O75" s="48"/>
    </row>
    <row r="76" spans="15:24" ht="12" customHeight="1" x14ac:dyDescent="0.2">
      <c r="O76" s="48"/>
    </row>
    <row r="77" spans="15:24" ht="12" customHeight="1" x14ac:dyDescent="0.2">
      <c r="O77" s="48"/>
    </row>
    <row r="78" spans="15:24" ht="12" customHeight="1" x14ac:dyDescent="0.2">
      <c r="O78" s="48"/>
    </row>
    <row r="79" spans="15:24" ht="12" customHeight="1" x14ac:dyDescent="0.2">
      <c r="O79" s="48"/>
    </row>
    <row r="80" spans="15:24" ht="12" customHeight="1" x14ac:dyDescent="0.2">
      <c r="O80" s="48"/>
      <c r="S80" s="45" t="s">
        <v>134</v>
      </c>
      <c r="W80" s="4"/>
      <c r="X80" s="49"/>
    </row>
    <row r="81" spans="4:24" ht="12" customHeight="1" x14ac:dyDescent="0.2">
      <c r="O81" s="48"/>
      <c r="S81" s="327" t="s">
        <v>135</v>
      </c>
      <c r="T81" s="45"/>
      <c r="U81" s="328"/>
      <c r="V81" s="83"/>
      <c r="W81" s="4"/>
      <c r="X81" s="49"/>
    </row>
    <row r="82" spans="4:24" ht="12" customHeight="1" x14ac:dyDescent="0.2">
      <c r="O82" s="48"/>
      <c r="S82" s="45" t="s">
        <v>46</v>
      </c>
      <c r="T82" s="45"/>
      <c r="U82" s="328"/>
      <c r="V82" s="83"/>
      <c r="W82" s="4"/>
      <c r="X82" s="49"/>
    </row>
    <row r="83" spans="4:24" ht="12" customHeight="1" x14ac:dyDescent="0.2">
      <c r="O83" s="48"/>
      <c r="S83" s="327" t="s">
        <v>47</v>
      </c>
      <c r="T83" s="45"/>
      <c r="U83" s="328"/>
      <c r="V83" s="83"/>
      <c r="W83" s="4"/>
      <c r="X83" s="49"/>
    </row>
    <row r="84" spans="4:24" ht="12" customHeight="1" x14ac:dyDescent="0.2">
      <c r="O84" s="48"/>
      <c r="S84" s="45" t="s">
        <v>48</v>
      </c>
      <c r="T84" s="45"/>
      <c r="U84" s="328"/>
      <c r="V84" s="83"/>
      <c r="W84" s="4"/>
      <c r="X84" s="49"/>
    </row>
    <row r="85" spans="4:24" ht="12" customHeight="1" x14ac:dyDescent="0.2">
      <c r="O85" s="48"/>
      <c r="S85" s="45" t="s">
        <v>49</v>
      </c>
      <c r="T85" s="45"/>
      <c r="U85" s="328"/>
      <c r="V85" s="83"/>
      <c r="W85" s="4"/>
      <c r="X85" s="49"/>
    </row>
    <row r="86" spans="4:24" ht="12" customHeight="1" x14ac:dyDescent="0.2">
      <c r="O86" s="48"/>
      <c r="S86" s="327" t="s">
        <v>50</v>
      </c>
      <c r="T86" s="45"/>
      <c r="U86" s="328"/>
      <c r="V86" s="83"/>
      <c r="W86" s="4"/>
      <c r="X86" s="49"/>
    </row>
    <row r="87" spans="4:24" ht="12" customHeight="1" x14ac:dyDescent="0.2">
      <c r="O87" s="48"/>
      <c r="S87" s="45" t="s">
        <v>51</v>
      </c>
      <c r="T87" s="45"/>
      <c r="U87" s="328"/>
      <c r="V87" s="83"/>
      <c r="W87" s="4"/>
      <c r="X87" s="49"/>
    </row>
    <row r="88" spans="4:24" ht="12" customHeight="1" x14ac:dyDescent="0.2">
      <c r="O88" s="48"/>
      <c r="S88" s="45" t="s">
        <v>52</v>
      </c>
      <c r="T88" s="45"/>
      <c r="U88" s="328"/>
      <c r="V88" s="83"/>
      <c r="W88" s="4"/>
      <c r="X88" s="49"/>
    </row>
    <row r="89" spans="4:24" ht="12" customHeight="1" x14ac:dyDescent="0.2">
      <c r="O89" s="48"/>
      <c r="S89" s="45" t="s">
        <v>53</v>
      </c>
      <c r="T89" s="45"/>
      <c r="U89" s="328"/>
      <c r="V89" s="83"/>
      <c r="W89" s="4"/>
      <c r="X89" s="49"/>
    </row>
    <row r="90" spans="4:24" ht="12" customHeight="1" x14ac:dyDescent="0.2">
      <c r="O90" s="48"/>
      <c r="S90" s="45" t="s">
        <v>54</v>
      </c>
      <c r="T90" s="45"/>
      <c r="U90" s="328"/>
      <c r="V90" s="83"/>
      <c r="W90" s="4"/>
      <c r="X90" s="49"/>
    </row>
    <row r="91" spans="4:24" ht="12" customHeight="1" x14ac:dyDescent="0.2">
      <c r="O91" s="48"/>
      <c r="S91" s="45" t="s">
        <v>55</v>
      </c>
      <c r="T91" s="45"/>
      <c r="U91" s="328"/>
      <c r="V91" s="83"/>
      <c r="W91" s="4"/>
      <c r="X91" s="49"/>
    </row>
    <row r="92" spans="4:24" ht="12" customHeight="1" x14ac:dyDescent="0.2">
      <c r="O92" s="48"/>
      <c r="S92" s="327" t="s">
        <v>56</v>
      </c>
      <c r="T92" s="45"/>
      <c r="U92" s="328"/>
      <c r="V92" s="83"/>
      <c r="W92" s="4"/>
      <c r="X92" s="49"/>
    </row>
    <row r="93" spans="4:24" ht="12" customHeight="1" x14ac:dyDescent="0.2">
      <c r="O93" s="48"/>
      <c r="W93" s="4"/>
      <c r="X93" s="49"/>
    </row>
    <row r="94" spans="4:24" ht="12" customHeight="1" x14ac:dyDescent="0.2">
      <c r="O94" s="48"/>
      <c r="S94" s="83"/>
      <c r="W94" s="4"/>
      <c r="X94" s="49"/>
    </row>
    <row r="95" spans="4:24" ht="12" customHeight="1" x14ac:dyDescent="0.2">
      <c r="O95" s="48"/>
    </row>
    <row r="96" spans="4:24" ht="12" customHeight="1" x14ac:dyDescent="0.2">
      <c r="D96" s="131">
        <v>8.5000000000000006E-3</v>
      </c>
      <c r="E96" s="4" t="s">
        <v>44</v>
      </c>
      <c r="F96" s="4"/>
      <c r="J96" s="83"/>
      <c r="K96" s="84"/>
      <c r="L96" s="84"/>
      <c r="M96" s="83"/>
      <c r="N96" s="132">
        <v>2.1999999999999999E-2</v>
      </c>
      <c r="O96" s="4" t="s">
        <v>45</v>
      </c>
      <c r="P96" s="83"/>
      <c r="Q96" s="4"/>
      <c r="U96" s="3"/>
      <c r="X96" s="329" t="s">
        <v>136</v>
      </c>
    </row>
    <row r="97" spans="1:40" ht="12" customHeight="1" x14ac:dyDescent="0.3">
      <c r="B97" s="64" t="s">
        <v>0</v>
      </c>
      <c r="C97" s="2"/>
      <c r="D97" s="6" t="s">
        <v>33</v>
      </c>
      <c r="E97" s="4"/>
      <c r="F97" s="4"/>
      <c r="H97" s="58" t="s">
        <v>34</v>
      </c>
      <c r="K97" s="5"/>
      <c r="O97" s="3"/>
      <c r="P97" s="4"/>
      <c r="Q97" s="4"/>
    </row>
    <row r="98" spans="1:40" ht="12" customHeight="1" x14ac:dyDescent="0.3">
      <c r="B98" s="130">
        <f>B102</f>
        <v>29902</v>
      </c>
      <c r="C98" s="3" t="s">
        <v>1</v>
      </c>
      <c r="E98" s="4"/>
      <c r="F98" s="4"/>
      <c r="J98" s="5"/>
      <c r="K98" s="3"/>
      <c r="L98" s="4"/>
      <c r="N98" s="3" t="s">
        <v>1</v>
      </c>
      <c r="P98" s="4"/>
      <c r="Q98" s="4"/>
      <c r="V98" s="3"/>
      <c r="W98" s="4"/>
      <c r="Y98" s="4" t="s">
        <v>2</v>
      </c>
      <c r="AI98" s="340">
        <v>29802</v>
      </c>
      <c r="AJ98" s="341"/>
      <c r="AK98" s="342" t="s">
        <v>156</v>
      </c>
    </row>
    <row r="99" spans="1:40" ht="12" customHeight="1" x14ac:dyDescent="0.2">
      <c r="B99" s="7" t="s">
        <v>3</v>
      </c>
      <c r="C99" s="9" t="s">
        <v>4</v>
      </c>
      <c r="D99" s="10"/>
      <c r="E99" s="10"/>
      <c r="F99" s="10"/>
      <c r="G99" s="10"/>
      <c r="H99" s="10"/>
      <c r="I99" s="11"/>
      <c r="J99" s="12" t="s">
        <v>5</v>
      </c>
      <c r="K99" s="10"/>
      <c r="L99" s="11"/>
      <c r="M99" s="8" t="s">
        <v>3</v>
      </c>
      <c r="N99" s="9" t="s">
        <v>4</v>
      </c>
      <c r="O99" s="10"/>
      <c r="P99" s="10"/>
      <c r="Q99" s="10"/>
      <c r="R99" s="10"/>
      <c r="S99" s="10"/>
      <c r="T99" s="11"/>
      <c r="U99" s="12" t="s">
        <v>5</v>
      </c>
      <c r="V99" s="10"/>
      <c r="W99" s="11"/>
      <c r="X99" s="8" t="s">
        <v>3</v>
      </c>
      <c r="Y99" s="9" t="s">
        <v>4</v>
      </c>
      <c r="Z99" s="10"/>
      <c r="AA99" s="10"/>
      <c r="AB99" s="10"/>
      <c r="AC99" s="10"/>
      <c r="AD99" s="10"/>
      <c r="AE99" s="11"/>
      <c r="AF99" s="13"/>
      <c r="AI99" s="340">
        <v>31528</v>
      </c>
      <c r="AJ99" s="341"/>
      <c r="AK99" s="342" t="s">
        <v>154</v>
      </c>
    </row>
    <row r="100" spans="1:40" s="28" customFormat="1" ht="12" customHeight="1" x14ac:dyDescent="0.2">
      <c r="B100" s="21" t="s">
        <v>10</v>
      </c>
      <c r="C100" s="333" t="s">
        <v>6</v>
      </c>
      <c r="D100" s="334"/>
      <c r="E100" s="334"/>
      <c r="F100" s="334"/>
      <c r="G100" s="334"/>
      <c r="H100" s="334"/>
      <c r="I100" s="334"/>
      <c r="J100" s="334"/>
      <c r="K100" s="334"/>
      <c r="L100" s="335"/>
      <c r="M100" s="22" t="s">
        <v>10</v>
      </c>
      <c r="N100" s="336" t="s">
        <v>7</v>
      </c>
      <c r="O100" s="334"/>
      <c r="P100" s="334"/>
      <c r="Q100" s="334"/>
      <c r="R100" s="334"/>
      <c r="S100" s="334"/>
      <c r="T100" s="334"/>
      <c r="U100" s="334"/>
      <c r="V100" s="334"/>
      <c r="W100" s="335"/>
      <c r="X100" s="337" t="s">
        <v>10</v>
      </c>
      <c r="Y100" s="333" t="s">
        <v>43</v>
      </c>
      <c r="Z100" s="334"/>
      <c r="AA100" s="334"/>
      <c r="AB100" s="334"/>
      <c r="AC100" s="334"/>
      <c r="AD100" s="334"/>
      <c r="AE100" s="335"/>
      <c r="AF100" s="23"/>
      <c r="AG100" s="254" t="s">
        <v>97</v>
      </c>
      <c r="AH100" s="13"/>
      <c r="AI100" s="340">
        <v>40613</v>
      </c>
      <c r="AJ100" s="341"/>
      <c r="AK100" s="4" t="s">
        <v>155</v>
      </c>
    </row>
    <row r="101" spans="1:40" s="28" customFormat="1" ht="12" customHeight="1" x14ac:dyDescent="0.2">
      <c r="B101" s="50" t="s">
        <v>13</v>
      </c>
      <c r="C101" s="89" t="s">
        <v>14</v>
      </c>
      <c r="D101" s="90" t="s">
        <v>15</v>
      </c>
      <c r="E101" s="91" t="s">
        <v>36</v>
      </c>
      <c r="F101" s="91" t="s">
        <v>16</v>
      </c>
      <c r="G101" s="91" t="s">
        <v>17</v>
      </c>
      <c r="H101" s="92" t="s">
        <v>18</v>
      </c>
      <c r="I101" s="52" t="s">
        <v>19</v>
      </c>
      <c r="J101" s="89" t="s">
        <v>14</v>
      </c>
      <c r="K101" s="90" t="s">
        <v>15</v>
      </c>
      <c r="L101" s="51" t="s">
        <v>16</v>
      </c>
      <c r="M101" s="50" t="s">
        <v>13</v>
      </c>
      <c r="N101" s="89" t="s">
        <v>14</v>
      </c>
      <c r="O101" s="90" t="s">
        <v>15</v>
      </c>
      <c r="P101" s="91" t="s">
        <v>36</v>
      </c>
      <c r="Q101" s="91" t="s">
        <v>16</v>
      </c>
      <c r="R101" s="91" t="s">
        <v>17</v>
      </c>
      <c r="S101" s="92" t="s">
        <v>18</v>
      </c>
      <c r="T101" s="52" t="s">
        <v>19</v>
      </c>
      <c r="U101" s="89" t="s">
        <v>14</v>
      </c>
      <c r="V101" s="90" t="s">
        <v>15</v>
      </c>
      <c r="W101" s="51" t="s">
        <v>16</v>
      </c>
      <c r="X101" s="50" t="s">
        <v>13</v>
      </c>
      <c r="Y101" s="89" t="s">
        <v>14</v>
      </c>
      <c r="Z101" s="90" t="s">
        <v>15</v>
      </c>
      <c r="AA101" s="91" t="s">
        <v>36</v>
      </c>
      <c r="AB101" s="91" t="s">
        <v>16</v>
      </c>
      <c r="AC101" s="91" t="s">
        <v>17</v>
      </c>
      <c r="AD101" s="92" t="s">
        <v>18</v>
      </c>
      <c r="AE101" s="52" t="s">
        <v>19</v>
      </c>
      <c r="AF101" s="23"/>
      <c r="AG101" s="314" t="s">
        <v>92</v>
      </c>
      <c r="AH101" s="314" t="s">
        <v>93</v>
      </c>
      <c r="AI101" s="314" t="s">
        <v>94</v>
      </c>
      <c r="AJ101" s="314" t="s">
        <v>95</v>
      </c>
      <c r="AK101" s="314" t="s">
        <v>100</v>
      </c>
      <c r="AL101" s="314" t="s">
        <v>101</v>
      </c>
      <c r="AM101" s="314" t="s">
        <v>102</v>
      </c>
    </row>
    <row r="102" spans="1:40" ht="12" customHeight="1" x14ac:dyDescent="0.2">
      <c r="B102" s="233">
        <v>29902</v>
      </c>
      <c r="C102" s="135">
        <f t="shared" ref="C102:D105" si="0">C175/27</f>
        <v>3.5555555555555554</v>
      </c>
      <c r="D102" s="136">
        <f t="shared" si="0"/>
        <v>108.14814814814815</v>
      </c>
      <c r="E102" s="245">
        <f>ND代替値*2.71828^(-(0.69315/2.062)*(B102-調査開始日)/365.25)</f>
        <v>8.5000000000000006E-3</v>
      </c>
      <c r="F102" s="137">
        <f>(E175/27*1000)/1000</f>
        <v>5.9259259259259262E-2</v>
      </c>
      <c r="G102" s="138"/>
      <c r="H102" s="139"/>
      <c r="I102" s="140"/>
      <c r="J102" s="141">
        <f t="shared" ref="J102:K105" si="1">F175/27</f>
        <v>187.77777777777777</v>
      </c>
      <c r="K102" s="142">
        <f t="shared" si="1"/>
        <v>72.222222222222229</v>
      </c>
      <c r="L102" s="143">
        <f>(ND代替値)/1000</f>
        <v>2.6499999999999999E-2</v>
      </c>
      <c r="M102" s="134">
        <f t="shared" ref="M102:M113" si="2">B102</f>
        <v>29902</v>
      </c>
      <c r="N102" s="135">
        <f t="shared" ref="N102:O109" si="3">I175/27</f>
        <v>5.1851851851851851</v>
      </c>
      <c r="O102" s="136">
        <f t="shared" si="3"/>
        <v>102.5925925925926</v>
      </c>
      <c r="P102" s="245">
        <f t="shared" ref="P102:P109" si="4">ND代替値*2.71828^(-(0.69315/2.062)*(M102-調査開始日)/365.25)</f>
        <v>8.0000000000000002E-3</v>
      </c>
      <c r="Q102" s="144">
        <f t="shared" ref="Q102:Q109" si="5">(K175/27*1000)/1000</f>
        <v>7.407407407407407E-2</v>
      </c>
      <c r="R102" s="138"/>
      <c r="S102" s="138"/>
      <c r="T102" s="140"/>
      <c r="U102" s="141">
        <f t="shared" ref="U102:V109" si="6">L175/27</f>
        <v>285.18518518518516</v>
      </c>
      <c r="V102" s="138">
        <f t="shared" si="6"/>
        <v>74.074074074074076</v>
      </c>
      <c r="W102" s="247">
        <f>0.0085*2.71828^(-(0.69315/30.07)*(M102-調査開始日)/365.25)</f>
        <v>8.5000000000000006E-3</v>
      </c>
      <c r="X102" s="134">
        <v>29902</v>
      </c>
      <c r="Y102" s="135"/>
      <c r="Z102" s="136"/>
      <c r="AA102" s="136"/>
      <c r="AB102" s="136"/>
      <c r="AC102" s="138"/>
      <c r="AD102" s="139"/>
      <c r="AE102" s="145"/>
      <c r="AF102" s="13"/>
      <c r="AG102" s="256">
        <f t="shared" ref="AG102:AG110" si="7">1*2.71828^(-(0.69315/30.07)*(B102-調査開始日)/365.25)</f>
        <v>1</v>
      </c>
      <c r="AH102" s="257">
        <f t="shared" ref="AH102:AH110" si="8">1*2.71828^(-(0.69315/2.062)*(B102-調査開始日)/365.25)</f>
        <v>1</v>
      </c>
      <c r="AI102" s="73">
        <f t="shared" ref="AI102:AI110" si="9">10*2.71828^(-(0.69315/0.1459)*(B102-調査開始日)/365.25)</f>
        <v>10</v>
      </c>
      <c r="AJ102" s="74">
        <f t="shared" ref="AJ102:AJ110" si="10">50*2.71828^(-(0.69315/(1.277*10^9))*(B102-調査開始日)/365.25)</f>
        <v>50</v>
      </c>
      <c r="AK102" s="258">
        <f t="shared" ref="AK102:AK110" si="11">1*2.71828^(-(0.69315/12.33)*(B102-調査開始日)/365.25)</f>
        <v>1</v>
      </c>
      <c r="AL102" s="258">
        <f t="shared" ref="AL102:AL110" si="12">0.1*2.71828^(-(0.69315/28.799)*(B102-調査開始日)/365.25)</f>
        <v>0.1</v>
      </c>
      <c r="AM102" s="259">
        <f t="shared" ref="AM102:AM110" si="13">0.1*2.71828^(-(0.69315/0.022177)*(B102-調査開始日)/365.25)</f>
        <v>0.1</v>
      </c>
    </row>
    <row r="103" spans="1:40" ht="12" customHeight="1" x14ac:dyDescent="0.2">
      <c r="B103" s="146">
        <v>30089</v>
      </c>
      <c r="C103" s="147">
        <f t="shared" si="0"/>
        <v>5.4444444444444446</v>
      </c>
      <c r="D103" s="148">
        <f t="shared" si="0"/>
        <v>88.148148148148152</v>
      </c>
      <c r="E103" s="245">
        <f>ND代替値*2.71828^(-(0.69315/2.062)*(B103-調査開始日)/365.25)</f>
        <v>7.1560824097127119E-3</v>
      </c>
      <c r="F103" s="149">
        <f>(E176/27*1000)/1000</f>
        <v>2.9629629629629631E-2</v>
      </c>
      <c r="G103" s="150"/>
      <c r="H103" s="151"/>
      <c r="I103" s="152"/>
      <c r="J103" s="153">
        <f t="shared" si="1"/>
        <v>334.44444444444446</v>
      </c>
      <c r="K103" s="154">
        <f t="shared" si="1"/>
        <v>99.629629629629633</v>
      </c>
      <c r="L103" s="155">
        <f>(H176/27*1000)/1000</f>
        <v>0.1111111111111111</v>
      </c>
      <c r="M103" s="146">
        <f t="shared" si="2"/>
        <v>30089</v>
      </c>
      <c r="N103" s="147">
        <f t="shared" si="3"/>
        <v>4.3703703703703702</v>
      </c>
      <c r="O103" s="148">
        <f t="shared" si="3"/>
        <v>72.222222222222229</v>
      </c>
      <c r="P103" s="245">
        <f t="shared" si="4"/>
        <v>6.7351363856119634E-3</v>
      </c>
      <c r="Q103" s="149">
        <f t="shared" si="5"/>
        <v>2.9629629629629631E-2</v>
      </c>
      <c r="R103" s="150"/>
      <c r="S103" s="150"/>
      <c r="T103" s="152"/>
      <c r="U103" s="153">
        <f t="shared" si="6"/>
        <v>316.66666666666669</v>
      </c>
      <c r="V103" s="150">
        <f t="shared" si="6"/>
        <v>65.925925925925924</v>
      </c>
      <c r="W103" s="155">
        <f>(N176/27*1000)/1000</f>
        <v>6.6666666666666666E-2</v>
      </c>
      <c r="X103" s="146"/>
      <c r="Y103" s="147"/>
      <c r="Z103" s="148"/>
      <c r="AA103" s="148"/>
      <c r="AB103" s="148"/>
      <c r="AC103" s="150"/>
      <c r="AD103" s="151"/>
      <c r="AE103" s="156"/>
      <c r="AF103" s="13"/>
      <c r="AG103" s="256">
        <f t="shared" si="7"/>
        <v>0.98826765835389963</v>
      </c>
      <c r="AH103" s="257">
        <f t="shared" si="8"/>
        <v>0.84189204820149544</v>
      </c>
      <c r="AI103" s="73">
        <f t="shared" si="9"/>
        <v>0.87831685267523607</v>
      </c>
      <c r="AJ103" s="74">
        <f t="shared" si="10"/>
        <v>49.999999986105038</v>
      </c>
      <c r="AK103" s="258">
        <f t="shared" si="11"/>
        <v>0.97162862518401094</v>
      </c>
      <c r="AL103" s="258">
        <f t="shared" si="12"/>
        <v>9.8775305274112324E-2</v>
      </c>
      <c r="AM103" s="259">
        <f t="shared" si="13"/>
        <v>1.1230513670759655E-8</v>
      </c>
    </row>
    <row r="104" spans="1:40" ht="12" customHeight="1" x14ac:dyDescent="0.2">
      <c r="B104" s="146">
        <v>30147</v>
      </c>
      <c r="C104" s="147">
        <f t="shared" si="0"/>
        <v>2.7037037037037037</v>
      </c>
      <c r="D104" s="148">
        <f t="shared" si="0"/>
        <v>134.44444444444446</v>
      </c>
      <c r="E104" s="245">
        <f>ND代替値*2.71828^(-(0.69315/2.062)*(B104-調査開始日)/365.25)</f>
        <v>6.7841091807772369E-3</v>
      </c>
      <c r="F104" s="157">
        <f>(E177/27*1000)/1000</f>
        <v>2.5925925925925925E-2</v>
      </c>
      <c r="G104" s="158"/>
      <c r="H104" s="159"/>
      <c r="I104" s="160"/>
      <c r="J104" s="153">
        <f t="shared" si="1"/>
        <v>251.4814814814815</v>
      </c>
      <c r="K104" s="154">
        <f t="shared" si="1"/>
        <v>51.851851851851855</v>
      </c>
      <c r="L104" s="155">
        <f>(ND代替値)/1000</f>
        <v>2.6499999999999999E-2</v>
      </c>
      <c r="M104" s="146">
        <f t="shared" si="2"/>
        <v>30147</v>
      </c>
      <c r="N104" s="147">
        <f t="shared" si="3"/>
        <v>7.2592592592592595</v>
      </c>
      <c r="O104" s="148">
        <f t="shared" si="3"/>
        <v>81.481481481481481</v>
      </c>
      <c r="P104" s="245">
        <f t="shared" si="4"/>
        <v>6.3850439348491642E-3</v>
      </c>
      <c r="Q104" s="149">
        <f t="shared" si="5"/>
        <v>7.0370370370370361E-2</v>
      </c>
      <c r="R104" s="150"/>
      <c r="S104" s="150"/>
      <c r="T104" s="152"/>
      <c r="U104" s="153">
        <f t="shared" si="6"/>
        <v>474.07407407407408</v>
      </c>
      <c r="V104" s="150">
        <f t="shared" si="6"/>
        <v>60</v>
      </c>
      <c r="W104" s="155">
        <f>(N177/27*1000)/1000</f>
        <v>8.5185185185185169E-2</v>
      </c>
      <c r="X104" s="146">
        <v>30144</v>
      </c>
      <c r="Y104" s="147">
        <f>O177/27</f>
        <v>7.0370370370370372</v>
      </c>
      <c r="Z104" s="148">
        <f>P177/27</f>
        <v>97.037037037037038</v>
      </c>
      <c r="AA104" s="245">
        <f>ND代替値*2.71828^(-(0.69315/2.062)*(X104-調査開始日)/365.25)</f>
        <v>8.4035404930440268E-3</v>
      </c>
      <c r="AB104" s="247">
        <f>0.011*2.71828^(-(0.69315/30.07)*(X104-調査開始日)/365.25)</f>
        <v>1.0833275620966453E-2</v>
      </c>
      <c r="AC104" s="158"/>
      <c r="AD104" s="159"/>
      <c r="AE104" s="161"/>
      <c r="AF104" s="13"/>
      <c r="AG104" s="256">
        <f t="shared" si="7"/>
        <v>0.98465679335919598</v>
      </c>
      <c r="AH104" s="257">
        <f t="shared" si="8"/>
        <v>0.79813049185614549</v>
      </c>
      <c r="AI104" s="73">
        <f t="shared" si="9"/>
        <v>0.41306046065098256</v>
      </c>
      <c r="AJ104" s="74">
        <f t="shared" si="10"/>
        <v>49.999999981795376</v>
      </c>
      <c r="AK104" s="258">
        <f t="shared" si="11"/>
        <v>0.96299357402450492</v>
      </c>
      <c r="AL104" s="258">
        <f t="shared" si="12"/>
        <v>9.8398509510576992E-2</v>
      </c>
      <c r="AM104" s="259">
        <f t="shared" si="13"/>
        <v>7.8507038366471596E-11</v>
      </c>
    </row>
    <row r="105" spans="1:40" ht="12" customHeight="1" x14ac:dyDescent="0.2">
      <c r="B105" s="146">
        <v>30188</v>
      </c>
      <c r="C105" s="147">
        <f t="shared" si="0"/>
        <v>5.4444444444444446</v>
      </c>
      <c r="D105" s="148">
        <f t="shared" si="0"/>
        <v>87.037037037037038</v>
      </c>
      <c r="E105" s="245">
        <f>ND代替値*2.71828^(-(0.69315/2.062)*(B105-調査開始日)/365.25)</f>
        <v>6.5328877503596332E-3</v>
      </c>
      <c r="F105" s="149">
        <f>(E178/27*1000)/1000</f>
        <v>7.407407407407407E-2</v>
      </c>
      <c r="G105" s="246">
        <f>ND代替値*2.71828^(-(0.69315/28.799)*(B105-調査開始日)/365.25)</f>
        <v>1.8172781733920642E-2</v>
      </c>
      <c r="H105" s="151">
        <v>0.2</v>
      </c>
      <c r="I105" s="162">
        <f>ND代替値</f>
        <v>0.12037037037037036</v>
      </c>
      <c r="J105" s="153">
        <f t="shared" si="1"/>
        <v>451.85185185185185</v>
      </c>
      <c r="K105" s="154">
        <f t="shared" si="1"/>
        <v>62.222222222222221</v>
      </c>
      <c r="L105" s="155">
        <f>(ND代替値)/1000</f>
        <v>2.6499999999999999E-2</v>
      </c>
      <c r="M105" s="146">
        <f t="shared" si="2"/>
        <v>30188</v>
      </c>
      <c r="N105" s="147">
        <f t="shared" si="3"/>
        <v>6.3703703703703702</v>
      </c>
      <c r="O105" s="148">
        <f t="shared" si="3"/>
        <v>79.259259259259252</v>
      </c>
      <c r="P105" s="245">
        <f t="shared" si="4"/>
        <v>6.1486002356325956E-3</v>
      </c>
      <c r="Q105" s="149">
        <f t="shared" si="5"/>
        <v>6.6666666666666666E-2</v>
      </c>
      <c r="R105" s="246">
        <f>ND代替値*2.71828^(-(0.69315/28.799)*(M105-調査開始日)/365.25)</f>
        <v>1.8172781733920642E-2</v>
      </c>
      <c r="S105" s="151">
        <v>0.2</v>
      </c>
      <c r="T105" s="162">
        <f>ND代替値</f>
        <v>0.12037037037037036</v>
      </c>
      <c r="U105" s="153">
        <f t="shared" si="6"/>
        <v>496.2962962962963</v>
      </c>
      <c r="V105" s="150">
        <f t="shared" si="6"/>
        <v>59.25925925925926</v>
      </c>
      <c r="W105" s="247">
        <f>0.0085*2.71828^(-(0.69315/30.07)*(M105-調査開始日)/365.25)</f>
        <v>8.3479541046204021E-3</v>
      </c>
      <c r="X105" s="146"/>
      <c r="Y105" s="147"/>
      <c r="Z105" s="148"/>
      <c r="AA105" s="148"/>
      <c r="AB105" s="148"/>
      <c r="AC105" s="150"/>
      <c r="AD105" s="151"/>
      <c r="AE105" s="156"/>
      <c r="AF105" s="13"/>
      <c r="AG105" s="256">
        <f t="shared" si="7"/>
        <v>0.98211224760240012</v>
      </c>
      <c r="AH105" s="257">
        <f t="shared" si="8"/>
        <v>0.76857502945407441</v>
      </c>
      <c r="AI105" s="73">
        <f t="shared" si="9"/>
        <v>0.24233031223123352</v>
      </c>
      <c r="AJ105" s="74">
        <f t="shared" si="10"/>
        <v>49.999999978748875</v>
      </c>
      <c r="AK105" s="258">
        <f t="shared" si="11"/>
        <v>0.95693582449103076</v>
      </c>
      <c r="AL105" s="258">
        <f t="shared" si="12"/>
        <v>9.8133021363171577E-2</v>
      </c>
      <c r="AM105" s="259">
        <f t="shared" si="13"/>
        <v>2.3507119771901086E-12</v>
      </c>
    </row>
    <row r="106" spans="1:40" ht="12" customHeight="1" x14ac:dyDescent="0.2">
      <c r="B106" s="146">
        <v>30455</v>
      </c>
      <c r="C106" s="147"/>
      <c r="D106" s="148"/>
      <c r="E106" s="148"/>
      <c r="F106" s="148"/>
      <c r="G106" s="148"/>
      <c r="H106" s="151"/>
      <c r="I106" s="152"/>
      <c r="J106" s="153"/>
      <c r="K106" s="154"/>
      <c r="L106" s="155"/>
      <c r="M106" s="146">
        <f t="shared" si="2"/>
        <v>30455</v>
      </c>
      <c r="N106" s="147">
        <f t="shared" si="3"/>
        <v>5.4814814814814818</v>
      </c>
      <c r="O106" s="148">
        <f t="shared" si="3"/>
        <v>93.333333333333329</v>
      </c>
      <c r="P106" s="245">
        <f t="shared" si="4"/>
        <v>4.8090223616263786E-3</v>
      </c>
      <c r="Q106" s="149">
        <f t="shared" si="5"/>
        <v>4.4444444444444446E-2</v>
      </c>
      <c r="R106" s="150"/>
      <c r="S106" s="150"/>
      <c r="T106" s="152"/>
      <c r="U106" s="153">
        <f t="shared" si="6"/>
        <v>422.22222222222223</v>
      </c>
      <c r="V106" s="150">
        <f t="shared" si="6"/>
        <v>81.111111111111114</v>
      </c>
      <c r="W106" s="155">
        <f>(N179/27*1000)/1000</f>
        <v>7.0370370370370361E-2</v>
      </c>
      <c r="X106" s="146"/>
      <c r="Y106" s="147"/>
      <c r="Z106" s="148"/>
      <c r="AA106" s="148"/>
      <c r="AB106" s="148"/>
      <c r="AC106" s="150"/>
      <c r="AD106" s="151"/>
      <c r="AE106" s="156"/>
      <c r="AF106" s="13"/>
      <c r="AG106" s="256">
        <f t="shared" si="7"/>
        <v>0.96570174981690582</v>
      </c>
      <c r="AH106" s="257">
        <f t="shared" si="8"/>
        <v>0.60112779520329729</v>
      </c>
      <c r="AI106" s="73">
        <f t="shared" si="9"/>
        <v>7.5187395203751301E-3</v>
      </c>
      <c r="AJ106" s="74">
        <f t="shared" si="10"/>
        <v>49.999999958909548</v>
      </c>
      <c r="AK106" s="258">
        <f t="shared" si="11"/>
        <v>0.91840798233256771</v>
      </c>
      <c r="AL106" s="258">
        <f t="shared" si="12"/>
        <v>9.6421545435118439E-2</v>
      </c>
      <c r="AM106" s="259">
        <f t="shared" si="13"/>
        <v>2.8087169145866411E-22</v>
      </c>
    </row>
    <row r="107" spans="1:40" ht="12" customHeight="1" x14ac:dyDescent="0.2">
      <c r="B107" s="146">
        <v>30515</v>
      </c>
      <c r="C107" s="147">
        <f t="shared" ref="C107:D109" si="14">C180/27</f>
        <v>7.8148148148148149</v>
      </c>
      <c r="D107" s="148">
        <f t="shared" si="14"/>
        <v>101.48148148148148</v>
      </c>
      <c r="E107" s="245">
        <f>ND代替値*2.71828^(-(0.69315/2.062)*(B107-調査開始日)/365.25)</f>
        <v>4.8350818895157013E-3</v>
      </c>
      <c r="F107" s="149">
        <f>(E180/27*1000)/1000</f>
        <v>5.5555555555555552E-2</v>
      </c>
      <c r="G107" s="151">
        <f>1/27</f>
        <v>3.7037037037037035E-2</v>
      </c>
      <c r="H107" s="151">
        <v>0.2</v>
      </c>
      <c r="I107" s="163">
        <f>6.5/27</f>
        <v>0.24074074074074073</v>
      </c>
      <c r="J107" s="153">
        <f t="shared" ref="J107:K109" si="15">F180/27</f>
        <v>544.44444444444446</v>
      </c>
      <c r="K107" s="154">
        <f t="shared" si="15"/>
        <v>85.555555555555557</v>
      </c>
      <c r="L107" s="155">
        <f>(H180/27*1000)/1000</f>
        <v>6.6666666666666666E-2</v>
      </c>
      <c r="M107" s="146">
        <f t="shared" si="2"/>
        <v>30515</v>
      </c>
      <c r="N107" s="147">
        <f t="shared" si="3"/>
        <v>11.518518518518519</v>
      </c>
      <c r="O107" s="148">
        <f t="shared" si="3"/>
        <v>75.18518518518519</v>
      </c>
      <c r="P107" s="245">
        <f t="shared" si="4"/>
        <v>4.5506653077794831E-3</v>
      </c>
      <c r="Q107" s="149">
        <f t="shared" si="5"/>
        <v>4.0740740740740751E-2</v>
      </c>
      <c r="R107" s="246">
        <f>ND代替値*2.71828^(-(0.69315/28.799)*(M107-調査開始日)/365.25)</f>
        <v>1.7785383373348052E-2</v>
      </c>
      <c r="S107" s="151">
        <v>0.2</v>
      </c>
      <c r="T107" s="162">
        <f>ND代替値</f>
        <v>0.12037037037037036</v>
      </c>
      <c r="U107" s="153">
        <f t="shared" si="6"/>
        <v>992.59259259259261</v>
      </c>
      <c r="V107" s="150">
        <f t="shared" si="6"/>
        <v>81.111111111111114</v>
      </c>
      <c r="W107" s="155">
        <f>(N180/27*1000)/1000</f>
        <v>9.2592592592592587E-2</v>
      </c>
      <c r="X107" s="146">
        <v>30522</v>
      </c>
      <c r="Y107" s="147">
        <f t="shared" ref="Y107:Z109" si="16">O180/27</f>
        <v>10.518518518518519</v>
      </c>
      <c r="Z107" s="148">
        <f t="shared" si="16"/>
        <v>101.11111111111111</v>
      </c>
      <c r="AA107" s="245">
        <f>ND代替値*2.71828^(-(0.69315/2.062)*(X107-調査開始日)/365.25)</f>
        <v>5.9343932061362613E-3</v>
      </c>
      <c r="AB107" s="132">
        <f>(((Q180/27*1000)/1000)*1000)/1000</f>
        <v>6.6666666666666666E-2</v>
      </c>
      <c r="AC107" s="150"/>
      <c r="AD107" s="151"/>
      <c r="AE107" s="156"/>
      <c r="AF107" s="13"/>
      <c r="AG107" s="256">
        <f t="shared" si="7"/>
        <v>0.9620518953194872</v>
      </c>
      <c r="AH107" s="257">
        <f t="shared" si="8"/>
        <v>0.5688331634724354</v>
      </c>
      <c r="AI107" s="73">
        <f t="shared" si="9"/>
        <v>3.4451616214297319E-3</v>
      </c>
      <c r="AJ107" s="74">
        <f t="shared" si="10"/>
        <v>49.999999954451269</v>
      </c>
      <c r="AK107" s="258">
        <f t="shared" si="11"/>
        <v>0.90996576013963792</v>
      </c>
      <c r="AL107" s="258">
        <f t="shared" si="12"/>
        <v>9.6041070216079577E-2</v>
      </c>
      <c r="AM107" s="259">
        <f t="shared" si="13"/>
        <v>1.6545872225555522E-24</v>
      </c>
    </row>
    <row r="108" spans="1:40" ht="12" customHeight="1" x14ac:dyDescent="0.2">
      <c r="B108" s="146">
        <v>30858</v>
      </c>
      <c r="C108" s="147">
        <f t="shared" si="14"/>
        <v>6.8148148148148149</v>
      </c>
      <c r="D108" s="148">
        <f t="shared" si="14"/>
        <v>74.81481481481481</v>
      </c>
      <c r="E108" s="245">
        <f>ND代替値*2.71828^(-(0.69315/2.062)*(B108-調査開始日)/365.25)</f>
        <v>3.5262028983090972E-3</v>
      </c>
      <c r="F108" s="149">
        <f>(E181/27*1000)/1000</f>
        <v>1.8518518518518517E-2</v>
      </c>
      <c r="G108" s="246">
        <f>ND代替値*2.71828^(-(0.69315/28.799)*(B108-調査開始日)/365.25)</f>
        <v>1.738790101078861E-2</v>
      </c>
      <c r="H108" s="151">
        <v>0.2</v>
      </c>
      <c r="I108" s="162">
        <f>ND代替値</f>
        <v>0.12037037037037036</v>
      </c>
      <c r="J108" s="153">
        <f t="shared" si="15"/>
        <v>385.18518518518516</v>
      </c>
      <c r="K108" s="154">
        <f t="shared" si="15"/>
        <v>77.407407407407405</v>
      </c>
      <c r="L108" s="155">
        <f>(H181/27*1000)/1000</f>
        <v>7.0370370370370361E-2</v>
      </c>
      <c r="M108" s="146">
        <f t="shared" si="2"/>
        <v>30858</v>
      </c>
      <c r="N108" s="147">
        <f t="shared" si="3"/>
        <v>5.7777777777777777</v>
      </c>
      <c r="O108" s="148">
        <f t="shared" si="3"/>
        <v>79.629629629629633</v>
      </c>
      <c r="P108" s="245">
        <f t="shared" si="4"/>
        <v>3.3187791984085617E-3</v>
      </c>
      <c r="Q108" s="149">
        <f t="shared" si="5"/>
        <v>2.5925925925925925E-2</v>
      </c>
      <c r="R108" s="246">
        <f>ND代替値*2.71828^(-(0.69315/28.799)*(M108-調査開始日)/365.25)</f>
        <v>1.738790101078861E-2</v>
      </c>
      <c r="S108" s="151">
        <v>0.2</v>
      </c>
      <c r="T108" s="162">
        <f>ND代替値</f>
        <v>0.12037037037037036</v>
      </c>
      <c r="U108" s="153">
        <f t="shared" si="6"/>
        <v>332.96296296296299</v>
      </c>
      <c r="V108" s="150">
        <f t="shared" si="6"/>
        <v>64.444444444444443</v>
      </c>
      <c r="W108" s="155">
        <f>(N181/27*1000)/1000</f>
        <v>6.2962962962962957E-2</v>
      </c>
      <c r="X108" s="146">
        <v>30866</v>
      </c>
      <c r="Y108" s="147">
        <f t="shared" si="16"/>
        <v>30.111111111111111</v>
      </c>
      <c r="Z108" s="148">
        <f t="shared" si="16"/>
        <v>111.11111111111111</v>
      </c>
      <c r="AA108" s="245">
        <f>ND代替値*2.71828^(-(0.69315/2.062)*(X108-調査開始日)/365.25)</f>
        <v>4.3239442375943831E-3</v>
      </c>
      <c r="AB108" s="247">
        <f>0.011*2.71828^(-(0.69315/30.07)*(X108-調査開始日)/365.25)</f>
        <v>1.0350724507673032E-2</v>
      </c>
      <c r="AC108" s="150"/>
      <c r="AD108" s="151"/>
      <c r="AE108" s="156"/>
      <c r="AF108" s="13"/>
      <c r="AG108" s="256">
        <f t="shared" si="7"/>
        <v>0.94145016021224537</v>
      </c>
      <c r="AH108" s="257">
        <f t="shared" si="8"/>
        <v>0.41484739980107022</v>
      </c>
      <c r="AI108" s="73">
        <f t="shared" si="9"/>
        <v>3.9776693203886132E-5</v>
      </c>
      <c r="AJ108" s="74">
        <f t="shared" si="10"/>
        <v>49.999999928964776</v>
      </c>
      <c r="AK108" s="258">
        <f t="shared" si="11"/>
        <v>0.86317289812908149</v>
      </c>
      <c r="AL108" s="258">
        <f t="shared" si="12"/>
        <v>9.38946654582586E-2</v>
      </c>
      <c r="AM108" s="259">
        <f t="shared" si="13"/>
        <v>2.9618407091673281E-37</v>
      </c>
    </row>
    <row r="109" spans="1:40" s="13" customFormat="1" ht="12" customHeight="1" x14ac:dyDescent="0.2">
      <c r="B109" s="134">
        <v>31210</v>
      </c>
      <c r="C109" s="135">
        <f t="shared" si="14"/>
        <v>9.518518518518519</v>
      </c>
      <c r="D109" s="136">
        <f t="shared" si="14"/>
        <v>87.777777777777771</v>
      </c>
      <c r="E109" s="245">
        <f>ND代替値*2.71828^(-(0.69315/2.062)*(B109-調査開始日)/365.25)</f>
        <v>2.5504304038426952E-3</v>
      </c>
      <c r="F109" s="144">
        <f>(E182/27*1000)/1000</f>
        <v>2.5925925925925925E-2</v>
      </c>
      <c r="G109" s="246">
        <f>ND代替値*2.71828^(-(0.69315/28.799)*(B109-調査開始日)/365.25)</f>
        <v>1.6989223219852984E-2</v>
      </c>
      <c r="H109" s="139">
        <v>0.2</v>
      </c>
      <c r="I109" s="164">
        <f>ND代替値</f>
        <v>0.12037037037037036</v>
      </c>
      <c r="J109" s="141">
        <f t="shared" si="15"/>
        <v>844.44444444444446</v>
      </c>
      <c r="K109" s="142">
        <f t="shared" si="15"/>
        <v>94.444444444444443</v>
      </c>
      <c r="L109" s="143">
        <f>(H182/27*1000)/1000</f>
        <v>6.2962962962962957E-2</v>
      </c>
      <c r="M109" s="134">
        <f t="shared" si="2"/>
        <v>31210</v>
      </c>
      <c r="N109" s="135">
        <f t="shared" si="3"/>
        <v>10.62962962962963</v>
      </c>
      <c r="O109" s="136">
        <f t="shared" si="3"/>
        <v>90.370370370370367</v>
      </c>
      <c r="P109" s="245">
        <f t="shared" si="4"/>
        <v>2.4004050859695951E-3</v>
      </c>
      <c r="Q109" s="144">
        <f t="shared" si="5"/>
        <v>3.7037037037037035E-2</v>
      </c>
      <c r="R109" s="246">
        <f>ND代替値*2.71828^(-(0.69315/28.799)*(M109-調査開始日)/365.25)</f>
        <v>1.6989223219852984E-2</v>
      </c>
      <c r="S109" s="139">
        <v>0.18</v>
      </c>
      <c r="T109" s="164">
        <f>ND代替値</f>
        <v>0.12037037037037036</v>
      </c>
      <c r="U109" s="141">
        <f t="shared" si="6"/>
        <v>800</v>
      </c>
      <c r="V109" s="138">
        <f t="shared" si="6"/>
        <v>89.629629629629633</v>
      </c>
      <c r="W109" s="143">
        <f>(N182/27*1000)/1000</f>
        <v>7.407407407407407E-2</v>
      </c>
      <c r="X109" s="134">
        <v>31243</v>
      </c>
      <c r="Y109" s="135">
        <f t="shared" si="16"/>
        <v>22.62962962962963</v>
      </c>
      <c r="Z109" s="136">
        <f t="shared" si="16"/>
        <v>101.11111111111111</v>
      </c>
      <c r="AA109" s="245">
        <f>ND代替値*2.71828^(-(0.69315/2.062)*(X109-調査開始日)/365.25)</f>
        <v>3.0562846810344903E-3</v>
      </c>
      <c r="AB109" s="144">
        <f>(((Q182/27*1000)/1000)*1000)/1000</f>
        <v>4.8148148148148148E-2</v>
      </c>
      <c r="AC109" s="246">
        <f>ND代替値*2.71828^(-(0.69315/28.799)*(X109-調査開始日)/365.25)</f>
        <v>1.6952319117230386E-2</v>
      </c>
      <c r="AD109" s="139">
        <v>0.23</v>
      </c>
      <c r="AE109" s="164">
        <f>ND代替値</f>
        <v>0.12037037037037036</v>
      </c>
      <c r="AG109" s="256">
        <f t="shared" si="7"/>
        <v>0.92076645743839958</v>
      </c>
      <c r="AH109" s="257">
        <f t="shared" si="8"/>
        <v>0.30005063574619939</v>
      </c>
      <c r="AI109" s="73">
        <f t="shared" si="9"/>
        <v>4.0851446114355073E-7</v>
      </c>
      <c r="AJ109" s="74">
        <f t="shared" si="10"/>
        <v>49.999999902809556</v>
      </c>
      <c r="AK109" s="258">
        <f t="shared" si="11"/>
        <v>0.81765284257303872</v>
      </c>
      <c r="AL109" s="258">
        <f t="shared" si="12"/>
        <v>9.1741805387206221E-2</v>
      </c>
      <c r="AM109" s="259">
        <f t="shared" si="13"/>
        <v>2.4544884020209003E-50</v>
      </c>
    </row>
    <row r="110" spans="1:40" s="13" customFormat="1" ht="12" customHeight="1" x14ac:dyDescent="0.2">
      <c r="B110" s="146">
        <v>31526</v>
      </c>
      <c r="C110" s="147"/>
      <c r="D110" s="148"/>
      <c r="E110" s="148"/>
      <c r="F110" s="148"/>
      <c r="G110" s="148"/>
      <c r="H110" s="151"/>
      <c r="I110" s="162"/>
      <c r="J110" s="153"/>
      <c r="K110" s="154"/>
      <c r="L110" s="155"/>
      <c r="M110" s="146">
        <f t="shared" si="2"/>
        <v>31526</v>
      </c>
      <c r="N110" s="147"/>
      <c r="O110" s="148"/>
      <c r="P110" s="148"/>
      <c r="Q110" s="148"/>
      <c r="R110" s="148"/>
      <c r="S110" s="148"/>
      <c r="T110" s="163"/>
      <c r="U110" s="153"/>
      <c r="V110" s="150"/>
      <c r="W110" s="155"/>
      <c r="X110" s="146">
        <f t="shared" ref="X110" si="17">M110</f>
        <v>31526</v>
      </c>
      <c r="Y110" s="147"/>
      <c r="Z110" s="148"/>
      <c r="AA110" s="148"/>
      <c r="AB110" s="148"/>
      <c r="AC110" s="148"/>
      <c r="AD110" s="151"/>
      <c r="AE110" s="162"/>
      <c r="AG110" s="256">
        <f t="shared" si="7"/>
        <v>0.90258551104928098</v>
      </c>
      <c r="AH110" s="257">
        <f t="shared" si="8"/>
        <v>0.22433129892881273</v>
      </c>
      <c r="AI110" s="73">
        <f t="shared" si="9"/>
        <v>6.7011209606608746E-9</v>
      </c>
      <c r="AJ110" s="74">
        <f t="shared" si="10"/>
        <v>49.999999879329295</v>
      </c>
      <c r="AK110" s="258">
        <f t="shared" si="11"/>
        <v>0.77883680237020192</v>
      </c>
      <c r="AL110" s="258">
        <f t="shared" si="12"/>
        <v>8.9851204640235452E-2</v>
      </c>
      <c r="AM110" s="259">
        <f t="shared" si="13"/>
        <v>4.4284449740079582E-62</v>
      </c>
    </row>
    <row r="111" spans="1:40" ht="12" customHeight="1" thickBot="1" x14ac:dyDescent="0.25">
      <c r="A111" s="110"/>
      <c r="B111" s="111">
        <v>31527</v>
      </c>
      <c r="C111" s="112"/>
      <c r="D111" s="113"/>
      <c r="E111" s="113"/>
      <c r="F111" s="113"/>
      <c r="G111" s="113"/>
      <c r="H111" s="115"/>
      <c r="I111" s="116"/>
      <c r="J111" s="117"/>
      <c r="K111" s="118"/>
      <c r="L111" s="119"/>
      <c r="M111" s="111">
        <v>31527</v>
      </c>
      <c r="N111" s="112"/>
      <c r="O111" s="113"/>
      <c r="P111" s="113"/>
      <c r="Q111" s="113"/>
      <c r="R111" s="113"/>
      <c r="S111" s="113"/>
      <c r="T111" s="316"/>
      <c r="U111" s="117"/>
      <c r="V111" s="120"/>
      <c r="W111" s="119"/>
      <c r="X111" s="111">
        <v>31527</v>
      </c>
      <c r="Y111" s="112"/>
      <c r="Z111" s="113"/>
      <c r="AA111" s="113"/>
      <c r="AB111" s="113"/>
      <c r="AC111" s="113"/>
      <c r="AD111" s="115"/>
      <c r="AE111" s="116"/>
      <c r="AF111" s="110"/>
      <c r="AG111" s="265"/>
      <c r="AH111" s="266"/>
      <c r="AI111" s="126"/>
      <c r="AJ111" s="121"/>
      <c r="AK111" s="267"/>
      <c r="AL111" s="267"/>
      <c r="AM111" s="268"/>
      <c r="AN111" s="110"/>
    </row>
    <row r="112" spans="1:40" ht="12" customHeight="1" x14ac:dyDescent="0.2">
      <c r="A112" s="13"/>
      <c r="B112" s="233">
        <v>31528</v>
      </c>
      <c r="C112" s="135"/>
      <c r="D112" s="136"/>
      <c r="E112" s="136"/>
      <c r="F112" s="144"/>
      <c r="G112" s="144"/>
      <c r="H112" s="139"/>
      <c r="I112" s="164"/>
      <c r="J112" s="141"/>
      <c r="K112" s="142"/>
      <c r="L112" s="143"/>
      <c r="M112" s="134">
        <f t="shared" si="2"/>
        <v>31528</v>
      </c>
      <c r="N112" s="135"/>
      <c r="O112" s="136"/>
      <c r="P112" s="136"/>
      <c r="Q112" s="144"/>
      <c r="R112" s="139"/>
      <c r="S112" s="139"/>
      <c r="T112" s="260"/>
      <c r="U112" s="141"/>
      <c r="V112" s="138"/>
      <c r="W112" s="143"/>
      <c r="X112" s="134">
        <f t="shared" ref="X112" si="18">M112</f>
        <v>31528</v>
      </c>
      <c r="Y112" s="135"/>
      <c r="Z112" s="136"/>
      <c r="AA112" s="136"/>
      <c r="AB112" s="136"/>
      <c r="AC112" s="136"/>
      <c r="AD112" s="139"/>
      <c r="AE112" s="164"/>
      <c r="AF112" s="13"/>
      <c r="AG112" s="261">
        <f t="shared" ref="AG112:AG138" si="19">1*2.71828^(-(0.69315/30.07)*(B112-事故日Cb)/365.25)</f>
        <v>1</v>
      </c>
      <c r="AH112" s="262">
        <f t="shared" ref="AH112:AH138" si="20">1*2.71828^(-(0.69315/2.062)*(B112-事故日Cb)/365.25)</f>
        <v>1</v>
      </c>
      <c r="AI112" s="109">
        <f t="shared" ref="AI112:AI138" si="21">10*2.71828^(-(0.69315/0.1459)*(B112-調査開始日)/365.25)</f>
        <v>6.529044211053326E-9</v>
      </c>
      <c r="AJ112" s="108">
        <f t="shared" ref="AJ112:AJ138" si="22">50*2.71828^(-(0.69315/(1.277*10^9))*(B112-調査開始日)/365.25)</f>
        <v>49.999999879180692</v>
      </c>
      <c r="AK112" s="263">
        <f t="shared" ref="AK112:AK138" si="23">1*2.71828^(-(0.69315/12.33)*(B112-事故日Cb)/365.25)</f>
        <v>1</v>
      </c>
      <c r="AL112" s="263">
        <f t="shared" ref="AL112:AL138" si="24">0.1*2.71828^(-(0.69315/28.799)*(B112-調査開始日)/365.25)</f>
        <v>8.9839363743741241E-2</v>
      </c>
      <c r="AM112" s="264">
        <f t="shared" ref="AM112:AM138" si="25">0.1*2.71828^(-(0.69315/0.022177)*(B112-事故日Cb)/365.25)</f>
        <v>0.1</v>
      </c>
    </row>
    <row r="113" spans="2:39" ht="12" customHeight="1" x14ac:dyDescent="0.2">
      <c r="B113" s="134">
        <v>31576</v>
      </c>
      <c r="C113" s="135">
        <f>C186/27</f>
        <v>6.8518518518518521</v>
      </c>
      <c r="D113" s="136">
        <f>D186/27</f>
        <v>94.074074074074076</v>
      </c>
      <c r="E113" s="245">
        <f>ND代替値*2.71828^(-(0.69315/2.062)*(B113-事故日Cb)/365.25)</f>
        <v>8.1326747640260728E-3</v>
      </c>
      <c r="F113" s="144">
        <f>(E186/27*1000)/1000</f>
        <v>7.7777777777777779E-2</v>
      </c>
      <c r="G113" s="246">
        <f>ND代替値*2.71828^(-(0.69315/28.799)*(B113-調査開始日)/365.25)</f>
        <v>1.6584379608389373E-2</v>
      </c>
      <c r="H113" s="139">
        <v>0.16</v>
      </c>
      <c r="I113" s="164">
        <f>ND代替値</f>
        <v>0.12037037037037036</v>
      </c>
      <c r="J113" s="141">
        <f>F186/27</f>
        <v>470.37037037037038</v>
      </c>
      <c r="K113" s="142">
        <f>G186/27</f>
        <v>88.888888888888886</v>
      </c>
      <c r="L113" s="143">
        <f>(H186/27*1000)/1000</f>
        <v>0.18518518518518517</v>
      </c>
      <c r="M113" s="134">
        <f t="shared" si="2"/>
        <v>31576</v>
      </c>
      <c r="N113" s="135">
        <f>I186/27</f>
        <v>6.1111111111111107</v>
      </c>
      <c r="O113" s="136">
        <f>J186/27</f>
        <v>84.074074074074076</v>
      </c>
      <c r="P113" s="245">
        <f>ND代替値*2.71828^(-(0.69315/2.062)*(M113-事故日Cb)/365.25)</f>
        <v>7.6542821308480677E-3</v>
      </c>
      <c r="Q113" s="144">
        <f>(K186/27*1000)/1000</f>
        <v>3.7037037037037035E-2</v>
      </c>
      <c r="R113" s="138"/>
      <c r="S113" s="138"/>
      <c r="T113" s="140"/>
      <c r="U113" s="141">
        <f>L186/27</f>
        <v>440.74074074074076</v>
      </c>
      <c r="V113" s="138">
        <f>M186/27</f>
        <v>98.888888888888886</v>
      </c>
      <c r="W113" s="247">
        <f>0.0085*2.71828^(-(0.69315/30.07)*(M113-事故日Cb)/365.25)</f>
        <v>8.4742897793199552E-3</v>
      </c>
      <c r="X113" s="134">
        <v>31608</v>
      </c>
      <c r="Y113" s="135">
        <f>O186/27</f>
        <v>18.037037037037038</v>
      </c>
      <c r="Z113" s="136">
        <f>P186/27</f>
        <v>89.259259259259252</v>
      </c>
      <c r="AA113" s="245">
        <f t="shared" ref="AA113:AA137" si="26">ND代替値*2.71828^(-(0.69315/2.062)*(X113-事故日Cb)/365.25)</f>
        <v>9.754689065522246E-3</v>
      </c>
      <c r="AB113" s="165">
        <f>(((Q186/27*1000)/1000)*1000)/1000</f>
        <v>0.11481481481481481</v>
      </c>
      <c r="AC113" s="246">
        <f t="shared" ref="AC113:AC137" si="27">ND代替値*2.71828^(-(0.69315/28.799)*(X113-調査開始日)/365.25)</f>
        <v>1.6549445416679767E-2</v>
      </c>
      <c r="AD113" s="139">
        <v>0.18</v>
      </c>
      <c r="AE113" s="164">
        <f t="shared" ref="AE113:AE137" si="28">ND代替値</f>
        <v>0.12037037037037036</v>
      </c>
      <c r="AF113" s="13"/>
      <c r="AG113" s="256">
        <f t="shared" si="19"/>
        <v>0.9969752681552887</v>
      </c>
      <c r="AH113" s="257">
        <f t="shared" si="20"/>
        <v>0.95678526635600847</v>
      </c>
      <c r="AI113" s="73">
        <f t="shared" si="21"/>
        <v>3.4970453023750553E-9</v>
      </c>
      <c r="AJ113" s="74">
        <f t="shared" si="22"/>
        <v>49.999999875614066</v>
      </c>
      <c r="AK113" s="258">
        <f t="shared" si="23"/>
        <v>0.99263942707505393</v>
      </c>
      <c r="AL113" s="258">
        <f t="shared" si="24"/>
        <v>8.9555649885302707E-2</v>
      </c>
      <c r="AM113" s="259">
        <f t="shared" si="25"/>
        <v>1.6449221822246668E-3</v>
      </c>
    </row>
    <row r="114" spans="2:39" ht="12" customHeight="1" x14ac:dyDescent="0.2">
      <c r="B114" s="146">
        <f>X114</f>
        <v>31968</v>
      </c>
      <c r="C114" s="147"/>
      <c r="D114" s="148"/>
      <c r="E114" s="148"/>
      <c r="F114" s="148"/>
      <c r="G114" s="166"/>
      <c r="H114" s="151"/>
      <c r="I114" s="167"/>
      <c r="J114" s="153"/>
      <c r="K114" s="154"/>
      <c r="L114" s="155"/>
      <c r="M114" s="146"/>
      <c r="N114" s="147"/>
      <c r="O114" s="148"/>
      <c r="P114" s="148"/>
      <c r="Q114" s="148"/>
      <c r="R114" s="148"/>
      <c r="S114" s="150"/>
      <c r="T114" s="152"/>
      <c r="U114" s="153"/>
      <c r="V114" s="150"/>
      <c r="W114" s="167"/>
      <c r="X114" s="146">
        <v>31968</v>
      </c>
      <c r="Y114" s="147">
        <f>O187/27</f>
        <v>9.4074074074074066</v>
      </c>
      <c r="Z114" s="148">
        <f>P187/27</f>
        <v>94.444444444444443</v>
      </c>
      <c r="AA114" s="245">
        <f t="shared" si="26"/>
        <v>7.0036111061716096E-3</v>
      </c>
      <c r="AB114" s="149">
        <f>(((Q187/27*1000)/1000)*1000)/1000</f>
        <v>7.407407407407407E-2</v>
      </c>
      <c r="AC114" s="246">
        <f t="shared" si="27"/>
        <v>1.6161470060368378E-2</v>
      </c>
      <c r="AD114" s="151">
        <v>0.2</v>
      </c>
      <c r="AE114" s="162">
        <f t="shared" si="28"/>
        <v>0.12037037037037036</v>
      </c>
      <c r="AF114" s="13"/>
      <c r="AG114" s="256">
        <f t="shared" si="19"/>
        <v>0.97261328070753494</v>
      </c>
      <c r="AH114" s="257">
        <f t="shared" si="20"/>
        <v>0.66701058154015325</v>
      </c>
      <c r="AI114" s="73">
        <f t="shared" si="21"/>
        <v>2.1346322106841574E-11</v>
      </c>
      <c r="AJ114" s="74">
        <f t="shared" si="22"/>
        <v>49.999999846486652</v>
      </c>
      <c r="AK114" s="258">
        <f t="shared" si="23"/>
        <v>0.93452073898545529</v>
      </c>
      <c r="AL114" s="258">
        <f t="shared" si="24"/>
        <v>8.727193832598934E-2</v>
      </c>
      <c r="AM114" s="259">
        <f t="shared" si="25"/>
        <v>4.4463035410706408E-18</v>
      </c>
    </row>
    <row r="115" spans="2:39" ht="12" customHeight="1" x14ac:dyDescent="0.2">
      <c r="B115" s="146">
        <v>32303</v>
      </c>
      <c r="C115" s="147">
        <v>12</v>
      </c>
      <c r="D115" s="148">
        <v>86.6</v>
      </c>
      <c r="E115" s="245">
        <f t="shared" ref="E115:E137" si="29">ND代替値*2.71828^(-(0.69315/2.062)*(B115-事故日Cb)/365.25)</f>
        <v>4.1653615171949798E-3</v>
      </c>
      <c r="F115" s="149">
        <v>5.1999999999999998E-2</v>
      </c>
      <c r="G115" s="246">
        <f t="shared" ref="G115:G137" si="30">ND代替値*2.71828^(-(0.69315/28.799)*(B115-調査開始日)/365.25)</f>
        <v>1.5808611849777481E-2</v>
      </c>
      <c r="H115" s="151">
        <v>0.27</v>
      </c>
      <c r="I115" s="162">
        <f t="shared" ref="I115:I137" si="31">ND代替値</f>
        <v>0.12037037037037036</v>
      </c>
      <c r="J115" s="153">
        <v>466</v>
      </c>
      <c r="K115" s="154">
        <v>84</v>
      </c>
      <c r="L115" s="155">
        <f>(ND代替値)/1000</f>
        <v>2.6499999999999999E-2</v>
      </c>
      <c r="M115" s="146">
        <f t="shared" ref="M115:M136" si="32">B115</f>
        <v>32303</v>
      </c>
      <c r="N115" s="147">
        <v>10</v>
      </c>
      <c r="O115" s="148">
        <v>90.7</v>
      </c>
      <c r="P115" s="245">
        <f t="shared" ref="P115:P137" si="33">ND代替値*2.71828^(-(0.69315/2.062)*(M115-事故日Cb)/365.25)</f>
        <v>3.9203402514776274E-3</v>
      </c>
      <c r="Q115" s="149">
        <v>2.5999999999999999E-2</v>
      </c>
      <c r="R115" s="150"/>
      <c r="S115" s="150"/>
      <c r="T115" s="152"/>
      <c r="U115" s="153"/>
      <c r="V115" s="154"/>
      <c r="W115" s="156"/>
      <c r="X115" s="146">
        <v>32359</v>
      </c>
      <c r="Y115" s="147">
        <v>28.8</v>
      </c>
      <c r="Z115" s="148">
        <v>89.2</v>
      </c>
      <c r="AA115" s="245">
        <f t="shared" si="26"/>
        <v>4.8869732950671341E-3</v>
      </c>
      <c r="AB115" s="132">
        <v>4.1000000000000002E-2</v>
      </c>
      <c r="AC115" s="246">
        <f t="shared" si="27"/>
        <v>1.5750382760084131E-2</v>
      </c>
      <c r="AD115" s="151">
        <v>0.1</v>
      </c>
      <c r="AE115" s="162">
        <f t="shared" si="28"/>
        <v>0.12037037037037036</v>
      </c>
      <c r="AF115" s="13"/>
      <c r="AG115" s="256">
        <f t="shared" si="19"/>
        <v>0.95226604456618769</v>
      </c>
      <c r="AH115" s="257">
        <f t="shared" si="20"/>
        <v>0.49004253143470344</v>
      </c>
      <c r="AI115" s="73">
        <f t="shared" si="21"/>
        <v>2.734850088383865E-13</v>
      </c>
      <c r="AJ115" s="74">
        <f t="shared" si="22"/>
        <v>49.999999821594606</v>
      </c>
      <c r="AK115" s="258">
        <f t="shared" si="23"/>
        <v>0.88755737079429364</v>
      </c>
      <c r="AL115" s="258">
        <f t="shared" si="24"/>
        <v>8.5366503988798498E-2</v>
      </c>
      <c r="AM115" s="259">
        <f t="shared" si="25"/>
        <v>1.5782661673340369E-30</v>
      </c>
    </row>
    <row r="116" spans="2:39" ht="12" customHeight="1" x14ac:dyDescent="0.2">
      <c r="B116" s="146">
        <v>32666</v>
      </c>
      <c r="C116" s="147">
        <v>9.9</v>
      </c>
      <c r="D116" s="148">
        <v>87.2</v>
      </c>
      <c r="E116" s="245">
        <f t="shared" si="29"/>
        <v>2.982374637531887E-3</v>
      </c>
      <c r="F116" s="132">
        <v>2.3E-2</v>
      </c>
      <c r="G116" s="246">
        <f t="shared" si="30"/>
        <v>1.543495254675197E-2</v>
      </c>
      <c r="H116" s="159">
        <v>0.21</v>
      </c>
      <c r="I116" s="162">
        <f t="shared" si="31"/>
        <v>0.12037037037037036</v>
      </c>
      <c r="J116" s="153">
        <v>442</v>
      </c>
      <c r="K116" s="154">
        <v>66.8</v>
      </c>
      <c r="L116" s="155">
        <f>(ND代替値)/1000</f>
        <v>2.6499999999999999E-2</v>
      </c>
      <c r="M116" s="146">
        <f t="shared" si="32"/>
        <v>32666</v>
      </c>
      <c r="N116" s="147">
        <v>10.7</v>
      </c>
      <c r="O116" s="148">
        <v>90.6</v>
      </c>
      <c r="P116" s="245">
        <f t="shared" si="33"/>
        <v>2.8069408353241284E-3</v>
      </c>
      <c r="Q116" s="132">
        <v>2.1999999999999999E-2</v>
      </c>
      <c r="R116" s="158"/>
      <c r="S116" s="158"/>
      <c r="T116" s="160"/>
      <c r="U116" s="153">
        <v>397</v>
      </c>
      <c r="V116" s="150">
        <v>65</v>
      </c>
      <c r="W116" s="247">
        <f>0.0085*2.71828^(-(0.69315/30.07)*(M116-事故日Cb)/365.25)</f>
        <v>7.9109362664111157E-3</v>
      </c>
      <c r="X116" s="146">
        <v>32709</v>
      </c>
      <c r="Y116" s="147">
        <v>7.2</v>
      </c>
      <c r="Z116" s="148">
        <v>88.9</v>
      </c>
      <c r="AA116" s="245">
        <f t="shared" si="26"/>
        <v>3.5411599313083441E-3</v>
      </c>
      <c r="AB116" s="168">
        <v>5.3999999999999999E-2</v>
      </c>
      <c r="AC116" s="246">
        <f t="shared" si="27"/>
        <v>1.5391279055638826E-2</v>
      </c>
      <c r="AD116" s="159">
        <v>0.2</v>
      </c>
      <c r="AE116" s="162">
        <f t="shared" si="28"/>
        <v>0.12037037037037036</v>
      </c>
      <c r="AF116" s="13"/>
      <c r="AG116" s="256">
        <f t="shared" si="19"/>
        <v>0.9306983842836607</v>
      </c>
      <c r="AH116" s="257">
        <f t="shared" si="20"/>
        <v>0.35086760441551607</v>
      </c>
      <c r="AI116" s="73">
        <f t="shared" si="21"/>
        <v>2.4343001217209167E-15</v>
      </c>
      <c r="AJ116" s="74">
        <f t="shared" si="22"/>
        <v>49.999999794622028</v>
      </c>
      <c r="AK116" s="258">
        <f t="shared" si="23"/>
        <v>0.83932916369830279</v>
      </c>
      <c r="AL116" s="258">
        <f t="shared" si="24"/>
        <v>8.3348743752460722E-2</v>
      </c>
      <c r="AM116" s="259">
        <f t="shared" si="25"/>
        <v>5.1024588486018026E-44</v>
      </c>
    </row>
    <row r="117" spans="2:39" ht="12" customHeight="1" x14ac:dyDescent="0.2">
      <c r="B117" s="146">
        <v>33038</v>
      </c>
      <c r="C117" s="147">
        <v>3.5</v>
      </c>
      <c r="D117" s="148">
        <v>86.3</v>
      </c>
      <c r="E117" s="245">
        <f t="shared" si="29"/>
        <v>2.1177486288716783E-3</v>
      </c>
      <c r="F117" s="169">
        <v>3.4000000000000002E-2</v>
      </c>
      <c r="G117" s="246">
        <f t="shared" si="30"/>
        <v>1.5061190315224793E-2</v>
      </c>
      <c r="H117" s="151">
        <v>0.25</v>
      </c>
      <c r="I117" s="162">
        <f t="shared" si="31"/>
        <v>0.12037037037037036</v>
      </c>
      <c r="J117" s="153">
        <v>161</v>
      </c>
      <c r="K117" s="154">
        <v>83.5</v>
      </c>
      <c r="L117" s="170">
        <v>5.2999999999999999E-2</v>
      </c>
      <c r="M117" s="146">
        <f t="shared" si="32"/>
        <v>33038</v>
      </c>
      <c r="N117" s="147">
        <v>5</v>
      </c>
      <c r="O117" s="148">
        <v>78</v>
      </c>
      <c r="P117" s="245">
        <f t="shared" si="33"/>
        <v>1.9931751801145208E-3</v>
      </c>
      <c r="Q117" s="169">
        <v>3.6999999999999998E-2</v>
      </c>
      <c r="R117" s="150"/>
      <c r="S117" s="150"/>
      <c r="T117" s="152"/>
      <c r="U117" s="153">
        <v>228</v>
      </c>
      <c r="V117" s="150">
        <v>83</v>
      </c>
      <c r="W117" s="155">
        <v>6.9000000000000006E-2</v>
      </c>
      <c r="X117" s="146">
        <v>33067</v>
      </c>
      <c r="Y117" s="147">
        <v>6.1</v>
      </c>
      <c r="Z117" s="148">
        <v>92.2</v>
      </c>
      <c r="AA117" s="245">
        <f t="shared" si="26"/>
        <v>2.5471441892180062E-3</v>
      </c>
      <c r="AB117" s="169">
        <v>4.3999999999999997E-2</v>
      </c>
      <c r="AC117" s="246">
        <f t="shared" si="27"/>
        <v>1.5032436088141345E-2</v>
      </c>
      <c r="AD117" s="151">
        <v>7.5999999999999998E-2</v>
      </c>
      <c r="AE117" s="162">
        <f t="shared" si="28"/>
        <v>0.12037037037037036</v>
      </c>
      <c r="AF117" s="13"/>
      <c r="AG117" s="256">
        <f t="shared" si="19"/>
        <v>0.90910269112694431</v>
      </c>
      <c r="AH117" s="257">
        <f t="shared" si="20"/>
        <v>0.2491468975143151</v>
      </c>
      <c r="AI117" s="73">
        <f t="shared" si="21"/>
        <v>1.9274112982916104E-17</v>
      </c>
      <c r="AJ117" s="74">
        <f t="shared" si="22"/>
        <v>49.999999766980707</v>
      </c>
      <c r="AK117" s="258">
        <f t="shared" si="23"/>
        <v>0.79262287589032399</v>
      </c>
      <c r="AL117" s="258">
        <f t="shared" si="24"/>
        <v>8.1330427702213964E-2</v>
      </c>
      <c r="AM117" s="259">
        <f t="shared" si="25"/>
        <v>7.6367052605447835E-58</v>
      </c>
    </row>
    <row r="118" spans="2:39" ht="12" customHeight="1" x14ac:dyDescent="0.2">
      <c r="B118" s="146">
        <v>33396</v>
      </c>
      <c r="C118" s="147">
        <v>8.6</v>
      </c>
      <c r="D118" s="148">
        <v>87.4</v>
      </c>
      <c r="E118" s="245">
        <f t="shared" si="29"/>
        <v>1.5232893229597537E-3</v>
      </c>
      <c r="F118" s="132">
        <v>1.7999999999999999E-2</v>
      </c>
      <c r="G118" s="246">
        <f t="shared" si="30"/>
        <v>1.4710043265832588E-2</v>
      </c>
      <c r="H118" s="159">
        <v>0.22</v>
      </c>
      <c r="I118" s="162">
        <f t="shared" si="31"/>
        <v>0.12037037037037036</v>
      </c>
      <c r="J118" s="153"/>
      <c r="K118" s="154"/>
      <c r="L118" s="171"/>
      <c r="M118" s="146">
        <f t="shared" si="32"/>
        <v>33396</v>
      </c>
      <c r="N118" s="147">
        <v>7.3</v>
      </c>
      <c r="O118" s="148">
        <v>86.5</v>
      </c>
      <c r="P118" s="245">
        <f t="shared" si="33"/>
        <v>1.4336840686680035E-3</v>
      </c>
      <c r="Q118" s="169">
        <v>3.2000000000000001E-2</v>
      </c>
      <c r="R118" s="150"/>
      <c r="S118" s="150"/>
      <c r="T118" s="152"/>
      <c r="U118" s="153"/>
      <c r="V118" s="154"/>
      <c r="W118" s="156"/>
      <c r="X118" s="146">
        <v>33443</v>
      </c>
      <c r="Y118" s="147">
        <v>9.1999999999999993</v>
      </c>
      <c r="Z118" s="148">
        <v>106</v>
      </c>
      <c r="AA118" s="245">
        <f t="shared" si="26"/>
        <v>1.8020504642038279E-3</v>
      </c>
      <c r="AB118" s="168">
        <v>5.3999999999999999E-2</v>
      </c>
      <c r="AC118" s="246">
        <f t="shared" si="27"/>
        <v>1.4664555065510858E-2</v>
      </c>
      <c r="AD118" s="159">
        <v>0.1</v>
      </c>
      <c r="AE118" s="162">
        <f t="shared" si="28"/>
        <v>0.12037037037037036</v>
      </c>
      <c r="AF118" s="13"/>
      <c r="AG118" s="256">
        <f t="shared" si="19"/>
        <v>0.88879304566041939</v>
      </c>
      <c r="AH118" s="257">
        <f t="shared" si="20"/>
        <v>0.17921050858350043</v>
      </c>
      <c r="AI118" s="73">
        <f t="shared" si="21"/>
        <v>1.830878883698806E-19</v>
      </c>
      <c r="AJ118" s="74">
        <f t="shared" si="22"/>
        <v>49.99999974037965</v>
      </c>
      <c r="AK118" s="258">
        <f t="shared" si="23"/>
        <v>0.75013028137010518</v>
      </c>
      <c r="AL118" s="258">
        <f t="shared" si="24"/>
        <v>7.9434233635496065E-2</v>
      </c>
      <c r="AM118" s="259">
        <f t="shared" si="25"/>
        <v>3.7872457354490263E-71</v>
      </c>
    </row>
    <row r="119" spans="2:39" ht="12" customHeight="1" x14ac:dyDescent="0.2">
      <c r="B119" s="146">
        <v>33765</v>
      </c>
      <c r="C119" s="147">
        <v>10</v>
      </c>
      <c r="D119" s="148">
        <v>88.2</v>
      </c>
      <c r="E119" s="245">
        <f t="shared" si="29"/>
        <v>1.0846602007022357E-3</v>
      </c>
      <c r="F119" s="169">
        <v>2.8000000000000001E-2</v>
      </c>
      <c r="G119" s="246">
        <f t="shared" si="30"/>
        <v>1.435667280364066E-2</v>
      </c>
      <c r="H119" s="151">
        <v>0.26</v>
      </c>
      <c r="I119" s="162">
        <f t="shared" si="31"/>
        <v>0.12037037037037036</v>
      </c>
      <c r="J119" s="153"/>
      <c r="K119" s="154"/>
      <c r="L119" s="171"/>
      <c r="M119" s="146">
        <f t="shared" si="32"/>
        <v>33765</v>
      </c>
      <c r="N119" s="147">
        <v>10</v>
      </c>
      <c r="O119" s="148">
        <v>83.8</v>
      </c>
      <c r="P119" s="245">
        <f t="shared" si="33"/>
        <v>1.020856659484457E-3</v>
      </c>
      <c r="Q119" s="132">
        <v>2.7E-2</v>
      </c>
      <c r="R119" s="158"/>
      <c r="S119" s="158"/>
      <c r="T119" s="160"/>
      <c r="U119" s="153"/>
      <c r="V119" s="154"/>
      <c r="W119" s="156"/>
      <c r="X119" s="146">
        <v>33800</v>
      </c>
      <c r="Y119" s="147">
        <v>13.8</v>
      </c>
      <c r="Z119" s="148">
        <v>83.9</v>
      </c>
      <c r="AA119" s="245">
        <f t="shared" si="26"/>
        <v>1.2974022174213101E-3</v>
      </c>
      <c r="AB119" s="132">
        <v>4.2999999999999997E-2</v>
      </c>
      <c r="AC119" s="246">
        <f t="shared" si="27"/>
        <v>1.4323599283095031E-2</v>
      </c>
      <c r="AD119" s="151">
        <v>7.0000000000000007E-2</v>
      </c>
      <c r="AE119" s="162">
        <f t="shared" si="28"/>
        <v>0.12037037037037036</v>
      </c>
      <c r="AF119" s="13"/>
      <c r="AG119" s="256">
        <f t="shared" si="19"/>
        <v>0.86833410159286872</v>
      </c>
      <c r="AH119" s="257">
        <f t="shared" si="20"/>
        <v>0.12760708243555713</v>
      </c>
      <c r="AI119" s="73">
        <f t="shared" si="21"/>
        <v>1.5073241847638898E-21</v>
      </c>
      <c r="AJ119" s="74">
        <f t="shared" si="22"/>
        <v>49.999999712961255</v>
      </c>
      <c r="AK119" s="258">
        <f t="shared" si="23"/>
        <v>0.70871482289352572</v>
      </c>
      <c r="AL119" s="258">
        <f t="shared" si="24"/>
        <v>7.7526033139659653E-2</v>
      </c>
      <c r="AM119" s="259">
        <f t="shared" si="25"/>
        <v>7.3272484697842336E-85</v>
      </c>
    </row>
    <row r="120" spans="2:39" ht="12" customHeight="1" x14ac:dyDescent="0.2">
      <c r="B120" s="146">
        <v>34137</v>
      </c>
      <c r="C120" s="147">
        <v>9.1999999999999993</v>
      </c>
      <c r="D120" s="148">
        <v>88.4</v>
      </c>
      <c r="E120" s="245">
        <f t="shared" si="29"/>
        <v>7.7020426069938366E-4</v>
      </c>
      <c r="F120" s="132">
        <v>1.9E-2</v>
      </c>
      <c r="G120" s="246">
        <f t="shared" si="30"/>
        <v>1.4009021455303769E-2</v>
      </c>
      <c r="H120" s="159">
        <v>0.21</v>
      </c>
      <c r="I120" s="162">
        <f t="shared" si="31"/>
        <v>0.12037037037037036</v>
      </c>
      <c r="J120" s="153"/>
      <c r="K120" s="154"/>
      <c r="L120" s="171"/>
      <c r="M120" s="146">
        <f t="shared" si="32"/>
        <v>34137</v>
      </c>
      <c r="N120" s="147">
        <v>9.9</v>
      </c>
      <c r="O120" s="148">
        <v>88.8</v>
      </c>
      <c r="P120" s="245">
        <f t="shared" si="33"/>
        <v>7.2489812771706693E-4</v>
      </c>
      <c r="Q120" s="132">
        <v>1.6E-2</v>
      </c>
      <c r="R120" s="158"/>
      <c r="S120" s="158"/>
      <c r="T120" s="160"/>
      <c r="U120" s="153"/>
      <c r="V120" s="154"/>
      <c r="W120" s="156"/>
      <c r="X120" s="146">
        <v>34163</v>
      </c>
      <c r="Y120" s="147">
        <v>7.5</v>
      </c>
      <c r="Z120" s="148">
        <v>89.4</v>
      </c>
      <c r="AA120" s="245">
        <f t="shared" si="26"/>
        <v>9.289324472658546E-4</v>
      </c>
      <c r="AB120" s="247">
        <f>0.011*2.71828^(-(0.69315/30.07)*(X120-事故日Cb)/365.25)</f>
        <v>9.3147435142685985E-3</v>
      </c>
      <c r="AC120" s="246">
        <f t="shared" si="27"/>
        <v>1.3985040390271474E-2</v>
      </c>
      <c r="AD120" s="159">
        <v>0.2</v>
      </c>
      <c r="AE120" s="162">
        <f t="shared" si="28"/>
        <v>0.12037037037037036</v>
      </c>
      <c r="AF120" s="13"/>
      <c r="AG120" s="256">
        <f t="shared" si="19"/>
        <v>0.84818549369564344</v>
      </c>
      <c r="AH120" s="257">
        <f t="shared" si="20"/>
        <v>9.0612265964633371E-2</v>
      </c>
      <c r="AI120" s="73">
        <f t="shared" si="21"/>
        <v>1.1934574697586231E-23</v>
      </c>
      <c r="AJ120" s="74">
        <f t="shared" si="22"/>
        <v>49.999999685319928</v>
      </c>
      <c r="AK120" s="258">
        <f t="shared" si="23"/>
        <v>0.66927685275795668</v>
      </c>
      <c r="AL120" s="258">
        <f t="shared" si="24"/>
        <v>7.5648715858640428E-2</v>
      </c>
      <c r="AM120" s="259">
        <f t="shared" si="25"/>
        <v>1.0966484707633162E-98</v>
      </c>
    </row>
    <row r="121" spans="2:39" ht="12" customHeight="1" x14ac:dyDescent="0.2">
      <c r="B121" s="146">
        <v>34495</v>
      </c>
      <c r="C121" s="147">
        <v>8.1999999999999993</v>
      </c>
      <c r="D121" s="148">
        <v>94</v>
      </c>
      <c r="E121" s="245">
        <f t="shared" si="29"/>
        <v>5.5400528222585965E-4</v>
      </c>
      <c r="F121" s="168">
        <v>4.1000000000000002E-2</v>
      </c>
      <c r="G121" s="246">
        <f t="shared" si="30"/>
        <v>1.3682405401330309E-2</v>
      </c>
      <c r="H121" s="159">
        <v>0.23</v>
      </c>
      <c r="I121" s="162">
        <f t="shared" si="31"/>
        <v>0.12037037037037036</v>
      </c>
      <c r="J121" s="153"/>
      <c r="K121" s="154"/>
      <c r="L121" s="171"/>
      <c r="M121" s="146">
        <f t="shared" si="32"/>
        <v>34495</v>
      </c>
      <c r="N121" s="147">
        <v>7.4</v>
      </c>
      <c r="O121" s="148">
        <v>92.5</v>
      </c>
      <c r="P121" s="245">
        <f t="shared" si="33"/>
        <v>5.2141673621257378E-4</v>
      </c>
      <c r="Q121" s="172">
        <v>2.5000000000000001E-2</v>
      </c>
      <c r="R121" s="158"/>
      <c r="S121" s="158"/>
      <c r="T121" s="160"/>
      <c r="U121" s="153"/>
      <c r="V121" s="154"/>
      <c r="W121" s="156"/>
      <c r="X121" s="146">
        <v>34520</v>
      </c>
      <c r="Y121" s="147">
        <v>7.3</v>
      </c>
      <c r="Z121" s="148">
        <v>82.9</v>
      </c>
      <c r="AA121" s="245">
        <f t="shared" si="26"/>
        <v>6.6879315582862896E-4</v>
      </c>
      <c r="AB121" s="172">
        <v>2.3E-2</v>
      </c>
      <c r="AC121" s="246">
        <f t="shared" si="27"/>
        <v>1.3659883550048183E-2</v>
      </c>
      <c r="AD121" s="159">
        <v>0.2</v>
      </c>
      <c r="AE121" s="162">
        <f t="shared" si="28"/>
        <v>0.12037037037037036</v>
      </c>
      <c r="AF121" s="13"/>
      <c r="AG121" s="256">
        <f t="shared" si="19"/>
        <v>0.82923675794231078</v>
      </c>
      <c r="AH121" s="257">
        <f t="shared" si="20"/>
        <v>6.5177092026571723E-2</v>
      </c>
      <c r="AI121" s="73">
        <f t="shared" si="21"/>
        <v>1.1336843785809644E-25</v>
      </c>
      <c r="AJ121" s="74">
        <f t="shared" si="22"/>
        <v>49.999999658718878</v>
      </c>
      <c r="AK121" s="258">
        <f t="shared" si="23"/>
        <v>0.63339685132087087</v>
      </c>
      <c r="AL121" s="258">
        <f t="shared" si="24"/>
        <v>7.3884989167183751E-2</v>
      </c>
      <c r="AM121" s="259">
        <f t="shared" si="25"/>
        <v>5.4385721361318864E-112</v>
      </c>
    </row>
    <row r="122" spans="2:39" ht="12" customHeight="1" x14ac:dyDescent="0.2">
      <c r="B122" s="146">
        <v>34858</v>
      </c>
      <c r="C122" s="147">
        <v>20</v>
      </c>
      <c r="D122" s="148">
        <v>87.9</v>
      </c>
      <c r="E122" s="245">
        <f t="shared" si="29"/>
        <v>3.9666456223510485E-4</v>
      </c>
      <c r="F122" s="172">
        <v>2.3E-2</v>
      </c>
      <c r="G122" s="246">
        <f t="shared" si="30"/>
        <v>1.3359002049122284E-2</v>
      </c>
      <c r="H122" s="159">
        <v>0.21</v>
      </c>
      <c r="I122" s="162">
        <f t="shared" si="31"/>
        <v>0.12037037037037036</v>
      </c>
      <c r="J122" s="153"/>
      <c r="K122" s="154"/>
      <c r="L122" s="171"/>
      <c r="M122" s="146">
        <f t="shared" si="32"/>
        <v>34858</v>
      </c>
      <c r="N122" s="147">
        <v>19.100000000000001</v>
      </c>
      <c r="O122" s="148">
        <v>82.4</v>
      </c>
      <c r="P122" s="245">
        <f t="shared" si="33"/>
        <v>3.7333135269186337E-4</v>
      </c>
      <c r="Q122" s="172">
        <v>2.3E-2</v>
      </c>
      <c r="R122" s="158"/>
      <c r="S122" s="158"/>
      <c r="T122" s="160"/>
      <c r="U122" s="153"/>
      <c r="V122" s="154"/>
      <c r="W122" s="156"/>
      <c r="X122" s="146">
        <v>34913</v>
      </c>
      <c r="Y122" s="147">
        <v>11.2</v>
      </c>
      <c r="Z122" s="148">
        <v>84.9</v>
      </c>
      <c r="AA122" s="245">
        <f t="shared" si="26"/>
        <v>4.6581167181277734E-4</v>
      </c>
      <c r="AB122" s="172">
        <v>4.1000000000000002E-2</v>
      </c>
      <c r="AC122" s="246">
        <f t="shared" si="27"/>
        <v>1.3310672889456638E-2</v>
      </c>
      <c r="AD122" s="159">
        <v>0.2</v>
      </c>
      <c r="AE122" s="162">
        <f t="shared" si="28"/>
        <v>0.12037037037037036</v>
      </c>
      <c r="AF122" s="13"/>
      <c r="AG122" s="256">
        <f t="shared" si="19"/>
        <v>0.81045556040708688</v>
      </c>
      <c r="AH122" s="257">
        <f t="shared" si="20"/>
        <v>4.6666419086482919E-2</v>
      </c>
      <c r="AI122" s="73">
        <f t="shared" si="21"/>
        <v>1.0090966347642036E-27</v>
      </c>
      <c r="AJ122" s="74">
        <f t="shared" si="22"/>
        <v>49.999999631746306</v>
      </c>
      <c r="AK122" s="258">
        <f t="shared" si="23"/>
        <v>0.59897925137224561</v>
      </c>
      <c r="AL122" s="258">
        <f t="shared" si="24"/>
        <v>7.2138611065260413E-2</v>
      </c>
      <c r="AM122" s="259">
        <f t="shared" si="25"/>
        <v>1.7582642962334802E-125</v>
      </c>
    </row>
    <row r="123" spans="2:39" ht="12" customHeight="1" x14ac:dyDescent="0.2">
      <c r="B123" s="173">
        <v>35223</v>
      </c>
      <c r="C123" s="147">
        <v>6.9</v>
      </c>
      <c r="D123" s="148">
        <v>87.1</v>
      </c>
      <c r="E123" s="245">
        <f t="shared" si="29"/>
        <v>2.8348723165874001E-4</v>
      </c>
      <c r="F123" s="149">
        <v>1.7000000000000001E-2</v>
      </c>
      <c r="G123" s="246">
        <f t="shared" si="30"/>
        <v>1.3041523918019677E-2</v>
      </c>
      <c r="H123" s="151">
        <v>0.22</v>
      </c>
      <c r="I123" s="162">
        <f t="shared" si="31"/>
        <v>0.12037037037037036</v>
      </c>
      <c r="J123" s="153"/>
      <c r="K123" s="154"/>
      <c r="L123" s="171"/>
      <c r="M123" s="146">
        <f t="shared" si="32"/>
        <v>35223</v>
      </c>
      <c r="N123" s="147">
        <v>7.7</v>
      </c>
      <c r="O123" s="148">
        <v>84.7</v>
      </c>
      <c r="P123" s="245">
        <f t="shared" si="33"/>
        <v>2.6681151214940236E-4</v>
      </c>
      <c r="Q123" s="149">
        <v>1.7000000000000001E-2</v>
      </c>
      <c r="R123" s="150"/>
      <c r="S123" s="150"/>
      <c r="T123" s="152"/>
      <c r="U123" s="153"/>
      <c r="V123" s="154"/>
      <c r="W123" s="156"/>
      <c r="X123" s="173">
        <v>35249</v>
      </c>
      <c r="Y123" s="147">
        <v>10</v>
      </c>
      <c r="Z123" s="148">
        <v>71.8</v>
      </c>
      <c r="AA123" s="245">
        <f t="shared" si="26"/>
        <v>3.4190993391058298E-4</v>
      </c>
      <c r="AB123" s="247">
        <f>0.011*2.71828^(-(0.69315/30.07)*(X123-事故日Cb)/365.25)</f>
        <v>8.6977137495437597E-3</v>
      </c>
      <c r="AC123" s="246">
        <f t="shared" si="27"/>
        <v>1.3019199044423327E-2</v>
      </c>
      <c r="AD123" s="151">
        <v>0.3</v>
      </c>
      <c r="AE123" s="162">
        <f t="shared" si="28"/>
        <v>0.12037037037037036</v>
      </c>
      <c r="AF123" s="13"/>
      <c r="AG123" s="256">
        <f t="shared" si="19"/>
        <v>0.79199976031325325</v>
      </c>
      <c r="AH123" s="257">
        <f t="shared" si="20"/>
        <v>3.3351439018675294E-2</v>
      </c>
      <c r="AI123" s="73">
        <f t="shared" si="21"/>
        <v>8.7513591093506561E-30</v>
      </c>
      <c r="AJ123" s="74">
        <f t="shared" si="22"/>
        <v>49.999999604625117</v>
      </c>
      <c r="AK123" s="258">
        <f t="shared" si="23"/>
        <v>0.56625750447314271</v>
      </c>
      <c r="AL123" s="258">
        <f t="shared" si="24"/>
        <v>7.0424229157306326E-2</v>
      </c>
      <c r="AM123" s="259">
        <f t="shared" si="25"/>
        <v>4.7902275536116628E-139</v>
      </c>
    </row>
    <row r="124" spans="2:39" ht="12" customHeight="1" x14ac:dyDescent="0.2">
      <c r="B124" s="173">
        <v>35594</v>
      </c>
      <c r="C124" s="147">
        <v>11.8</v>
      </c>
      <c r="D124" s="148">
        <v>86.6</v>
      </c>
      <c r="E124" s="245">
        <f t="shared" si="29"/>
        <v>2.0148624959689525E-4</v>
      </c>
      <c r="F124" s="149">
        <v>3.1E-2</v>
      </c>
      <c r="G124" s="246">
        <f t="shared" si="30"/>
        <v>1.2726557915787126E-2</v>
      </c>
      <c r="H124" s="151">
        <v>0.21</v>
      </c>
      <c r="I124" s="162">
        <f t="shared" si="31"/>
        <v>0.12037037037037036</v>
      </c>
      <c r="J124" s="153"/>
      <c r="K124" s="154"/>
      <c r="L124" s="171"/>
      <c r="M124" s="146">
        <f t="shared" si="32"/>
        <v>35594</v>
      </c>
      <c r="N124" s="147">
        <v>15.4</v>
      </c>
      <c r="O124" s="148">
        <v>87.5</v>
      </c>
      <c r="P124" s="245">
        <f t="shared" si="33"/>
        <v>1.8963411726766611E-4</v>
      </c>
      <c r="Q124" s="149">
        <v>2.5000000000000001E-2</v>
      </c>
      <c r="R124" s="150"/>
      <c r="S124" s="150"/>
      <c r="T124" s="152"/>
      <c r="U124" s="153"/>
      <c r="V124" s="154"/>
      <c r="W124" s="156"/>
      <c r="X124" s="173">
        <v>35620</v>
      </c>
      <c r="Y124" s="147">
        <v>14.4</v>
      </c>
      <c r="Z124" s="148">
        <v>84</v>
      </c>
      <c r="AA124" s="245">
        <f t="shared" si="26"/>
        <v>2.4300971116221267E-4</v>
      </c>
      <c r="AB124" s="149">
        <v>2.4E-2</v>
      </c>
      <c r="AC124" s="246">
        <f t="shared" si="27"/>
        <v>1.270477221048362E-2</v>
      </c>
      <c r="AD124" s="151">
        <v>0.2</v>
      </c>
      <c r="AE124" s="162">
        <f t="shared" si="28"/>
        <v>0.12037037037037036</v>
      </c>
      <c r="AF124" s="13"/>
      <c r="AG124" s="256">
        <f t="shared" si="19"/>
        <v>0.77367122085403717</v>
      </c>
      <c r="AH124" s="257">
        <f t="shared" si="20"/>
        <v>2.3704264658458263E-2</v>
      </c>
      <c r="AI124" s="73">
        <f t="shared" si="21"/>
        <v>7.0197995164050859E-32</v>
      </c>
      <c r="AJ124" s="74">
        <f t="shared" si="22"/>
        <v>49.999999577058105</v>
      </c>
      <c r="AK124" s="258">
        <f t="shared" si="23"/>
        <v>0.53482919064461865</v>
      </c>
      <c r="AL124" s="258">
        <f t="shared" si="24"/>
        <v>6.8723412745250553E-2</v>
      </c>
      <c r="AM124" s="259">
        <f t="shared" si="25"/>
        <v>7.8099148948947956E-153</v>
      </c>
    </row>
    <row r="125" spans="2:39" ht="12" customHeight="1" x14ac:dyDescent="0.2">
      <c r="B125" s="173">
        <v>35955</v>
      </c>
      <c r="C125" s="147">
        <v>15.9</v>
      </c>
      <c r="D125" s="148">
        <v>84.6</v>
      </c>
      <c r="E125" s="245">
        <f t="shared" si="29"/>
        <v>1.4452877006374213E-4</v>
      </c>
      <c r="F125" s="247">
        <f>0.009*2.71828^(-(0.69315/30.07)*(B125-事故日Cb)/365.25)</f>
        <v>6.8061956663618807E-3</v>
      </c>
      <c r="G125" s="246">
        <f t="shared" si="30"/>
        <v>1.2427385118133061E-2</v>
      </c>
      <c r="H125" s="151">
        <v>0.33</v>
      </c>
      <c r="I125" s="162">
        <f t="shared" si="31"/>
        <v>0.12037037037037036</v>
      </c>
      <c r="J125" s="153"/>
      <c r="K125" s="154"/>
      <c r="L125" s="171"/>
      <c r="M125" s="146">
        <f t="shared" si="32"/>
        <v>35955</v>
      </c>
      <c r="N125" s="147">
        <v>15.1</v>
      </c>
      <c r="O125" s="148">
        <v>85.9</v>
      </c>
      <c r="P125" s="245">
        <f t="shared" si="33"/>
        <v>1.3602707770705142E-4</v>
      </c>
      <c r="Q125" s="149">
        <v>2.4E-2</v>
      </c>
      <c r="R125" s="150"/>
      <c r="S125" s="150"/>
      <c r="T125" s="152"/>
      <c r="U125" s="153"/>
      <c r="V125" s="154"/>
      <c r="W125" s="156"/>
      <c r="X125" s="173">
        <v>35997</v>
      </c>
      <c r="Y125" s="147">
        <v>7.1</v>
      </c>
      <c r="Z125" s="148">
        <v>92.1</v>
      </c>
      <c r="AA125" s="245">
        <f t="shared" si="26"/>
        <v>1.7176605819988318E-4</v>
      </c>
      <c r="AB125" s="149">
        <v>0.02</v>
      </c>
      <c r="AC125" s="246">
        <f t="shared" si="27"/>
        <v>1.2393038221338868E-2</v>
      </c>
      <c r="AD125" s="151">
        <v>0.17</v>
      </c>
      <c r="AE125" s="162">
        <f t="shared" si="28"/>
        <v>0.12037037037037036</v>
      </c>
      <c r="AF125" s="13"/>
      <c r="AG125" s="256">
        <f t="shared" si="19"/>
        <v>0.7562439629290979</v>
      </c>
      <c r="AH125" s="257">
        <f t="shared" si="20"/>
        <v>1.7003384713381427E-2</v>
      </c>
      <c r="AI125" s="73">
        <f t="shared" si="21"/>
        <v>6.4130282405712216E-34</v>
      </c>
      <c r="AJ125" s="74">
        <f t="shared" si="22"/>
        <v>49.999999550234136</v>
      </c>
      <c r="AK125" s="258">
        <f t="shared" si="23"/>
        <v>0.50592328475312354</v>
      </c>
      <c r="AL125" s="258">
        <f t="shared" si="24"/>
        <v>6.7107879637918602E-2</v>
      </c>
      <c r="AM125" s="259">
        <f t="shared" si="25"/>
        <v>2.9962140910139716E-166</v>
      </c>
    </row>
    <row r="126" spans="2:39" ht="12" customHeight="1" x14ac:dyDescent="0.2">
      <c r="B126" s="173">
        <v>36313</v>
      </c>
      <c r="C126" s="147">
        <v>10.8</v>
      </c>
      <c r="D126" s="148">
        <v>89.9</v>
      </c>
      <c r="E126" s="245">
        <f t="shared" si="29"/>
        <v>1.0395904844282813E-4</v>
      </c>
      <c r="F126" s="149">
        <v>2.5000000000000001E-2</v>
      </c>
      <c r="G126" s="246">
        <f t="shared" si="30"/>
        <v>1.2137644432001384E-2</v>
      </c>
      <c r="H126" s="151">
        <v>0.49</v>
      </c>
      <c r="I126" s="162">
        <f t="shared" si="31"/>
        <v>0.12037037037037036</v>
      </c>
      <c r="J126" s="153"/>
      <c r="K126" s="154"/>
      <c r="L126" s="171"/>
      <c r="M126" s="146">
        <f t="shared" si="32"/>
        <v>36313</v>
      </c>
      <c r="N126" s="147">
        <v>10.1</v>
      </c>
      <c r="O126" s="148">
        <v>90.6</v>
      </c>
      <c r="P126" s="245">
        <f t="shared" si="33"/>
        <v>9.7843810299132349E-5</v>
      </c>
      <c r="Q126" s="149">
        <v>2.1999999999999999E-2</v>
      </c>
      <c r="R126" s="150"/>
      <c r="S126" s="150"/>
      <c r="T126" s="152"/>
      <c r="U126" s="153"/>
      <c r="V126" s="154"/>
      <c r="W126" s="156"/>
      <c r="X126" s="173">
        <v>36349</v>
      </c>
      <c r="Y126" s="147">
        <v>7.9</v>
      </c>
      <c r="Z126" s="148">
        <v>84.7</v>
      </c>
      <c r="AA126" s="245">
        <f t="shared" si="26"/>
        <v>1.2423487525101427E-4</v>
      </c>
      <c r="AB126" s="149">
        <v>3.9E-2</v>
      </c>
      <c r="AC126" s="246">
        <f t="shared" si="27"/>
        <v>1.2108884941538244E-2</v>
      </c>
      <c r="AD126" s="151">
        <v>0.16</v>
      </c>
      <c r="AE126" s="162">
        <f t="shared" si="28"/>
        <v>0.12037037037037036</v>
      </c>
      <c r="AF126" s="13"/>
      <c r="AG126" s="256">
        <f t="shared" si="19"/>
        <v>0.73934923043826073</v>
      </c>
      <c r="AH126" s="257">
        <f t="shared" si="20"/>
        <v>1.2230476287391543E-2</v>
      </c>
      <c r="AI126" s="73">
        <f t="shared" si="21"/>
        <v>6.0918383100863173E-36</v>
      </c>
      <c r="AJ126" s="74">
        <f t="shared" si="22"/>
        <v>49.999999523633079</v>
      </c>
      <c r="AK126" s="258">
        <f t="shared" si="23"/>
        <v>0.47880068502597867</v>
      </c>
      <c r="AL126" s="258">
        <f t="shared" si="24"/>
        <v>6.5543279932807549E-2</v>
      </c>
      <c r="AM126" s="259">
        <f t="shared" si="25"/>
        <v>1.4859024476578333E-179</v>
      </c>
    </row>
    <row r="127" spans="2:39" ht="12" customHeight="1" x14ac:dyDescent="0.2">
      <c r="B127" s="173">
        <v>36683</v>
      </c>
      <c r="C127" s="147">
        <v>11.5</v>
      </c>
      <c r="D127" s="148">
        <v>86.4</v>
      </c>
      <c r="E127" s="245">
        <f t="shared" si="29"/>
        <v>7.3956083515660704E-5</v>
      </c>
      <c r="F127" s="247">
        <f>0.009*2.71828^(-(0.69315/30.07)*(B127-事故日Cb)/365.25)</f>
        <v>6.5005624567100097E-3</v>
      </c>
      <c r="G127" s="246">
        <f t="shared" si="30"/>
        <v>1.1845288566059903E-2</v>
      </c>
      <c r="H127" s="151">
        <v>0.25</v>
      </c>
      <c r="I127" s="162">
        <f t="shared" si="31"/>
        <v>0.12037037037037036</v>
      </c>
      <c r="J127" s="153"/>
      <c r="K127" s="154"/>
      <c r="L127" s="171"/>
      <c r="M127" s="146">
        <f t="shared" si="32"/>
        <v>36683</v>
      </c>
      <c r="N127" s="147">
        <v>13.2</v>
      </c>
      <c r="O127" s="148">
        <v>93</v>
      </c>
      <c r="P127" s="245">
        <f t="shared" si="33"/>
        <v>6.9605725661798306E-5</v>
      </c>
      <c r="Q127" s="247">
        <f>0.008*2.71828^(-(0.69315/30.07)*(M127-事故日Cb)/365.25)</f>
        <v>5.7782777392977871E-3</v>
      </c>
      <c r="R127" s="150"/>
      <c r="S127" s="150"/>
      <c r="T127" s="152"/>
      <c r="U127" s="153"/>
      <c r="V127" s="154"/>
      <c r="W127" s="156"/>
      <c r="X127" s="173">
        <v>36720</v>
      </c>
      <c r="Y127" s="147">
        <v>6</v>
      </c>
      <c r="Z127" s="148">
        <v>88.6</v>
      </c>
      <c r="AA127" s="245">
        <f t="shared" si="26"/>
        <v>8.829892950380887E-5</v>
      </c>
      <c r="AB127" s="149">
        <v>2.9000000000000001E-2</v>
      </c>
      <c r="AC127" s="246">
        <f t="shared" si="27"/>
        <v>1.1816443114532079E-2</v>
      </c>
      <c r="AD127" s="151">
        <v>0.17</v>
      </c>
      <c r="AE127" s="162">
        <f t="shared" si="28"/>
        <v>0.12037037037037036</v>
      </c>
      <c r="AF127" s="13"/>
      <c r="AG127" s="256">
        <f t="shared" si="19"/>
        <v>0.72228471741222333</v>
      </c>
      <c r="AH127" s="257">
        <f t="shared" si="20"/>
        <v>8.700715707724788E-3</v>
      </c>
      <c r="AI127" s="73">
        <f t="shared" si="21"/>
        <v>4.9504707105423924E-38</v>
      </c>
      <c r="AJ127" s="74">
        <f t="shared" si="22"/>
        <v>49.999999496140376</v>
      </c>
      <c r="AK127" s="258">
        <f t="shared" si="23"/>
        <v>0.45229599118109642</v>
      </c>
      <c r="AL127" s="258">
        <f t="shared" si="24"/>
        <v>6.3964558256723536E-2</v>
      </c>
      <c r="AM127" s="259">
        <f t="shared" si="25"/>
        <v>2.6390285788325888E-193</v>
      </c>
    </row>
    <row r="128" spans="2:39" ht="12" customHeight="1" x14ac:dyDescent="0.2">
      <c r="B128" s="173">
        <v>37047</v>
      </c>
      <c r="C128" s="147">
        <v>9.3000000000000007</v>
      </c>
      <c r="D128" s="148">
        <v>96.7</v>
      </c>
      <c r="E128" s="245">
        <f t="shared" si="29"/>
        <v>5.2903414457016861E-5</v>
      </c>
      <c r="F128" s="247">
        <f>0.009*2.71828^(-(0.69315/30.07)*(B128-事故日Cb)/365.25)</f>
        <v>6.3529317232338357E-3</v>
      </c>
      <c r="G128" s="246">
        <f t="shared" si="30"/>
        <v>1.1564546032544651E-2</v>
      </c>
      <c r="H128" s="151">
        <v>0.27</v>
      </c>
      <c r="I128" s="162">
        <f t="shared" si="31"/>
        <v>0.12037037037037036</v>
      </c>
      <c r="J128" s="153"/>
      <c r="K128" s="154"/>
      <c r="L128" s="171"/>
      <c r="M128" s="146">
        <f t="shared" si="32"/>
        <v>37047</v>
      </c>
      <c r="N128" s="147">
        <v>9.5</v>
      </c>
      <c r="O128" s="148">
        <v>91</v>
      </c>
      <c r="P128" s="245">
        <f t="shared" si="33"/>
        <v>4.9791448900721748E-5</v>
      </c>
      <c r="Q128" s="132">
        <v>2.4E-2</v>
      </c>
      <c r="R128" s="150"/>
      <c r="S128" s="150"/>
      <c r="T128" s="152"/>
      <c r="U128" s="153"/>
      <c r="V128" s="154"/>
      <c r="W128" s="156"/>
      <c r="X128" s="173">
        <v>37088</v>
      </c>
      <c r="Y128" s="147">
        <v>7.4</v>
      </c>
      <c r="Z128" s="148">
        <v>100</v>
      </c>
      <c r="AA128" s="245">
        <f t="shared" si="26"/>
        <v>6.2931262385517377E-5</v>
      </c>
      <c r="AB128" s="247">
        <f>0.011*2.71828^(-(0.69315/30.07)*(X128-事故日Cb)/365.25)</f>
        <v>7.7446288394474707E-3</v>
      </c>
      <c r="AC128" s="246">
        <f t="shared" si="27"/>
        <v>1.1533343833273179E-2</v>
      </c>
      <c r="AD128" s="151">
        <v>0.16</v>
      </c>
      <c r="AE128" s="162">
        <f t="shared" si="28"/>
        <v>0.12037037037037036</v>
      </c>
      <c r="AF128" s="13"/>
      <c r="AG128" s="256">
        <f t="shared" si="19"/>
        <v>0.70588130258153736</v>
      </c>
      <c r="AH128" s="257">
        <f t="shared" si="20"/>
        <v>6.2239311125902187E-3</v>
      </c>
      <c r="AI128" s="73">
        <f t="shared" si="21"/>
        <v>4.3494882989103179E-40</v>
      </c>
      <c r="AJ128" s="74">
        <f t="shared" si="22"/>
        <v>49.999999469093488</v>
      </c>
      <c r="AK128" s="258">
        <f t="shared" si="23"/>
        <v>0.42765324696404661</v>
      </c>
      <c r="AL128" s="258">
        <f t="shared" si="24"/>
        <v>6.2448548575741183E-2</v>
      </c>
      <c r="AM128" s="259">
        <f t="shared" si="25"/>
        <v>7.8321269621574109E-207</v>
      </c>
    </row>
    <row r="129" spans="1:40" ht="12" customHeight="1" x14ac:dyDescent="0.2">
      <c r="B129" s="173">
        <v>37411</v>
      </c>
      <c r="C129" s="147">
        <v>11.1</v>
      </c>
      <c r="D129" s="148">
        <v>84.1</v>
      </c>
      <c r="E129" s="245">
        <f t="shared" si="29"/>
        <v>3.7843692204418103E-5</v>
      </c>
      <c r="F129" s="247">
        <f>0.009*2.71828^(-(0.69315/30.07)*(B129-事故日Cb)/365.25)</f>
        <v>6.2086537509397676E-3</v>
      </c>
      <c r="G129" s="246">
        <f t="shared" si="30"/>
        <v>1.1290457314990492E-2</v>
      </c>
      <c r="H129" s="151">
        <v>0.25</v>
      </c>
      <c r="I129" s="162">
        <f t="shared" si="31"/>
        <v>0.12037037037037036</v>
      </c>
      <c r="J129" s="153"/>
      <c r="K129" s="154"/>
      <c r="L129" s="171"/>
      <c r="M129" s="146">
        <f t="shared" si="32"/>
        <v>37411</v>
      </c>
      <c r="N129" s="147">
        <v>10.8</v>
      </c>
      <c r="O129" s="148">
        <v>86.4</v>
      </c>
      <c r="P129" s="245">
        <f t="shared" si="33"/>
        <v>3.5617592662981742E-5</v>
      </c>
      <c r="Q129" s="247">
        <f t="shared" ref="Q129:Q134" si="34">0.008*2.71828^(-(0.69315/30.07)*(M129-事故日Cb)/365.25)</f>
        <v>5.5188033341686833E-3</v>
      </c>
      <c r="R129" s="150"/>
      <c r="S129" s="150"/>
      <c r="T129" s="152"/>
      <c r="U129" s="153"/>
      <c r="V129" s="154"/>
      <c r="W129" s="156"/>
      <c r="X129" s="173">
        <v>37456</v>
      </c>
      <c r="Y129" s="147">
        <v>12.4</v>
      </c>
      <c r="Z129" s="148">
        <v>90</v>
      </c>
      <c r="AA129" s="245">
        <f t="shared" si="26"/>
        <v>4.4851549250820831E-5</v>
      </c>
      <c r="AB129" s="149">
        <v>3.5999999999999997E-2</v>
      </c>
      <c r="AC129" s="246">
        <f t="shared" si="27"/>
        <v>1.1257027067046297E-2</v>
      </c>
      <c r="AD129" s="151">
        <v>0.14000000000000001</v>
      </c>
      <c r="AE129" s="162">
        <f t="shared" si="28"/>
        <v>0.12037037037037036</v>
      </c>
      <c r="AF129" s="13"/>
      <c r="AG129" s="256">
        <f t="shared" si="19"/>
        <v>0.68985041677108538</v>
      </c>
      <c r="AH129" s="257">
        <f t="shared" si="20"/>
        <v>4.4521990828727178E-3</v>
      </c>
      <c r="AI129" s="73">
        <f t="shared" si="21"/>
        <v>3.8214645775137804E-42</v>
      </c>
      <c r="AJ129" s="74">
        <f t="shared" si="22"/>
        <v>49.999999442046608</v>
      </c>
      <c r="AK129" s="258">
        <f t="shared" si="23"/>
        <v>0.40435312981950561</v>
      </c>
      <c r="AL129" s="258">
        <f t="shared" si="24"/>
        <v>6.0968469500948724E-2</v>
      </c>
      <c r="AM129" s="259">
        <f t="shared" si="25"/>
        <v>2.3244239658249034E-220</v>
      </c>
    </row>
    <row r="130" spans="1:40" ht="12" customHeight="1" x14ac:dyDescent="0.2">
      <c r="B130" s="173">
        <v>37781</v>
      </c>
      <c r="C130" s="147">
        <v>4.5</v>
      </c>
      <c r="D130" s="148">
        <v>110.6</v>
      </c>
      <c r="E130" s="245">
        <f t="shared" si="29"/>
        <v>2.6921863013685402E-5</v>
      </c>
      <c r="F130" s="132">
        <v>3.4000000000000002E-2</v>
      </c>
      <c r="G130" s="246">
        <f t="shared" si="30"/>
        <v>1.1018507395573128E-2</v>
      </c>
      <c r="H130" s="151">
        <v>0.21</v>
      </c>
      <c r="I130" s="162">
        <f t="shared" si="31"/>
        <v>0.12037037037037036</v>
      </c>
      <c r="J130" s="153"/>
      <c r="K130" s="154"/>
      <c r="L130" s="171"/>
      <c r="M130" s="146">
        <f t="shared" si="32"/>
        <v>37781</v>
      </c>
      <c r="N130" s="147">
        <v>5.6</v>
      </c>
      <c r="O130" s="148">
        <v>81.099999999999994</v>
      </c>
      <c r="P130" s="245">
        <f t="shared" si="33"/>
        <v>2.5338224012880376E-5</v>
      </c>
      <c r="Q130" s="247">
        <f t="shared" si="34"/>
        <v>5.3914268691546662E-3</v>
      </c>
      <c r="R130" s="150"/>
      <c r="S130" s="150"/>
      <c r="T130" s="152"/>
      <c r="U130" s="153"/>
      <c r="V130" s="154"/>
      <c r="W130" s="156"/>
      <c r="X130" s="173">
        <v>37810</v>
      </c>
      <c r="Y130" s="147">
        <v>8.4</v>
      </c>
      <c r="Z130" s="148">
        <v>65.3</v>
      </c>
      <c r="AA130" s="245">
        <f t="shared" si="26"/>
        <v>3.238055074306322E-5</v>
      </c>
      <c r="AB130" s="247">
        <f>0.011*2.71828^(-(0.69315/30.07)*(X130-事故日Cb)/365.25)</f>
        <v>7.3996566076612808E-3</v>
      </c>
      <c r="AC130" s="246">
        <f t="shared" si="27"/>
        <v>1.0997471298349611E-2</v>
      </c>
      <c r="AD130" s="151">
        <v>0.26</v>
      </c>
      <c r="AE130" s="162">
        <f t="shared" si="28"/>
        <v>0.12037037037037036</v>
      </c>
      <c r="AF130" s="13"/>
      <c r="AG130" s="256">
        <f t="shared" si="19"/>
        <v>0.6739283586443332</v>
      </c>
      <c r="AH130" s="257">
        <f t="shared" si="20"/>
        <v>3.1672780016100471E-3</v>
      </c>
      <c r="AI130" s="73">
        <f t="shared" si="21"/>
        <v>3.1054744888804245E-44</v>
      </c>
      <c r="AJ130" s="74">
        <f t="shared" si="22"/>
        <v>49.999999414553905</v>
      </c>
      <c r="AK130" s="258">
        <f t="shared" si="23"/>
        <v>0.38196958642398099</v>
      </c>
      <c r="AL130" s="258">
        <f t="shared" si="24"/>
        <v>5.9499939936094953E-2</v>
      </c>
      <c r="AM130" s="259">
        <f t="shared" si="25"/>
        <v>4.1282799451638129E-234</v>
      </c>
    </row>
    <row r="131" spans="1:40" ht="12" customHeight="1" x14ac:dyDescent="0.2">
      <c r="B131" s="173">
        <v>38145</v>
      </c>
      <c r="C131" s="147">
        <v>11.6</v>
      </c>
      <c r="D131" s="148">
        <v>95.1</v>
      </c>
      <c r="E131" s="245">
        <f t="shared" si="29"/>
        <v>1.9258165241625244E-5</v>
      </c>
      <c r="F131" s="132">
        <v>2.5000000000000001E-2</v>
      </c>
      <c r="G131" s="246">
        <f t="shared" si="30"/>
        <v>1.0757360217558987E-2</v>
      </c>
      <c r="H131" s="151">
        <v>0.23</v>
      </c>
      <c r="I131" s="162">
        <f t="shared" si="31"/>
        <v>0.12037037037037036</v>
      </c>
      <c r="J131" s="153"/>
      <c r="K131" s="154"/>
      <c r="L131" s="171"/>
      <c r="M131" s="146">
        <f t="shared" si="32"/>
        <v>38145</v>
      </c>
      <c r="N131" s="147">
        <v>11</v>
      </c>
      <c r="O131" s="148">
        <v>89.4</v>
      </c>
      <c r="P131" s="245">
        <f t="shared" si="33"/>
        <v>1.8125331992117876E-5</v>
      </c>
      <c r="Q131" s="247">
        <f t="shared" si="34"/>
        <v>5.2689851099258353E-3</v>
      </c>
      <c r="R131" s="150"/>
      <c r="S131" s="150"/>
      <c r="T131" s="152"/>
      <c r="U131" s="153"/>
      <c r="V131" s="154"/>
      <c r="W131" s="156"/>
      <c r="X131" s="173">
        <v>38188</v>
      </c>
      <c r="Y131" s="147">
        <v>7.5</v>
      </c>
      <c r="Z131" s="148">
        <v>100</v>
      </c>
      <c r="AA131" s="245">
        <f t="shared" si="26"/>
        <v>2.2866424038730206E-5</v>
      </c>
      <c r="AB131" s="132">
        <v>3.1E-2</v>
      </c>
      <c r="AC131" s="246">
        <f t="shared" si="27"/>
        <v>1.0726922062699786E-2</v>
      </c>
      <c r="AD131" s="151">
        <v>0.21</v>
      </c>
      <c r="AE131" s="162">
        <f t="shared" si="28"/>
        <v>0.12037037037037036</v>
      </c>
      <c r="AF131" s="13"/>
      <c r="AG131" s="256">
        <f t="shared" si="19"/>
        <v>0.65862313874072942</v>
      </c>
      <c r="AH131" s="257">
        <f t="shared" si="20"/>
        <v>2.2656664990147344E-3</v>
      </c>
      <c r="AI131" s="73">
        <f t="shared" si="21"/>
        <v>2.7284728547499703E-46</v>
      </c>
      <c r="AJ131" s="74">
        <f t="shared" si="22"/>
        <v>49.999999387507017</v>
      </c>
      <c r="AK131" s="258">
        <f t="shared" si="23"/>
        <v>0.36115848263250472</v>
      </c>
      <c r="AL131" s="258">
        <f t="shared" si="24"/>
        <v>5.8089745174818588E-2</v>
      </c>
      <c r="AM131" s="259">
        <f t="shared" si="25"/>
        <v>1.2251937294348066E-247</v>
      </c>
    </row>
    <row r="132" spans="1:40" ht="12" customHeight="1" x14ac:dyDescent="0.2">
      <c r="B132" s="173">
        <v>38524</v>
      </c>
      <c r="C132" s="147">
        <v>16.2</v>
      </c>
      <c r="D132" s="148">
        <v>85.6</v>
      </c>
      <c r="E132" s="245">
        <f t="shared" si="29"/>
        <v>1.3587176973032524E-5</v>
      </c>
      <c r="F132" s="247">
        <f>0.009*2.71828^(-(0.69315/30.07)*(B132-事故日Cb)/365.25)</f>
        <v>5.7875081630750069E-3</v>
      </c>
      <c r="G132" s="246">
        <f t="shared" si="30"/>
        <v>1.0492026558546546E-2</v>
      </c>
      <c r="H132" s="151">
        <v>0.32</v>
      </c>
      <c r="I132" s="162">
        <f t="shared" si="31"/>
        <v>0.12037037037037036</v>
      </c>
      <c r="J132" s="153"/>
      <c r="K132" s="154"/>
      <c r="L132" s="171"/>
      <c r="M132" s="146">
        <f t="shared" si="32"/>
        <v>38524</v>
      </c>
      <c r="N132" s="147">
        <v>11.7</v>
      </c>
      <c r="O132" s="148">
        <v>74.900000000000006</v>
      </c>
      <c r="P132" s="245">
        <f t="shared" si="33"/>
        <v>1.2787931268736493E-5</v>
      </c>
      <c r="Q132" s="247">
        <f t="shared" si="34"/>
        <v>5.1444517005111174E-3</v>
      </c>
      <c r="R132" s="150"/>
      <c r="S132" s="150"/>
      <c r="T132" s="152"/>
      <c r="U132" s="153"/>
      <c r="V132" s="154"/>
      <c r="W132" s="156"/>
      <c r="X132" s="173">
        <v>38538</v>
      </c>
      <c r="Y132" s="147">
        <v>6.9</v>
      </c>
      <c r="Z132" s="148">
        <v>86</v>
      </c>
      <c r="AA132" s="245">
        <f t="shared" si="26"/>
        <v>1.6569287305087466E-5</v>
      </c>
      <c r="AB132" s="247">
        <f>0.011*2.71828^(-(0.69315/30.07)*(X132-事故日Cb)/365.25)</f>
        <v>7.0673739478343605E-3</v>
      </c>
      <c r="AC132" s="246">
        <f t="shared" si="27"/>
        <v>1.0482351660272881E-2</v>
      </c>
      <c r="AD132" s="151">
        <v>0.18</v>
      </c>
      <c r="AE132" s="162">
        <f t="shared" si="28"/>
        <v>0.12037037037037036</v>
      </c>
      <c r="AF132" s="13"/>
      <c r="AG132" s="256">
        <f t="shared" si="19"/>
        <v>0.64305646256388971</v>
      </c>
      <c r="AH132" s="257">
        <f t="shared" si="20"/>
        <v>1.5984914085920615E-3</v>
      </c>
      <c r="AI132" s="73">
        <f t="shared" si="21"/>
        <v>1.9723203203889178E-48</v>
      </c>
      <c r="AJ132" s="74">
        <f t="shared" si="22"/>
        <v>49.999999359345566</v>
      </c>
      <c r="AK132" s="258">
        <f t="shared" si="23"/>
        <v>0.34069378043415416</v>
      </c>
      <c r="AL132" s="258">
        <f t="shared" si="24"/>
        <v>5.6656943416151406E-2</v>
      </c>
      <c r="AM132" s="259">
        <f t="shared" si="25"/>
        <v>1.0073625819671824E-261</v>
      </c>
    </row>
    <row r="133" spans="1:40" ht="12" customHeight="1" x14ac:dyDescent="0.2">
      <c r="B133" s="173">
        <v>38882</v>
      </c>
      <c r="C133" s="147">
        <v>11.1</v>
      </c>
      <c r="D133" s="148">
        <v>83.4</v>
      </c>
      <c r="E133" s="245">
        <f t="shared" si="29"/>
        <v>9.7732097804319709E-6</v>
      </c>
      <c r="F133" s="132">
        <v>1.9E-2</v>
      </c>
      <c r="G133" s="246">
        <f t="shared" si="30"/>
        <v>1.0247408165772241E-2</v>
      </c>
      <c r="H133" s="151">
        <v>0.14000000000000001</v>
      </c>
      <c r="I133" s="162">
        <f t="shared" si="31"/>
        <v>0.12037037037037036</v>
      </c>
      <c r="J133" s="153"/>
      <c r="K133" s="154"/>
      <c r="L133" s="171"/>
      <c r="M133" s="146">
        <f t="shared" si="32"/>
        <v>38882</v>
      </c>
      <c r="N133" s="147">
        <v>9.9</v>
      </c>
      <c r="O133" s="148">
        <v>86.5</v>
      </c>
      <c r="P133" s="245">
        <f t="shared" si="33"/>
        <v>9.1983150874653852E-6</v>
      </c>
      <c r="Q133" s="247">
        <f t="shared" si="34"/>
        <v>5.0295230008418597E-3</v>
      </c>
      <c r="R133" s="150"/>
      <c r="S133" s="150"/>
      <c r="T133" s="152"/>
      <c r="U133" s="153"/>
      <c r="V133" s="154"/>
      <c r="W133" s="156"/>
      <c r="X133" s="173">
        <v>38904</v>
      </c>
      <c r="Y133" s="147">
        <v>11.6</v>
      </c>
      <c r="Z133" s="148">
        <v>89.5</v>
      </c>
      <c r="AA133" s="245">
        <f t="shared" si="26"/>
        <v>1.1830803209360365E-5</v>
      </c>
      <c r="AB133" s="132">
        <v>2.1000000000000001E-2</v>
      </c>
      <c r="AC133" s="246">
        <f t="shared" si="27"/>
        <v>1.0232563129752107E-2</v>
      </c>
      <c r="AD133" s="151">
        <v>0.19</v>
      </c>
      <c r="AE133" s="162">
        <f t="shared" si="28"/>
        <v>0.12037037037037036</v>
      </c>
      <c r="AG133" s="256">
        <f t="shared" si="19"/>
        <v>0.6286903751052324</v>
      </c>
      <c r="AH133" s="257">
        <f t="shared" si="20"/>
        <v>1.149789385933173E-3</v>
      </c>
      <c r="AI133" s="73">
        <f t="shared" si="21"/>
        <v>1.8735386835652785E-50</v>
      </c>
      <c r="AJ133" s="74">
        <f t="shared" si="22"/>
        <v>49.999999332744515</v>
      </c>
      <c r="AK133" s="258">
        <f t="shared" si="23"/>
        <v>0.32242915155716456</v>
      </c>
      <c r="AL133" s="258">
        <f t="shared" si="24"/>
        <v>5.5336004095170158E-2</v>
      </c>
      <c r="AM133" s="259">
        <f t="shared" si="25"/>
        <v>4.9957796097187202E-275</v>
      </c>
    </row>
    <row r="134" spans="1:40" ht="12" customHeight="1" x14ac:dyDescent="0.2">
      <c r="B134" s="173">
        <v>39241</v>
      </c>
      <c r="C134" s="147">
        <v>13.9</v>
      </c>
      <c r="D134" s="148">
        <v>77.3</v>
      </c>
      <c r="E134" s="245">
        <f t="shared" si="29"/>
        <v>7.0233694046371915E-6</v>
      </c>
      <c r="F134" s="149">
        <v>2.1000000000000001E-2</v>
      </c>
      <c r="G134" s="246">
        <f t="shared" si="30"/>
        <v>1.0007833477764884E-2</v>
      </c>
      <c r="H134" s="151">
        <v>0.21</v>
      </c>
      <c r="I134" s="162">
        <f t="shared" si="31"/>
        <v>0.12037037037037036</v>
      </c>
      <c r="J134" s="153"/>
      <c r="K134" s="154"/>
      <c r="L134" s="171"/>
      <c r="M134" s="146">
        <f t="shared" si="32"/>
        <v>39241</v>
      </c>
      <c r="N134" s="147">
        <v>13</v>
      </c>
      <c r="O134" s="148">
        <v>81.3</v>
      </c>
      <c r="P134" s="245">
        <f t="shared" si="33"/>
        <v>6.6102300278938269E-6</v>
      </c>
      <c r="Q134" s="247">
        <f t="shared" si="34"/>
        <v>4.9168515292174163E-3</v>
      </c>
      <c r="R134" s="150"/>
      <c r="S134" s="150"/>
      <c r="T134" s="152"/>
      <c r="U134" s="153"/>
      <c r="V134" s="154"/>
      <c r="W134" s="156"/>
      <c r="X134" s="173">
        <v>39281</v>
      </c>
      <c r="Y134" s="147">
        <v>15.4</v>
      </c>
      <c r="Z134" s="148">
        <v>74.7</v>
      </c>
      <c r="AA134" s="245">
        <f t="shared" si="26"/>
        <v>8.3623424878435313E-6</v>
      </c>
      <c r="AB134" s="247">
        <f>0.011*2.71828^(-(0.69315/30.07)*(X134-事故日Cb)/365.25)</f>
        <v>6.7436255385552625E-3</v>
      </c>
      <c r="AC134" s="246">
        <f t="shared" si="27"/>
        <v>9.9814891497730755E-3</v>
      </c>
      <c r="AD134" s="151">
        <v>0.23</v>
      </c>
      <c r="AE134" s="162">
        <f t="shared" si="28"/>
        <v>0.12037037037037036</v>
      </c>
      <c r="AG134" s="256">
        <f t="shared" si="19"/>
        <v>0.614606441152177</v>
      </c>
      <c r="AH134" s="257">
        <f t="shared" si="20"/>
        <v>8.2627875348672837E-4</v>
      </c>
      <c r="AI134" s="73">
        <f t="shared" si="21"/>
        <v>1.7567054793938009E-52</v>
      </c>
      <c r="AJ134" s="74">
        <f t="shared" si="22"/>
        <v>49.999999306069164</v>
      </c>
      <c r="AK134" s="258">
        <f t="shared" si="23"/>
        <v>0.30509672954075973</v>
      </c>
      <c r="AL134" s="258">
        <f t="shared" si="24"/>
        <v>5.4042300779930434E-2</v>
      </c>
      <c r="AM134" s="259">
        <f t="shared" si="25"/>
        <v>2.2743488977873952E-288</v>
      </c>
    </row>
    <row r="135" spans="1:40" ht="12" customHeight="1" x14ac:dyDescent="0.2">
      <c r="B135" s="173">
        <v>39608</v>
      </c>
      <c r="C135" s="147">
        <v>12</v>
      </c>
      <c r="D135" s="148">
        <v>98.6</v>
      </c>
      <c r="E135" s="245">
        <f t="shared" si="29"/>
        <v>5.0102132942260079E-6</v>
      </c>
      <c r="F135" s="132">
        <v>2.3E-2</v>
      </c>
      <c r="G135" s="246">
        <f t="shared" si="30"/>
        <v>9.768708707608981E-3</v>
      </c>
      <c r="H135" s="151">
        <v>0.19</v>
      </c>
      <c r="I135" s="162">
        <f t="shared" si="31"/>
        <v>0.12037037037037036</v>
      </c>
      <c r="J135" s="153"/>
      <c r="K135" s="154"/>
      <c r="L135" s="171"/>
      <c r="M135" s="146">
        <f t="shared" si="32"/>
        <v>39608</v>
      </c>
      <c r="N135" s="147">
        <v>7.4</v>
      </c>
      <c r="O135" s="148">
        <v>98.2</v>
      </c>
      <c r="P135" s="245">
        <f t="shared" si="33"/>
        <v>4.7154948651538893E-6</v>
      </c>
      <c r="Q135" s="132">
        <v>2.4E-2</v>
      </c>
      <c r="R135" s="150"/>
      <c r="S135" s="150"/>
      <c r="T135" s="152"/>
      <c r="U135" s="153"/>
      <c r="V135" s="154"/>
      <c r="W135" s="156"/>
      <c r="X135" s="173">
        <v>39666</v>
      </c>
      <c r="Y135" s="147">
        <v>6</v>
      </c>
      <c r="Z135" s="148">
        <v>96.2</v>
      </c>
      <c r="AA135" s="245">
        <f t="shared" si="26"/>
        <v>5.8673782112503683E-6</v>
      </c>
      <c r="AB135" s="132">
        <v>2.4E-2</v>
      </c>
      <c r="AC135" s="246">
        <f t="shared" si="27"/>
        <v>9.7314442512145098E-3</v>
      </c>
      <c r="AD135" s="151">
        <v>0.18</v>
      </c>
      <c r="AE135" s="162">
        <f t="shared" si="28"/>
        <v>0.12037037037037036</v>
      </c>
      <c r="AG135" s="256">
        <f t="shared" si="19"/>
        <v>0.60053473766551735</v>
      </c>
      <c r="AH135" s="257">
        <f t="shared" si="20"/>
        <v>5.8943685814423616E-4</v>
      </c>
      <c r="AI135" s="73">
        <f t="shared" si="21"/>
        <v>1.4843757661465518E-54</v>
      </c>
      <c r="AJ135" s="74">
        <f t="shared" si="22"/>
        <v>49.999999278799365</v>
      </c>
      <c r="AK135" s="258">
        <f t="shared" si="23"/>
        <v>0.28834077248291418</v>
      </c>
      <c r="AL135" s="258">
        <f t="shared" si="24"/>
        <v>5.2751027021088553E-2</v>
      </c>
      <c r="AM135" s="259">
        <f t="shared" si="25"/>
        <v>5.2215783510550356E-302</v>
      </c>
    </row>
    <row r="136" spans="1:40" ht="12" customHeight="1" x14ac:dyDescent="0.2">
      <c r="B136" s="173">
        <v>39967</v>
      </c>
      <c r="C136" s="147">
        <v>14.2</v>
      </c>
      <c r="D136" s="148">
        <v>90.3</v>
      </c>
      <c r="E136" s="245">
        <f t="shared" si="29"/>
        <v>3.6005140124822096E-6</v>
      </c>
      <c r="F136" s="247">
        <f>0.009*2.71828^(-(0.69315/30.07)*(B136-事故日Cb)/365.25)</f>
        <v>5.2837339216267112E-3</v>
      </c>
      <c r="G136" s="246">
        <f t="shared" si="30"/>
        <v>9.5403255591093271E-3</v>
      </c>
      <c r="H136" s="151">
        <v>0.28999999999999998</v>
      </c>
      <c r="I136" s="162">
        <f t="shared" si="31"/>
        <v>0.12037037037037036</v>
      </c>
      <c r="J136" s="153"/>
      <c r="K136" s="154"/>
      <c r="L136" s="171"/>
      <c r="M136" s="146">
        <f t="shared" si="32"/>
        <v>39967</v>
      </c>
      <c r="N136" s="147">
        <v>7.1</v>
      </c>
      <c r="O136" s="148">
        <v>86.4</v>
      </c>
      <c r="P136" s="245">
        <f t="shared" si="33"/>
        <v>3.3887190705714912E-6</v>
      </c>
      <c r="Q136" s="247">
        <f>0.008*2.71828^(-(0.69315/30.07)*(M136-事故日Cb)/365.25)</f>
        <v>4.6966523747792996E-3</v>
      </c>
      <c r="R136" s="150"/>
      <c r="S136" s="150"/>
      <c r="T136" s="152"/>
      <c r="U136" s="153"/>
      <c r="V136" s="154"/>
      <c r="W136" s="156"/>
      <c r="X136" s="173">
        <v>40000</v>
      </c>
      <c r="Y136" s="147">
        <v>13.9</v>
      </c>
      <c r="Z136" s="148">
        <v>100.6</v>
      </c>
      <c r="AA136" s="245">
        <f t="shared" si="26"/>
        <v>4.3146426593799798E-6</v>
      </c>
      <c r="AB136" s="247">
        <f>0.011*2.71828^(-(0.69315/30.07)*(X136-事故日Cb)/365.25)</f>
        <v>6.4444614429251023E-3</v>
      </c>
      <c r="AC136" s="246">
        <f t="shared" si="27"/>
        <v>9.5196020010672507E-3</v>
      </c>
      <c r="AD136" s="151">
        <v>0.22</v>
      </c>
      <c r="AE136" s="162">
        <f t="shared" si="28"/>
        <v>0.12037037037037036</v>
      </c>
      <c r="AF136" s="13"/>
      <c r="AG136" s="256">
        <f t="shared" si="19"/>
        <v>0.58708154684741243</v>
      </c>
      <c r="AH136" s="257">
        <f t="shared" si="20"/>
        <v>4.2358988382143638E-4</v>
      </c>
      <c r="AI136" s="73">
        <f t="shared" si="21"/>
        <v>1.3918106227232328E-56</v>
      </c>
      <c r="AJ136" s="74">
        <f t="shared" si="22"/>
        <v>49.999999252124006</v>
      </c>
      <c r="AK136" s="258">
        <f t="shared" si="23"/>
        <v>0.27284079697178554</v>
      </c>
      <c r="AL136" s="258">
        <f t="shared" si="24"/>
        <v>5.1517758019190424E-2</v>
      </c>
      <c r="AM136" s="259">
        <f t="shared" si="25"/>
        <v>0</v>
      </c>
    </row>
    <row r="137" spans="1:40" s="13" customFormat="1" ht="12" customHeight="1" x14ac:dyDescent="0.2">
      <c r="B137" s="174">
        <v>40346</v>
      </c>
      <c r="C137" s="135">
        <v>14.6</v>
      </c>
      <c r="D137" s="136">
        <v>82.6</v>
      </c>
      <c r="E137" s="245">
        <f t="shared" si="29"/>
        <v>2.540263855236846E-6</v>
      </c>
      <c r="F137" s="247">
        <f>0.009*2.71828^(-(0.69315/30.07)*(B137-事故日Cb)/365.25)</f>
        <v>5.158851921398467E-3</v>
      </c>
      <c r="G137" s="246">
        <f t="shared" si="30"/>
        <v>9.3050104411274547E-3</v>
      </c>
      <c r="H137" s="139">
        <v>0.23</v>
      </c>
      <c r="I137" s="164">
        <f t="shared" si="31"/>
        <v>0.12037037037037036</v>
      </c>
      <c r="J137" s="141"/>
      <c r="K137" s="142"/>
      <c r="L137" s="176"/>
      <c r="M137" s="174">
        <v>40343</v>
      </c>
      <c r="N137" s="135">
        <v>8.8000000000000007</v>
      </c>
      <c r="O137" s="136">
        <v>82.8</v>
      </c>
      <c r="P137" s="245">
        <f t="shared" si="33"/>
        <v>2.3974468347842182E-6</v>
      </c>
      <c r="Q137" s="144">
        <v>0.03</v>
      </c>
      <c r="R137" s="138"/>
      <c r="S137" s="138"/>
      <c r="T137" s="140"/>
      <c r="U137" s="141"/>
      <c r="V137" s="142"/>
      <c r="W137" s="145"/>
      <c r="X137" s="174">
        <v>40379</v>
      </c>
      <c r="Y137" s="135">
        <v>8.3000000000000007</v>
      </c>
      <c r="Z137" s="136">
        <v>100.4</v>
      </c>
      <c r="AA137" s="245">
        <f t="shared" si="26"/>
        <v>3.0441016915609379E-6</v>
      </c>
      <c r="AB137" s="247">
        <f>0.011*2.71828^(-(0.69315/30.07)*(X137-事故日Cb)/365.25)</f>
        <v>6.2921454392572806E-3</v>
      </c>
      <c r="AC137" s="246">
        <f t="shared" si="27"/>
        <v>9.2847980361351855E-3</v>
      </c>
      <c r="AD137" s="139">
        <v>0.31</v>
      </c>
      <c r="AE137" s="164">
        <f t="shared" si="28"/>
        <v>0.12037037037037036</v>
      </c>
      <c r="AG137" s="256">
        <f t="shared" si="19"/>
        <v>0.57320576904427412</v>
      </c>
      <c r="AH137" s="257">
        <f t="shared" si="20"/>
        <v>2.9885457120433479E-4</v>
      </c>
      <c r="AI137" s="73">
        <f t="shared" si="21"/>
        <v>1.0060926091133049E-58</v>
      </c>
      <c r="AJ137" s="74">
        <f t="shared" si="22"/>
        <v>49.999999223962554</v>
      </c>
      <c r="AK137" s="258">
        <f t="shared" si="23"/>
        <v>0.25738053250038501</v>
      </c>
      <c r="AL137" s="258">
        <f t="shared" si="24"/>
        <v>5.0247056382088311E-2</v>
      </c>
      <c r="AM137" s="259">
        <f t="shared" si="25"/>
        <v>0</v>
      </c>
    </row>
    <row r="138" spans="1:40" s="13" customFormat="1" ht="12" customHeight="1" x14ac:dyDescent="0.2">
      <c r="B138" s="173">
        <v>40611</v>
      </c>
      <c r="C138" s="147"/>
      <c r="D138" s="148"/>
      <c r="E138" s="148"/>
      <c r="F138" s="148"/>
      <c r="G138" s="148"/>
      <c r="H138" s="148"/>
      <c r="I138" s="162"/>
      <c r="J138" s="153"/>
      <c r="K138" s="154"/>
      <c r="L138" s="171"/>
      <c r="M138" s="173">
        <v>40611</v>
      </c>
      <c r="N138" s="147"/>
      <c r="O138" s="148"/>
      <c r="P138" s="148"/>
      <c r="Q138" s="149"/>
      <c r="R138" s="150"/>
      <c r="S138" s="150"/>
      <c r="T138" s="152"/>
      <c r="U138" s="153"/>
      <c r="V138" s="154"/>
      <c r="W138" s="156"/>
      <c r="X138" s="173">
        <v>40611</v>
      </c>
      <c r="Y138" s="147"/>
      <c r="Z138" s="148"/>
      <c r="AA138" s="148"/>
      <c r="AB138" s="148"/>
      <c r="AC138" s="148"/>
      <c r="AD138" s="151"/>
      <c r="AE138" s="162"/>
      <c r="AG138" s="256">
        <f t="shared" si="19"/>
        <v>0.56369899602207396</v>
      </c>
      <c r="AH138" s="257">
        <f t="shared" si="20"/>
        <v>2.3417462796115863E-4</v>
      </c>
      <c r="AI138" s="73">
        <f t="shared" si="21"/>
        <v>3.203856855407417E-60</v>
      </c>
      <c r="AJ138" s="74">
        <f t="shared" si="22"/>
        <v>49.99999920427183</v>
      </c>
      <c r="AK138" s="258">
        <f t="shared" si="23"/>
        <v>0.24709401030632078</v>
      </c>
      <c r="AL138" s="258">
        <f t="shared" si="24"/>
        <v>4.9377236367216519E-2</v>
      </c>
      <c r="AM138" s="259">
        <f t="shared" si="25"/>
        <v>0</v>
      </c>
    </row>
    <row r="139" spans="1:40" ht="12" customHeight="1" thickBot="1" x14ac:dyDescent="0.25">
      <c r="A139" s="110"/>
      <c r="B139" s="122">
        <v>40612</v>
      </c>
      <c r="C139" s="112"/>
      <c r="D139" s="113"/>
      <c r="E139" s="113"/>
      <c r="F139" s="113"/>
      <c r="G139" s="113"/>
      <c r="H139" s="113"/>
      <c r="I139" s="116"/>
      <c r="J139" s="117"/>
      <c r="K139" s="118"/>
      <c r="L139" s="123"/>
      <c r="M139" s="122">
        <v>40612</v>
      </c>
      <c r="N139" s="112"/>
      <c r="O139" s="113"/>
      <c r="P139" s="113"/>
      <c r="Q139" s="114"/>
      <c r="R139" s="120"/>
      <c r="S139" s="120"/>
      <c r="T139" s="124"/>
      <c r="U139" s="117"/>
      <c r="V139" s="118"/>
      <c r="W139" s="125"/>
      <c r="X139" s="122">
        <v>40612</v>
      </c>
      <c r="Y139" s="112"/>
      <c r="Z139" s="113"/>
      <c r="AA139" s="113"/>
      <c r="AB139" s="113"/>
      <c r="AC139" s="113"/>
      <c r="AD139" s="115"/>
      <c r="AE139" s="116"/>
      <c r="AF139" s="110"/>
      <c r="AG139" s="265"/>
      <c r="AH139" s="266"/>
      <c r="AI139" s="126"/>
      <c r="AJ139" s="121"/>
      <c r="AK139" s="267"/>
      <c r="AL139" s="267"/>
      <c r="AM139" s="268"/>
      <c r="AN139" s="110"/>
    </row>
    <row r="140" spans="1:40" ht="12" customHeight="1" x14ac:dyDescent="0.2">
      <c r="A140" s="13"/>
      <c r="B140" s="269">
        <v>40613</v>
      </c>
      <c r="C140" s="135"/>
      <c r="D140" s="136"/>
      <c r="E140" s="136"/>
      <c r="F140" s="136"/>
      <c r="G140" s="136"/>
      <c r="H140" s="139"/>
      <c r="I140" s="164"/>
      <c r="J140" s="141"/>
      <c r="K140" s="142"/>
      <c r="L140" s="176"/>
      <c r="M140" s="269">
        <v>40613</v>
      </c>
      <c r="N140" s="135"/>
      <c r="O140" s="136"/>
      <c r="P140" s="144"/>
      <c r="Q140" s="144"/>
      <c r="R140" s="138"/>
      <c r="S140" s="138"/>
      <c r="T140" s="140"/>
      <c r="U140" s="141"/>
      <c r="V140" s="142"/>
      <c r="W140" s="145"/>
      <c r="X140" s="269">
        <v>40613</v>
      </c>
      <c r="Y140" s="135"/>
      <c r="Z140" s="136"/>
      <c r="AA140" s="144"/>
      <c r="AB140" s="144"/>
      <c r="AC140" s="139"/>
      <c r="AD140" s="139"/>
      <c r="AE140" s="164"/>
      <c r="AF140" s="13"/>
      <c r="AG140" s="261">
        <f t="shared" ref="AG140:AG147" si="35">1*2.71828^(-(0.69315/30.07)*(B140-事故日Fk)/365.25)</f>
        <v>1</v>
      </c>
      <c r="AH140" s="262">
        <f t="shared" ref="AH140:AH147" si="36">1*2.71828^(-(0.69315/2.062)*(B140-事故日Fk)/365.25)</f>
        <v>1</v>
      </c>
      <c r="AI140" s="109">
        <f t="shared" ref="AI140:AI147" si="37">10*2.71828^(-(0.69315/0.1459)*(B140-調査開始日)/365.25)</f>
        <v>3.121585653749814E-60</v>
      </c>
      <c r="AJ140" s="108">
        <f t="shared" ref="AJ140:AJ147" si="38">50*2.71828^(-(0.69315/(1.277*10^9))*(B140-調査開始日)/365.25)</f>
        <v>49.999999204123228</v>
      </c>
      <c r="AK140" s="263">
        <f t="shared" ref="AK140:AK147" si="39">1*2.71828^(-(0.69315/12.33)*(B140-事故日Fk)/365.25)</f>
        <v>1</v>
      </c>
      <c r="AL140" s="263">
        <f t="shared" ref="AL140:AL147" si="40">0.1*2.71828^(-(0.69315/28.799)*(B140-調査開始日)/365.25)</f>
        <v>4.9370729267536148E-2</v>
      </c>
      <c r="AM140" s="264">
        <f t="shared" ref="AM140:AM147" si="41">0.1*2.71828^(-(0.69315/0.022177)*(B140-事故日Fk)/365.25)</f>
        <v>0.1</v>
      </c>
    </row>
    <row r="141" spans="1:40" ht="12" customHeight="1" x14ac:dyDescent="0.2">
      <c r="B141" s="174">
        <v>40695</v>
      </c>
      <c r="C141" s="135"/>
      <c r="D141" s="136"/>
      <c r="E141" s="136"/>
      <c r="F141" s="136"/>
      <c r="G141" s="136"/>
      <c r="H141" s="139"/>
      <c r="I141" s="175"/>
      <c r="J141" s="141"/>
      <c r="K141" s="142"/>
      <c r="L141" s="176"/>
      <c r="M141" s="174"/>
      <c r="N141" s="135"/>
      <c r="O141" s="136"/>
      <c r="P141" s="136"/>
      <c r="Q141" s="136"/>
      <c r="R141" s="136"/>
      <c r="S141" s="138"/>
      <c r="T141" s="140"/>
      <c r="U141" s="141"/>
      <c r="V141" s="142"/>
      <c r="W141" s="145"/>
      <c r="X141" s="174">
        <v>40695</v>
      </c>
      <c r="Y141" s="135"/>
      <c r="Z141" s="136"/>
      <c r="AA141" s="136"/>
      <c r="AB141" s="136"/>
      <c r="AC141" s="136"/>
      <c r="AD141" s="139"/>
      <c r="AE141" s="175"/>
      <c r="AF141" s="13"/>
      <c r="AG141" s="256">
        <f t="shared" si="35"/>
        <v>0.99483828685902442</v>
      </c>
      <c r="AH141" s="257">
        <f t="shared" si="36"/>
        <v>0.92730955519004921</v>
      </c>
      <c r="AI141" s="73">
        <f t="shared" si="37"/>
        <v>1.0743937908808143E-60</v>
      </c>
      <c r="AJ141" s="74">
        <f t="shared" si="38"/>
        <v>49.999999198030245</v>
      </c>
      <c r="AK141" s="258">
        <f t="shared" si="39"/>
        <v>0.9874584910248928</v>
      </c>
      <c r="AL141" s="258">
        <f t="shared" si="40"/>
        <v>4.9104675216296204E-2</v>
      </c>
      <c r="AM141" s="259">
        <f t="shared" si="41"/>
        <v>8.9656473368626114E-5</v>
      </c>
    </row>
    <row r="142" spans="1:40" ht="12" customHeight="1" x14ac:dyDescent="0.2">
      <c r="B142" s="173">
        <v>41253</v>
      </c>
      <c r="C142" s="177">
        <v>9.1</v>
      </c>
      <c r="D142" s="148">
        <v>92</v>
      </c>
      <c r="E142" s="245">
        <f t="shared" ref="E142:E147" si="42">0.0085*2.71828^(-(0.69315/2.062)*(B142-事故日Fk)/365.25)</f>
        <v>4.716414635228784E-3</v>
      </c>
      <c r="F142" s="149">
        <v>0.3</v>
      </c>
      <c r="G142" s="246">
        <f t="shared" ref="G142:G147" si="43">ND代替値*2.71828^(-(0.69315/28.799)*(B142-調査開始日)/365.25)</f>
        <v>8.7651646731877701E-3</v>
      </c>
      <c r="H142" s="151">
        <v>0.41</v>
      </c>
      <c r="I142" s="162">
        <f t="shared" ref="I142:I147" si="44">ND代替値</f>
        <v>0.12037037037037036</v>
      </c>
      <c r="J142" s="153"/>
      <c r="K142" s="154"/>
      <c r="L142" s="171"/>
      <c r="M142" s="173">
        <v>41253</v>
      </c>
      <c r="N142" s="147">
        <v>9</v>
      </c>
      <c r="O142" s="148">
        <v>88.8</v>
      </c>
      <c r="P142" s="149">
        <v>0.37</v>
      </c>
      <c r="Q142" s="149">
        <v>0.74</v>
      </c>
      <c r="R142" s="150"/>
      <c r="S142" s="150"/>
      <c r="T142" s="152"/>
      <c r="U142" s="153"/>
      <c r="V142" s="154"/>
      <c r="W142" s="156"/>
      <c r="X142" s="173">
        <v>41253</v>
      </c>
      <c r="Y142" s="147"/>
      <c r="Z142" s="148"/>
      <c r="AA142" s="148"/>
      <c r="AB142" s="148"/>
      <c r="AC142" s="148"/>
      <c r="AD142" s="151"/>
      <c r="AE142" s="167"/>
      <c r="AG142" s="256">
        <f t="shared" si="35"/>
        <v>0.96041396439623639</v>
      </c>
      <c r="AH142" s="257">
        <f t="shared" si="36"/>
        <v>0.55487231002691573</v>
      </c>
      <c r="AI142" s="73">
        <f t="shared" si="37"/>
        <v>7.5694427611590807E-64</v>
      </c>
      <c r="AJ142" s="74">
        <f t="shared" si="38"/>
        <v>49.999999156568272</v>
      </c>
      <c r="AK142" s="258">
        <f t="shared" si="39"/>
        <v>0.90619212091595192</v>
      </c>
      <c r="AL142" s="258">
        <f t="shared" si="40"/>
        <v>4.733188923521401E-2</v>
      </c>
      <c r="AM142" s="259">
        <f t="shared" si="41"/>
        <v>1.6416154455917028E-25</v>
      </c>
    </row>
    <row r="143" spans="1:40" ht="12" customHeight="1" x14ac:dyDescent="0.2">
      <c r="B143" s="173">
        <v>41444</v>
      </c>
      <c r="C143" s="147">
        <v>7.6</v>
      </c>
      <c r="D143" s="148">
        <v>92.4</v>
      </c>
      <c r="E143" s="245">
        <f t="shared" si="42"/>
        <v>3.9561212388638705E-3</v>
      </c>
      <c r="F143" s="149">
        <v>0.1</v>
      </c>
      <c r="G143" s="246">
        <f t="shared" si="43"/>
        <v>8.6555364007946407E-3</v>
      </c>
      <c r="H143" s="151">
        <v>0.27</v>
      </c>
      <c r="I143" s="162">
        <f t="shared" si="44"/>
        <v>0.12037037037037036</v>
      </c>
      <c r="J143" s="153"/>
      <c r="K143" s="154"/>
      <c r="L143" s="171"/>
      <c r="M143" s="173">
        <v>41444</v>
      </c>
      <c r="N143" s="147">
        <v>9.6</v>
      </c>
      <c r="O143" s="148">
        <v>92.4</v>
      </c>
      <c r="P143" s="149">
        <v>0.1</v>
      </c>
      <c r="Q143" s="149">
        <v>0.21</v>
      </c>
      <c r="R143" s="150"/>
      <c r="S143" s="150"/>
      <c r="T143" s="152"/>
      <c r="U143" s="153"/>
      <c r="V143" s="154"/>
      <c r="W143" s="156"/>
      <c r="X143" s="173">
        <v>41483</v>
      </c>
      <c r="Y143" s="147">
        <v>9</v>
      </c>
      <c r="Z143" s="148">
        <v>99.7</v>
      </c>
      <c r="AA143" s="149">
        <v>0.25</v>
      </c>
      <c r="AB143" s="149">
        <v>0.61</v>
      </c>
      <c r="AC143" s="246">
        <f>ND代替値*2.71828^(-(0.69315/28.799)*(X143-調査開始日)/365.25)</f>
        <v>8.6333207029413439E-3</v>
      </c>
      <c r="AD143" s="151">
        <v>0.26</v>
      </c>
      <c r="AE143" s="162">
        <f>ND代替値</f>
        <v>0.12037037037037036</v>
      </c>
      <c r="AG143" s="256">
        <f t="shared" si="35"/>
        <v>0.94890648463861604</v>
      </c>
      <c r="AH143" s="257">
        <f t="shared" si="36"/>
        <v>0.46542602810163175</v>
      </c>
      <c r="AI143" s="73">
        <f t="shared" si="37"/>
        <v>6.3113087900890713E-65</v>
      </c>
      <c r="AJ143" s="74">
        <f t="shared" si="38"/>
        <v>49.99999914237609</v>
      </c>
      <c r="AK143" s="258">
        <f t="shared" si="39"/>
        <v>0.87994030287912306</v>
      </c>
      <c r="AL143" s="258">
        <f t="shared" si="40"/>
        <v>4.673989656429111E-2</v>
      </c>
      <c r="AM143" s="259">
        <f t="shared" si="41"/>
        <v>1.3092316539270262E-32</v>
      </c>
    </row>
    <row r="144" spans="1:40" ht="12" customHeight="1" x14ac:dyDescent="0.2">
      <c r="B144" s="173">
        <v>41788</v>
      </c>
      <c r="C144" s="147">
        <v>5.9</v>
      </c>
      <c r="D144" s="148">
        <v>90.6</v>
      </c>
      <c r="E144" s="245">
        <f t="shared" si="42"/>
        <v>2.8825268295876059E-3</v>
      </c>
      <c r="F144" s="132">
        <v>6.8000000000000005E-2</v>
      </c>
      <c r="G144" s="246">
        <f t="shared" si="43"/>
        <v>8.4615377605384481E-3</v>
      </c>
      <c r="H144" s="151">
        <v>0.32</v>
      </c>
      <c r="I144" s="162">
        <f t="shared" si="44"/>
        <v>0.12037037037037036</v>
      </c>
      <c r="J144" s="153"/>
      <c r="K144" s="154"/>
      <c r="L144" s="171"/>
      <c r="M144" s="173">
        <v>41771</v>
      </c>
      <c r="N144" s="147">
        <v>3.7</v>
      </c>
      <c r="O144" s="148">
        <v>92.9</v>
      </c>
      <c r="P144" s="245">
        <f>0.008*2.71828^(-(0.69315/2.062)*(M144-事故日Fk)/365.25)</f>
        <v>2.7557466717649253E-3</v>
      </c>
      <c r="Q144" s="132">
        <v>0.06</v>
      </c>
      <c r="R144" s="150"/>
      <c r="S144" s="150"/>
      <c r="T144" s="152"/>
      <c r="U144" s="153"/>
      <c r="V144" s="154"/>
      <c r="W144" s="156"/>
      <c r="X144" s="173">
        <v>41835</v>
      </c>
      <c r="Y144" s="147">
        <v>7.5</v>
      </c>
      <c r="Z144" s="148">
        <v>95.1</v>
      </c>
      <c r="AA144" s="132">
        <v>4.9000000000000002E-2</v>
      </c>
      <c r="AB144" s="149">
        <v>0.13800000000000001</v>
      </c>
      <c r="AC144" s="246">
        <f>ND代替値*2.71828^(-(0.69315/28.799)*(X144-調査開始日)/365.25)</f>
        <v>8.4353719554673464E-3</v>
      </c>
      <c r="AD144" s="151">
        <v>0.28000000000000003</v>
      </c>
      <c r="AE144" s="162">
        <f>ND代替値</f>
        <v>0.12037037037037036</v>
      </c>
      <c r="AG144" s="256">
        <f t="shared" si="35"/>
        <v>0.92852764830004286</v>
      </c>
      <c r="AH144" s="257">
        <f t="shared" si="36"/>
        <v>0.33912080348089479</v>
      </c>
      <c r="AI144" s="73">
        <f t="shared" si="37"/>
        <v>7.1926608074639982E-67</v>
      </c>
      <c r="AJ144" s="74">
        <f t="shared" si="38"/>
        <v>49.999999116815289</v>
      </c>
      <c r="AK144" s="258">
        <f t="shared" si="39"/>
        <v>0.83456297033611948</v>
      </c>
      <c r="AL144" s="258">
        <f t="shared" si="40"/>
        <v>4.5692303906907664E-2</v>
      </c>
      <c r="AM144" s="259">
        <f t="shared" si="41"/>
        <v>2.1514184581064244E-45</v>
      </c>
    </row>
    <row r="145" spans="2:39" ht="12" customHeight="1" x14ac:dyDescent="0.2">
      <c r="B145" s="173">
        <v>42121</v>
      </c>
      <c r="C145" s="147">
        <v>7</v>
      </c>
      <c r="D145" s="148">
        <v>80.599999999999994</v>
      </c>
      <c r="E145" s="245">
        <f t="shared" si="42"/>
        <v>2.1216503139656487E-3</v>
      </c>
      <c r="F145" s="247">
        <f>0.009*2.71828^(-(0.69315/30.07)*(B145-事故日Fk)/365.25)</f>
        <v>8.1829570199305705E-3</v>
      </c>
      <c r="G145" s="246">
        <f t="shared" si="43"/>
        <v>8.2778853631217536E-3</v>
      </c>
      <c r="H145" s="151">
        <v>0.28999999999999998</v>
      </c>
      <c r="I145" s="162">
        <f t="shared" si="44"/>
        <v>0.12037037037037036</v>
      </c>
      <c r="J145" s="153"/>
      <c r="K145" s="154"/>
      <c r="L145" s="171"/>
      <c r="M145" s="173">
        <v>42110</v>
      </c>
      <c r="N145" s="147">
        <v>6.2</v>
      </c>
      <c r="O145" s="148">
        <v>73.2</v>
      </c>
      <c r="P145" s="245">
        <f>0.008*2.71828^(-(0.69315/2.062)*(M145-事故日Fk)/365.25)</f>
        <v>2.0171655808426643E-3</v>
      </c>
      <c r="Q145" s="132">
        <v>0.09</v>
      </c>
      <c r="R145" s="150"/>
      <c r="S145" s="150"/>
      <c r="T145" s="152"/>
      <c r="U145" s="153"/>
      <c r="V145" s="154"/>
      <c r="W145" s="156"/>
      <c r="X145" s="173">
        <v>42201</v>
      </c>
      <c r="Y145" s="147">
        <v>6.9</v>
      </c>
      <c r="Z145" s="148">
        <v>100.3</v>
      </c>
      <c r="AA145" s="245">
        <f>0.011*2.71828^(-(0.69315/2.062)*(X145-事故日Fk)/365.25)</f>
        <v>2.5507723283308453E-3</v>
      </c>
      <c r="AB145" s="149">
        <v>5.7000000000000002E-2</v>
      </c>
      <c r="AC145" s="246">
        <f>ND代替値*2.71828^(-(0.69315/28.799)*(X145-調査開始日)/365.25)</f>
        <v>8.2343617973042807E-3</v>
      </c>
      <c r="AD145" s="151">
        <v>0.2</v>
      </c>
      <c r="AE145" s="162">
        <f>ND代替値</f>
        <v>0.12037037037037036</v>
      </c>
      <c r="AF145" s="65"/>
      <c r="AG145" s="256">
        <f t="shared" si="35"/>
        <v>0.90921744665895232</v>
      </c>
      <c r="AH145" s="257">
        <f t="shared" si="36"/>
        <v>0.24960591929007628</v>
      </c>
      <c r="AI145" s="73">
        <f t="shared" si="37"/>
        <v>9.4579691936639017E-69</v>
      </c>
      <c r="AJ145" s="74">
        <f t="shared" si="38"/>
        <v>49.999999092071853</v>
      </c>
      <c r="AK145" s="258">
        <f t="shared" si="39"/>
        <v>0.79286690243880276</v>
      </c>
      <c r="AL145" s="258">
        <f t="shared" si="40"/>
        <v>4.4700580960857515E-2</v>
      </c>
      <c r="AM145" s="259">
        <f t="shared" si="41"/>
        <v>9.0621929757251154E-58</v>
      </c>
    </row>
    <row r="146" spans="2:39" ht="12" customHeight="1" x14ac:dyDescent="0.2">
      <c r="B146" s="173">
        <v>42486</v>
      </c>
      <c r="C146" s="147">
        <v>8.6</v>
      </c>
      <c r="D146" s="148">
        <v>87.2</v>
      </c>
      <c r="E146" s="245">
        <f t="shared" si="42"/>
        <v>1.5162957100703382E-3</v>
      </c>
      <c r="F146" s="132">
        <v>5.5E-2</v>
      </c>
      <c r="G146" s="246">
        <f t="shared" si="43"/>
        <v>8.0811605205847199E-3</v>
      </c>
      <c r="H146" s="151">
        <v>0.27</v>
      </c>
      <c r="I146" s="162">
        <f t="shared" si="44"/>
        <v>0.12037037037037036</v>
      </c>
      <c r="J146" s="153"/>
      <c r="K146" s="154"/>
      <c r="L146" s="171"/>
      <c r="M146" s="173">
        <v>42479</v>
      </c>
      <c r="N146" s="147">
        <v>9.4</v>
      </c>
      <c r="O146" s="148">
        <v>69.900000000000006</v>
      </c>
      <c r="P146" s="132">
        <v>7.1999999999999995E-2</v>
      </c>
      <c r="Q146" s="132">
        <v>0.25</v>
      </c>
      <c r="R146" s="150"/>
      <c r="S146" s="150"/>
      <c r="T146" s="152"/>
      <c r="U146" s="153"/>
      <c r="V146" s="154"/>
      <c r="W146" s="156"/>
      <c r="X146" s="173">
        <v>42571</v>
      </c>
      <c r="Y146" s="147">
        <v>11.2</v>
      </c>
      <c r="Z146" s="148">
        <v>93.9</v>
      </c>
      <c r="AA146" s="132">
        <v>2.7E-2</v>
      </c>
      <c r="AB146" s="149">
        <v>0.08</v>
      </c>
      <c r="AC146" s="246">
        <f>ND代替値*2.71828^(-(0.69315/28.799)*(X146-調査開始日)/365.25)</f>
        <v>8.036023150360623E-3</v>
      </c>
      <c r="AD146" s="151">
        <v>0.25</v>
      </c>
      <c r="AE146" s="162">
        <f>ND代替値</f>
        <v>0.12037037037037036</v>
      </c>
      <c r="AF146" s="65"/>
      <c r="AG146" s="256">
        <f t="shared" si="35"/>
        <v>0.8885126279654576</v>
      </c>
      <c r="AH146" s="257">
        <f t="shared" si="36"/>
        <v>0.17838773059651036</v>
      </c>
      <c r="AI146" s="73">
        <f t="shared" si="37"/>
        <v>8.2023943007471985E-71</v>
      </c>
      <c r="AJ146" s="74">
        <f t="shared" si="38"/>
        <v>49.999999064950664</v>
      </c>
      <c r="AK146" s="258">
        <f t="shared" si="39"/>
        <v>0.74955323164496257</v>
      </c>
      <c r="AL146" s="258">
        <f t="shared" si="40"/>
        <v>4.3638266811157539E-2</v>
      </c>
      <c r="AM146" s="259">
        <f t="shared" si="41"/>
        <v>2.4689101963486934E-71</v>
      </c>
    </row>
    <row r="147" spans="2:39" ht="12" customHeight="1" x14ac:dyDescent="0.2">
      <c r="B147" s="173">
        <v>42851</v>
      </c>
      <c r="C147" s="147">
        <v>11.6</v>
      </c>
      <c r="D147" s="148">
        <v>79.2</v>
      </c>
      <c r="E147" s="245">
        <f t="shared" si="42"/>
        <v>1.0836624043291504E-3</v>
      </c>
      <c r="F147" s="247">
        <f>0.009*2.71828^(-(0.69315/30.07)*(B147-事故日Fk)/365.25)</f>
        <v>7.8145137190178352E-3</v>
      </c>
      <c r="G147" s="246">
        <f t="shared" si="43"/>
        <v>7.8891108652450869E-3</v>
      </c>
      <c r="H147" s="151">
        <v>0.32</v>
      </c>
      <c r="I147" s="162">
        <f t="shared" si="44"/>
        <v>0.12037037037037036</v>
      </c>
      <c r="J147" s="153"/>
      <c r="K147" s="154"/>
      <c r="L147" s="171"/>
      <c r="M147" s="173">
        <v>42850</v>
      </c>
      <c r="N147" s="147">
        <v>11.2</v>
      </c>
      <c r="O147" s="148">
        <v>74.3</v>
      </c>
      <c r="P147" s="245">
        <f>0.008*2.71828^(-(0.69315/2.062)*(M147-事故日Fk)/365.25)</f>
        <v>1.020856659484457E-3</v>
      </c>
      <c r="Q147" s="149">
        <v>0.15</v>
      </c>
      <c r="R147" s="150"/>
      <c r="S147" s="150"/>
      <c r="T147" s="152"/>
      <c r="U147" s="153"/>
      <c r="V147" s="154"/>
      <c r="W147" s="156"/>
      <c r="X147" s="173">
        <v>42926</v>
      </c>
      <c r="Y147" s="147">
        <v>9.5</v>
      </c>
      <c r="Z147" s="148">
        <v>83.8</v>
      </c>
      <c r="AA147" s="245">
        <f>0.011*2.71828^(-(0.69315/2.062)*(X147-事故日Fk)/365.25)</f>
        <v>1.3088515431728723E-3</v>
      </c>
      <c r="AB147" s="149">
        <v>2.9000000000000001E-2</v>
      </c>
      <c r="AC147" s="246">
        <f>ND代替値*2.71828^(-(0.69315/28.799)*(X147-調査開始日)/365.25)</f>
        <v>7.8502174677747786E-3</v>
      </c>
      <c r="AD147" s="151">
        <v>0.18</v>
      </c>
      <c r="AE147" s="162">
        <f>ND代替値</f>
        <v>0.12037037037037036</v>
      </c>
      <c r="AF147" s="65"/>
      <c r="AG147" s="256">
        <f t="shared" si="35"/>
        <v>0.8682793021130929</v>
      </c>
      <c r="AH147" s="257">
        <f t="shared" si="36"/>
        <v>0.12748969462695886</v>
      </c>
      <c r="AI147" s="73">
        <f t="shared" si="37"/>
        <v>7.1135008887531647E-73</v>
      </c>
      <c r="AJ147" s="74">
        <f t="shared" si="38"/>
        <v>49.999999037829483</v>
      </c>
      <c r="AK147" s="258">
        <f t="shared" si="39"/>
        <v>0.70860575128216008</v>
      </c>
      <c r="AL147" s="258">
        <f t="shared" si="40"/>
        <v>4.2601198672323509E-2</v>
      </c>
      <c r="AM147" s="259">
        <f t="shared" si="41"/>
        <v>6.7263162172363781E-85</v>
      </c>
    </row>
    <row r="148" spans="2:39" ht="12" customHeight="1" x14ac:dyDescent="0.2">
      <c r="B148" s="173"/>
      <c r="C148" s="147"/>
      <c r="D148" s="148"/>
      <c r="E148" s="148"/>
      <c r="F148" s="150"/>
      <c r="G148" s="166"/>
      <c r="H148" s="151"/>
      <c r="I148" s="167"/>
      <c r="J148" s="153"/>
      <c r="K148" s="154"/>
      <c r="L148" s="171"/>
      <c r="M148" s="173"/>
      <c r="N148" s="147"/>
      <c r="O148" s="148"/>
      <c r="P148" s="148"/>
      <c r="Q148" s="150"/>
      <c r="R148" s="150"/>
      <c r="S148" s="150"/>
      <c r="T148" s="152"/>
      <c r="U148" s="153"/>
      <c r="V148" s="154"/>
      <c r="W148" s="156"/>
      <c r="X148" s="173"/>
      <c r="Y148" s="147"/>
      <c r="Z148" s="148"/>
      <c r="AA148" s="148"/>
      <c r="AB148" s="149"/>
      <c r="AC148" s="166"/>
      <c r="AD148" s="151"/>
      <c r="AE148" s="167"/>
      <c r="AF148" s="65"/>
      <c r="AG148" s="74"/>
      <c r="AH148" s="62"/>
      <c r="AI148" s="62"/>
      <c r="AJ148" s="73"/>
      <c r="AK148" s="73"/>
      <c r="AL148" s="73"/>
      <c r="AM148" s="73"/>
    </row>
    <row r="149" spans="2:39" ht="12" customHeight="1" x14ac:dyDescent="0.2">
      <c r="B149" s="173"/>
      <c r="C149" s="147"/>
      <c r="D149" s="148"/>
      <c r="E149" s="148"/>
      <c r="F149" s="150"/>
      <c r="G149" s="166"/>
      <c r="H149" s="151"/>
      <c r="I149" s="167"/>
      <c r="J149" s="153"/>
      <c r="K149" s="154"/>
      <c r="L149" s="171"/>
      <c r="M149" s="173"/>
      <c r="N149" s="147"/>
      <c r="O149" s="148"/>
      <c r="P149" s="148"/>
      <c r="Q149" s="150"/>
      <c r="R149" s="150"/>
      <c r="S149" s="150"/>
      <c r="T149" s="152"/>
      <c r="U149" s="153"/>
      <c r="V149" s="154"/>
      <c r="W149" s="156"/>
      <c r="X149" s="173"/>
      <c r="Y149" s="147"/>
      <c r="Z149" s="148"/>
      <c r="AA149" s="148"/>
      <c r="AB149" s="149"/>
      <c r="AC149" s="166"/>
      <c r="AD149" s="151"/>
      <c r="AE149" s="167"/>
      <c r="AF149" s="65"/>
      <c r="AG149" s="74"/>
      <c r="AH149" s="62"/>
      <c r="AI149" s="62"/>
      <c r="AJ149" s="73"/>
      <c r="AK149" s="73"/>
      <c r="AL149" s="73"/>
      <c r="AM149" s="73"/>
    </row>
    <row r="150" spans="2:39" ht="12" customHeight="1" x14ac:dyDescent="0.2">
      <c r="B150" s="173"/>
      <c r="C150" s="147"/>
      <c r="D150" s="148"/>
      <c r="E150" s="148"/>
      <c r="F150" s="150"/>
      <c r="G150" s="166"/>
      <c r="H150" s="151"/>
      <c r="I150" s="167"/>
      <c r="J150" s="153"/>
      <c r="K150" s="154"/>
      <c r="L150" s="171"/>
      <c r="M150" s="173"/>
      <c r="N150" s="147"/>
      <c r="O150" s="148"/>
      <c r="P150" s="148"/>
      <c r="Q150" s="150"/>
      <c r="R150" s="150"/>
      <c r="S150" s="150"/>
      <c r="T150" s="152"/>
      <c r="U150" s="153"/>
      <c r="V150" s="154"/>
      <c r="W150" s="156"/>
      <c r="X150" s="173"/>
      <c r="Y150" s="147"/>
      <c r="Z150" s="148"/>
      <c r="AA150" s="148"/>
      <c r="AB150" s="149"/>
      <c r="AC150" s="166"/>
      <c r="AD150" s="151"/>
      <c r="AE150" s="167"/>
      <c r="AF150" s="65"/>
      <c r="AG150" s="74"/>
      <c r="AH150" s="62"/>
      <c r="AI150" s="62"/>
      <c r="AJ150" s="73"/>
      <c r="AK150" s="73"/>
      <c r="AL150" s="73"/>
      <c r="AM150" s="73"/>
    </row>
    <row r="151" spans="2:39" ht="12" customHeight="1" x14ac:dyDescent="0.2">
      <c r="B151" s="173"/>
      <c r="C151" s="147"/>
      <c r="D151" s="148"/>
      <c r="E151" s="148"/>
      <c r="F151" s="150"/>
      <c r="G151" s="166"/>
      <c r="H151" s="151"/>
      <c r="I151" s="167"/>
      <c r="J151" s="153"/>
      <c r="K151" s="154"/>
      <c r="L151" s="171"/>
      <c r="M151" s="173"/>
      <c r="N151" s="147"/>
      <c r="O151" s="148"/>
      <c r="P151" s="148"/>
      <c r="Q151" s="150"/>
      <c r="R151" s="150"/>
      <c r="S151" s="150"/>
      <c r="T151" s="152"/>
      <c r="U151" s="153"/>
      <c r="V151" s="154"/>
      <c r="W151" s="156"/>
      <c r="X151" s="173"/>
      <c r="Y151" s="147"/>
      <c r="Z151" s="148"/>
      <c r="AA151" s="148"/>
      <c r="AB151" s="149"/>
      <c r="AC151" s="166"/>
      <c r="AD151" s="151"/>
      <c r="AE151" s="167"/>
      <c r="AF151" s="65"/>
      <c r="AG151" s="74"/>
      <c r="AH151" s="62"/>
      <c r="AI151" s="62"/>
      <c r="AJ151" s="73"/>
      <c r="AK151" s="73"/>
      <c r="AL151" s="73"/>
      <c r="AM151" s="73"/>
    </row>
    <row r="152" spans="2:39" ht="12" customHeight="1" x14ac:dyDescent="0.2">
      <c r="B152" s="173"/>
      <c r="C152" s="147"/>
      <c r="D152" s="148"/>
      <c r="E152" s="148"/>
      <c r="F152" s="150"/>
      <c r="G152" s="166"/>
      <c r="H152" s="151"/>
      <c r="I152" s="167"/>
      <c r="J152" s="153"/>
      <c r="K152" s="154"/>
      <c r="L152" s="171"/>
      <c r="M152" s="173"/>
      <c r="N152" s="147"/>
      <c r="O152" s="148"/>
      <c r="P152" s="148"/>
      <c r="Q152" s="150"/>
      <c r="R152" s="150"/>
      <c r="S152" s="150"/>
      <c r="T152" s="152"/>
      <c r="U152" s="153"/>
      <c r="V152" s="154"/>
      <c r="W152" s="156"/>
      <c r="X152" s="173"/>
      <c r="Y152" s="147"/>
      <c r="Z152" s="148"/>
      <c r="AA152" s="148"/>
      <c r="AB152" s="149"/>
      <c r="AC152" s="166"/>
      <c r="AD152" s="151"/>
      <c r="AE152" s="167"/>
      <c r="AF152" s="65"/>
      <c r="AG152" s="74"/>
      <c r="AH152" s="62"/>
      <c r="AI152" s="62"/>
      <c r="AJ152" s="73"/>
      <c r="AK152" s="73"/>
      <c r="AL152" s="73"/>
      <c r="AM152" s="73"/>
    </row>
    <row r="153" spans="2:39" ht="12" customHeight="1" x14ac:dyDescent="0.2">
      <c r="B153" s="173"/>
      <c r="C153" s="147"/>
      <c r="D153" s="148"/>
      <c r="E153" s="148"/>
      <c r="F153" s="150"/>
      <c r="G153" s="166"/>
      <c r="H153" s="151"/>
      <c r="I153" s="167"/>
      <c r="J153" s="153"/>
      <c r="K153" s="154"/>
      <c r="L153" s="171"/>
      <c r="M153" s="173"/>
      <c r="N153" s="147"/>
      <c r="O153" s="148"/>
      <c r="P153" s="148"/>
      <c r="Q153" s="150"/>
      <c r="R153" s="150"/>
      <c r="S153" s="150"/>
      <c r="T153" s="152"/>
      <c r="U153" s="153"/>
      <c r="V153" s="154"/>
      <c r="W153" s="156"/>
      <c r="X153" s="173"/>
      <c r="Y153" s="147"/>
      <c r="Z153" s="148"/>
      <c r="AA153" s="148"/>
      <c r="AB153" s="149"/>
      <c r="AC153" s="166"/>
      <c r="AD153" s="151"/>
      <c r="AE153" s="167"/>
      <c r="AF153" s="65"/>
      <c r="AG153" s="74"/>
      <c r="AH153" s="62"/>
      <c r="AI153" s="62"/>
      <c r="AJ153" s="73"/>
      <c r="AK153" s="73"/>
      <c r="AL153" s="73"/>
      <c r="AM153" s="73"/>
    </row>
    <row r="154" spans="2:39" ht="12" customHeight="1" x14ac:dyDescent="0.2">
      <c r="B154" s="173"/>
      <c r="C154" s="147"/>
      <c r="D154" s="148"/>
      <c r="E154" s="148"/>
      <c r="F154" s="150"/>
      <c r="G154" s="166"/>
      <c r="H154" s="151"/>
      <c r="I154" s="167"/>
      <c r="J154" s="153"/>
      <c r="K154" s="154"/>
      <c r="L154" s="171"/>
      <c r="M154" s="173"/>
      <c r="N154" s="147"/>
      <c r="O154" s="148"/>
      <c r="P154" s="148"/>
      <c r="Q154" s="150"/>
      <c r="R154" s="150"/>
      <c r="S154" s="150"/>
      <c r="T154" s="152"/>
      <c r="U154" s="153"/>
      <c r="V154" s="154"/>
      <c r="W154" s="156"/>
      <c r="X154" s="173"/>
      <c r="Y154" s="147"/>
      <c r="Z154" s="148"/>
      <c r="AA154" s="148"/>
      <c r="AB154" s="149"/>
      <c r="AC154" s="166"/>
      <c r="AD154" s="151"/>
      <c r="AE154" s="167"/>
      <c r="AG154" s="74"/>
      <c r="AH154" s="62"/>
      <c r="AI154" s="62"/>
      <c r="AJ154" s="73"/>
      <c r="AK154" s="73"/>
      <c r="AL154" s="73"/>
      <c r="AM154" s="73"/>
    </row>
    <row r="155" spans="2:39" ht="12" customHeight="1" x14ac:dyDescent="0.2">
      <c r="B155" s="173"/>
      <c r="C155" s="147"/>
      <c r="D155" s="148"/>
      <c r="E155" s="148"/>
      <c r="F155" s="150"/>
      <c r="G155" s="166"/>
      <c r="H155" s="151"/>
      <c r="I155" s="167"/>
      <c r="J155" s="153"/>
      <c r="K155" s="154"/>
      <c r="L155" s="171"/>
      <c r="M155" s="173"/>
      <c r="N155" s="147"/>
      <c r="O155" s="148"/>
      <c r="P155" s="148"/>
      <c r="Q155" s="150"/>
      <c r="R155" s="150"/>
      <c r="S155" s="150"/>
      <c r="T155" s="152"/>
      <c r="U155" s="153"/>
      <c r="V155" s="154"/>
      <c r="W155" s="156"/>
      <c r="X155" s="173"/>
      <c r="Y155" s="147"/>
      <c r="Z155" s="148"/>
      <c r="AA155" s="148"/>
      <c r="AB155" s="149"/>
      <c r="AC155" s="166"/>
      <c r="AD155" s="151"/>
      <c r="AE155" s="167"/>
      <c r="AF155" s="13"/>
      <c r="AG155" s="74"/>
      <c r="AH155" s="62"/>
      <c r="AI155" s="62"/>
      <c r="AJ155" s="73"/>
      <c r="AK155" s="73"/>
      <c r="AL155" s="73"/>
      <c r="AM155" s="73"/>
    </row>
    <row r="156" spans="2:39" ht="12" customHeight="1" x14ac:dyDescent="0.2">
      <c r="B156" s="173"/>
      <c r="C156" s="147"/>
      <c r="D156" s="148"/>
      <c r="E156" s="148"/>
      <c r="F156" s="150"/>
      <c r="G156" s="166"/>
      <c r="H156" s="151"/>
      <c r="I156" s="167"/>
      <c r="J156" s="153"/>
      <c r="K156" s="154"/>
      <c r="L156" s="171"/>
      <c r="M156" s="173"/>
      <c r="N156" s="147"/>
      <c r="O156" s="148"/>
      <c r="P156" s="148"/>
      <c r="Q156" s="150"/>
      <c r="R156" s="150"/>
      <c r="S156" s="150"/>
      <c r="T156" s="152"/>
      <c r="U156" s="153"/>
      <c r="V156" s="154"/>
      <c r="W156" s="156"/>
      <c r="X156" s="173"/>
      <c r="Y156" s="147"/>
      <c r="Z156" s="148"/>
      <c r="AA156" s="148"/>
      <c r="AB156" s="149"/>
      <c r="AC156" s="166"/>
      <c r="AD156" s="151"/>
      <c r="AE156" s="167"/>
      <c r="AF156" s="13"/>
      <c r="AG156" s="74"/>
      <c r="AH156" s="62"/>
      <c r="AI156" s="62"/>
      <c r="AJ156" s="73"/>
      <c r="AK156" s="73"/>
      <c r="AL156" s="73"/>
      <c r="AM156" s="73"/>
    </row>
    <row r="157" spans="2:39" ht="12" customHeight="1" x14ac:dyDescent="0.2">
      <c r="B157" s="173"/>
      <c r="C157" s="147"/>
      <c r="D157" s="148"/>
      <c r="E157" s="148"/>
      <c r="F157" s="150"/>
      <c r="G157" s="166"/>
      <c r="H157" s="151"/>
      <c r="I157" s="167"/>
      <c r="J157" s="153"/>
      <c r="K157" s="154"/>
      <c r="L157" s="171"/>
      <c r="M157" s="173"/>
      <c r="N157" s="147"/>
      <c r="O157" s="148"/>
      <c r="P157" s="148"/>
      <c r="Q157" s="150"/>
      <c r="R157" s="150"/>
      <c r="S157" s="150"/>
      <c r="T157" s="152"/>
      <c r="U157" s="153"/>
      <c r="V157" s="154"/>
      <c r="W157" s="156"/>
      <c r="X157" s="173"/>
      <c r="Y157" s="147"/>
      <c r="Z157" s="148"/>
      <c r="AA157" s="148"/>
      <c r="AB157" s="149"/>
      <c r="AC157" s="166"/>
      <c r="AD157" s="151"/>
      <c r="AE157" s="167"/>
      <c r="AF157" s="13"/>
      <c r="AG157" s="74"/>
      <c r="AH157" s="62"/>
      <c r="AI157" s="62"/>
      <c r="AJ157" s="73"/>
      <c r="AK157" s="73"/>
      <c r="AL157" s="73"/>
      <c r="AM157" s="73"/>
    </row>
    <row r="158" spans="2:39" ht="12" customHeight="1" x14ac:dyDescent="0.2">
      <c r="B158" s="173"/>
      <c r="C158" s="147"/>
      <c r="D158" s="148"/>
      <c r="E158" s="148"/>
      <c r="F158" s="150"/>
      <c r="G158" s="166"/>
      <c r="H158" s="151"/>
      <c r="I158" s="167"/>
      <c r="J158" s="153"/>
      <c r="K158" s="154"/>
      <c r="L158" s="171"/>
      <c r="M158" s="173"/>
      <c r="N158" s="147"/>
      <c r="O158" s="148"/>
      <c r="P158" s="148"/>
      <c r="Q158" s="150"/>
      <c r="R158" s="150"/>
      <c r="S158" s="150"/>
      <c r="T158" s="152"/>
      <c r="U158" s="153"/>
      <c r="V158" s="154"/>
      <c r="W158" s="156"/>
      <c r="X158" s="173"/>
      <c r="Y158" s="147"/>
      <c r="Z158" s="148"/>
      <c r="AA158" s="148"/>
      <c r="AB158" s="149"/>
      <c r="AC158" s="166"/>
      <c r="AD158" s="151"/>
      <c r="AE158" s="167"/>
      <c r="AF158" s="13"/>
      <c r="AG158" s="74"/>
      <c r="AH158" s="62"/>
      <c r="AI158" s="62"/>
      <c r="AJ158" s="73"/>
      <c r="AK158" s="73"/>
      <c r="AL158" s="73"/>
      <c r="AM158" s="73"/>
    </row>
    <row r="159" spans="2:39" ht="12" customHeight="1" thickBot="1" x14ac:dyDescent="0.25">
      <c r="B159" s="60"/>
      <c r="C159" s="93"/>
      <c r="D159" s="94"/>
      <c r="E159" s="94"/>
      <c r="F159" s="101"/>
      <c r="G159" s="98"/>
      <c r="H159" s="96"/>
      <c r="I159" s="35"/>
      <c r="J159" s="104"/>
      <c r="K159" s="105"/>
      <c r="L159" s="87"/>
      <c r="M159" s="60"/>
      <c r="N159" s="93"/>
      <c r="O159" s="94"/>
      <c r="P159" s="94"/>
      <c r="Q159" s="106"/>
      <c r="R159" s="95"/>
      <c r="S159" s="95"/>
      <c r="T159" s="86"/>
      <c r="U159" s="104"/>
      <c r="V159" s="105"/>
      <c r="W159" s="88"/>
      <c r="X159" s="60"/>
      <c r="Y159" s="93"/>
      <c r="Z159" s="94"/>
      <c r="AA159" s="94"/>
      <c r="AB159" s="100"/>
      <c r="AC159" s="98"/>
      <c r="AD159" s="96"/>
      <c r="AE159" s="35"/>
      <c r="AF159" s="13"/>
      <c r="AG159" s="74"/>
      <c r="AH159" s="62"/>
      <c r="AI159" s="62"/>
      <c r="AJ159" s="73"/>
      <c r="AK159" s="73"/>
      <c r="AL159" s="73"/>
      <c r="AM159" s="73"/>
    </row>
    <row r="160" spans="2:39" ht="12" customHeight="1" thickTop="1" x14ac:dyDescent="0.2">
      <c r="B160" s="178" t="s">
        <v>27</v>
      </c>
      <c r="C160" s="179">
        <f t="shared" ref="C160:L160" si="45">MAX(C102:C159)</f>
        <v>20</v>
      </c>
      <c r="D160" s="180">
        <f t="shared" si="45"/>
        <v>134.44444444444446</v>
      </c>
      <c r="E160" s="180">
        <f t="shared" si="45"/>
        <v>8.5000000000000006E-3</v>
      </c>
      <c r="F160" s="180">
        <f t="shared" si="45"/>
        <v>0.3</v>
      </c>
      <c r="G160" s="180">
        <f t="shared" si="45"/>
        <v>3.7037037037037035E-2</v>
      </c>
      <c r="H160" s="180">
        <f t="shared" si="45"/>
        <v>0.49</v>
      </c>
      <c r="I160" s="181">
        <f t="shared" si="45"/>
        <v>0.24074074074074073</v>
      </c>
      <c r="J160" s="179">
        <f t="shared" si="45"/>
        <v>844.44444444444446</v>
      </c>
      <c r="K160" s="180">
        <f t="shared" si="45"/>
        <v>99.629629629629633</v>
      </c>
      <c r="L160" s="182">
        <f t="shared" si="45"/>
        <v>0.18518518518518517</v>
      </c>
      <c r="M160" s="183"/>
      <c r="N160" s="179">
        <f t="shared" ref="N160:W160" si="46">MAX(N102:N159)</f>
        <v>19.100000000000001</v>
      </c>
      <c r="O160" s="180">
        <f t="shared" si="46"/>
        <v>102.5925925925926</v>
      </c>
      <c r="P160" s="180">
        <f t="shared" si="46"/>
        <v>0.37</v>
      </c>
      <c r="Q160" s="180">
        <f t="shared" si="46"/>
        <v>0.74</v>
      </c>
      <c r="R160" s="180">
        <f t="shared" si="46"/>
        <v>1.8172781733920642E-2</v>
      </c>
      <c r="S160" s="184">
        <f t="shared" si="46"/>
        <v>0.2</v>
      </c>
      <c r="T160" s="181">
        <f t="shared" si="46"/>
        <v>0.12037037037037036</v>
      </c>
      <c r="U160" s="179">
        <f t="shared" si="46"/>
        <v>992.59259259259261</v>
      </c>
      <c r="V160" s="180">
        <f t="shared" si="46"/>
        <v>98.888888888888886</v>
      </c>
      <c r="W160" s="182">
        <f t="shared" si="46"/>
        <v>9.2592592592592587E-2</v>
      </c>
      <c r="X160" s="185"/>
      <c r="Y160" s="179">
        <f t="shared" ref="Y160:AE160" si="47">MAX(Y102:Y159)</f>
        <v>30.111111111111111</v>
      </c>
      <c r="Z160" s="180">
        <f t="shared" si="47"/>
        <v>111.11111111111111</v>
      </c>
      <c r="AA160" s="180">
        <f t="shared" si="47"/>
        <v>0.25</v>
      </c>
      <c r="AB160" s="180">
        <f t="shared" si="47"/>
        <v>0.61</v>
      </c>
      <c r="AC160" s="180">
        <f t="shared" si="47"/>
        <v>1.6952319117230386E-2</v>
      </c>
      <c r="AD160" s="180">
        <f t="shared" si="47"/>
        <v>0.31</v>
      </c>
      <c r="AE160" s="182">
        <f t="shared" si="47"/>
        <v>0.12037037037037036</v>
      </c>
      <c r="AG160" s="255" t="s">
        <v>98</v>
      </c>
      <c r="AH160" s="255" t="s">
        <v>99</v>
      </c>
      <c r="AI160" s="255" t="s">
        <v>94</v>
      </c>
      <c r="AJ160" s="255" t="s">
        <v>95</v>
      </c>
      <c r="AK160" s="255" t="s">
        <v>100</v>
      </c>
      <c r="AL160" s="255" t="s">
        <v>101</v>
      </c>
      <c r="AM160" s="255" t="s">
        <v>102</v>
      </c>
    </row>
    <row r="161" spans="2:39" ht="12" customHeight="1" x14ac:dyDescent="0.2">
      <c r="B161" s="186" t="s">
        <v>131</v>
      </c>
      <c r="C161" s="187"/>
      <c r="D161" s="188"/>
      <c r="E161" s="234">
        <v>8.5000000000000006E-3</v>
      </c>
      <c r="F161" s="234">
        <v>8.5000000000000006E-3</v>
      </c>
      <c r="G161" s="189">
        <f>0.037037037037037/2</f>
        <v>1.85185185185185E-2</v>
      </c>
      <c r="H161" s="188"/>
      <c r="I161" s="190">
        <f>6.5/27/2</f>
        <v>0.12037037037037036</v>
      </c>
      <c r="J161" s="187"/>
      <c r="K161" s="188"/>
      <c r="L161" s="191">
        <f>53/2</f>
        <v>26.5</v>
      </c>
      <c r="M161" s="192"/>
      <c r="N161" s="187"/>
      <c r="O161" s="188"/>
      <c r="P161" s="234">
        <f>(16/2)/1000</f>
        <v>8.0000000000000002E-3</v>
      </c>
      <c r="Q161" s="234">
        <f>(16/2)/1000</f>
        <v>8.0000000000000002E-3</v>
      </c>
      <c r="R161" s="189">
        <f>0.037037037037037/2</f>
        <v>1.85185185185185E-2</v>
      </c>
      <c r="S161" s="188"/>
      <c r="T161" s="190">
        <f>6.5/27/2</f>
        <v>0.12037037037037036</v>
      </c>
      <c r="U161" s="187"/>
      <c r="V161" s="188"/>
      <c r="W161" s="234">
        <v>8.5000000000000006E-3</v>
      </c>
      <c r="X161" s="193"/>
      <c r="Y161" s="187"/>
      <c r="Z161" s="188"/>
      <c r="AA161" s="234">
        <f>(21/2)/1000</f>
        <v>1.0500000000000001E-2</v>
      </c>
      <c r="AB161" s="234">
        <f>(21/2)/1000</f>
        <v>1.0500000000000001E-2</v>
      </c>
      <c r="AC161" s="189">
        <f>0.037037037037037/2</f>
        <v>1.85185185185185E-2</v>
      </c>
      <c r="AD161" s="188"/>
      <c r="AE161" s="194">
        <f>6.5/27/2</f>
        <v>0.12037037037037036</v>
      </c>
      <c r="AF161" s="4" t="s">
        <v>132</v>
      </c>
    </row>
    <row r="162" spans="2:39" ht="12" customHeight="1" x14ac:dyDescent="0.2">
      <c r="B162" s="195" t="s">
        <v>38</v>
      </c>
      <c r="C162" s="196">
        <f t="shared" ref="C162:L162" si="48">IF(C161&lt;&gt;"",SMALL(C102:C159,C164+1),MIN(C102:C159))</f>
        <v>2.7037037037037037</v>
      </c>
      <c r="D162" s="197">
        <f t="shared" si="48"/>
        <v>74.81481481481481</v>
      </c>
      <c r="E162" s="197">
        <f t="shared" si="48"/>
        <v>3.6005140124822096E-6</v>
      </c>
      <c r="F162" s="197">
        <f t="shared" si="48"/>
        <v>5.158851921398467E-3</v>
      </c>
      <c r="G162" s="197">
        <f t="shared" si="48"/>
        <v>7.8891108652450869E-3</v>
      </c>
      <c r="H162" s="197">
        <f t="shared" si="48"/>
        <v>0.14000000000000001</v>
      </c>
      <c r="I162" s="198">
        <f t="shared" si="48"/>
        <v>0.24074074074074073</v>
      </c>
      <c r="J162" s="196">
        <f t="shared" si="48"/>
        <v>161</v>
      </c>
      <c r="K162" s="197">
        <f t="shared" si="48"/>
        <v>51.851851851851855</v>
      </c>
      <c r="L162" s="199">
        <f t="shared" si="48"/>
        <v>2.6499999999999999E-2</v>
      </c>
      <c r="M162" s="200"/>
      <c r="N162" s="196">
        <f t="shared" ref="N162:W162" si="49">IF(N161&lt;&gt;"",SMALL(N102:N159,N164+1),MIN(N102:N159))</f>
        <v>3.7</v>
      </c>
      <c r="O162" s="197">
        <f t="shared" si="49"/>
        <v>69.900000000000006</v>
      </c>
      <c r="P162" s="197">
        <f t="shared" si="49"/>
        <v>3.3887190705714912E-6</v>
      </c>
      <c r="Q162" s="197">
        <f t="shared" si="49"/>
        <v>4.6966523747792996E-3</v>
      </c>
      <c r="R162" s="197">
        <f t="shared" si="49"/>
        <v>1.6989223219852984E-2</v>
      </c>
      <c r="S162" s="201">
        <f t="shared" si="49"/>
        <v>0.18</v>
      </c>
      <c r="T162" s="198" t="e">
        <f t="shared" si="49"/>
        <v>#NUM!</v>
      </c>
      <c r="U162" s="196">
        <f t="shared" si="49"/>
        <v>228</v>
      </c>
      <c r="V162" s="197">
        <f t="shared" si="49"/>
        <v>59.25925925925926</v>
      </c>
      <c r="W162" s="199">
        <f t="shared" si="49"/>
        <v>8.3479541046204021E-3</v>
      </c>
      <c r="X162" s="202"/>
      <c r="Y162" s="203">
        <f t="shared" ref="Y162:AE162" si="50">IF(Y161&lt;&gt;"",SMALL(Y102:Y159,Y164+1),MIN(Y102:Y159))</f>
        <v>6</v>
      </c>
      <c r="Z162" s="197">
        <f t="shared" si="50"/>
        <v>65.3</v>
      </c>
      <c r="AA162" s="197">
        <f t="shared" si="50"/>
        <v>3.0441016915609379E-6</v>
      </c>
      <c r="AB162" s="197">
        <f t="shared" si="50"/>
        <v>6.2921454392572806E-3</v>
      </c>
      <c r="AC162" s="197">
        <f t="shared" si="50"/>
        <v>7.8502174677747786E-3</v>
      </c>
      <c r="AD162" s="197">
        <f t="shared" si="50"/>
        <v>7.0000000000000007E-2</v>
      </c>
      <c r="AE162" s="199" t="e">
        <f t="shared" si="50"/>
        <v>#NUM!</v>
      </c>
    </row>
    <row r="163" spans="2:39" ht="12" customHeight="1" x14ac:dyDescent="0.2">
      <c r="B163" s="195" t="s">
        <v>28</v>
      </c>
      <c r="C163" s="204">
        <f t="shared" ref="C163:L163" si="51">IF(C161&lt;&gt;"",(SUM(C102:C159)-C161*C164)/(C165-C164),AVERAGE(C102:C159))</f>
        <v>9.5877877877877893</v>
      </c>
      <c r="D163" s="205">
        <f t="shared" si="51"/>
        <v>90.346646646646647</v>
      </c>
      <c r="E163" s="205">
        <f t="shared" si="51"/>
        <v>1.9548424474034468E-3</v>
      </c>
      <c r="F163" s="205">
        <f t="shared" si="51"/>
        <v>3.7317907432674623E-2</v>
      </c>
      <c r="G163" s="205">
        <f t="shared" si="51"/>
        <v>1.2908652991207142E-2</v>
      </c>
      <c r="H163" s="205">
        <f t="shared" si="51"/>
        <v>0.25117647058823539</v>
      </c>
      <c r="I163" s="206">
        <f t="shared" si="51"/>
        <v>0.24074074074073915</v>
      </c>
      <c r="J163" s="204">
        <f t="shared" si="51"/>
        <v>412.63636363636363</v>
      </c>
      <c r="K163" s="205">
        <f t="shared" si="51"/>
        <v>78.774747474747471</v>
      </c>
      <c r="L163" s="207">
        <f t="shared" si="51"/>
        <v>6.1981481481481478E-2</v>
      </c>
      <c r="M163" s="208"/>
      <c r="N163" s="204">
        <f t="shared" ref="N163:W163" si="52">IF(N161&lt;&gt;"",(SUM(N102:N159)-N161*N164)/(N165-N164),AVERAGE(N102:N159))</f>
        <v>9.1448343079922019</v>
      </c>
      <c r="O163" s="205">
        <f t="shared" si="52"/>
        <v>85.332846003898652</v>
      </c>
      <c r="P163" s="205">
        <f t="shared" si="52"/>
        <v>1.6311303776819362E-2</v>
      </c>
      <c r="Q163" s="205">
        <f t="shared" si="52"/>
        <v>6.1622918357469011E-2</v>
      </c>
      <c r="R163" s="205">
        <f t="shared" si="52"/>
        <v>1.7583822334477573E-2</v>
      </c>
      <c r="S163" s="209">
        <f t="shared" si="52"/>
        <v>0.19500000000000001</v>
      </c>
      <c r="T163" s="206" t="e">
        <f t="shared" si="52"/>
        <v>#DIV/0!</v>
      </c>
      <c r="U163" s="204">
        <f t="shared" si="52"/>
        <v>471.43097643097644</v>
      </c>
      <c r="V163" s="205">
        <f t="shared" si="52"/>
        <v>74.767676767676775</v>
      </c>
      <c r="W163" s="207">
        <f t="shared" si="52"/>
        <v>5.4558503200220335E-2</v>
      </c>
      <c r="X163" s="210"/>
      <c r="Y163" s="204">
        <f t="shared" ref="Y163:AE163" si="53">IF(Y161&lt;&gt;"",(SUM(Y102:Y159)-Y161*Y164)/(Y165-Y164),AVERAGE(Y102:Y159))</f>
        <v>11.062962962962962</v>
      </c>
      <c r="Z163" s="205">
        <f t="shared" si="53"/>
        <v>91.416884531590426</v>
      </c>
      <c r="AA163" s="205">
        <f t="shared" si="53"/>
        <v>1.1342840937739494E-2</v>
      </c>
      <c r="AB163" s="205">
        <f t="shared" si="53"/>
        <v>5.3605648615054013E-2</v>
      </c>
      <c r="AC163" s="205">
        <f t="shared" si="53"/>
        <v>1.2024507379750759E-2</v>
      </c>
      <c r="AD163" s="205">
        <f t="shared" si="53"/>
        <v>0.19374193548387098</v>
      </c>
      <c r="AE163" s="207" t="e">
        <f t="shared" si="53"/>
        <v>#DIV/0!</v>
      </c>
    </row>
    <row r="164" spans="2:39" ht="12" customHeight="1" x14ac:dyDescent="0.2">
      <c r="B164" s="195" t="s">
        <v>133</v>
      </c>
      <c r="C164" s="211">
        <f t="shared" ref="C164:L164" si="54">COUNTIF(C102:C159,C161)</f>
        <v>0</v>
      </c>
      <c r="D164" s="212">
        <f t="shared" si="54"/>
        <v>0</v>
      </c>
      <c r="E164" s="212">
        <f t="shared" si="54"/>
        <v>1</v>
      </c>
      <c r="F164" s="212">
        <f t="shared" si="54"/>
        <v>0</v>
      </c>
      <c r="G164" s="212">
        <f t="shared" si="54"/>
        <v>0</v>
      </c>
      <c r="H164" s="212">
        <f t="shared" si="54"/>
        <v>0</v>
      </c>
      <c r="I164" s="213">
        <f t="shared" si="54"/>
        <v>33</v>
      </c>
      <c r="J164" s="211">
        <f t="shared" si="54"/>
        <v>0</v>
      </c>
      <c r="K164" s="212">
        <f t="shared" si="54"/>
        <v>0</v>
      </c>
      <c r="L164" s="214">
        <f t="shared" si="54"/>
        <v>0</v>
      </c>
      <c r="M164" s="208"/>
      <c r="N164" s="211">
        <f t="shared" ref="N164:W164" si="55">COUNTIF(N102:N159,N161)</f>
        <v>0</v>
      </c>
      <c r="O164" s="212">
        <f t="shared" si="55"/>
        <v>0</v>
      </c>
      <c r="P164" s="212">
        <f t="shared" si="55"/>
        <v>1</v>
      </c>
      <c r="Q164" s="212">
        <f t="shared" si="55"/>
        <v>0</v>
      </c>
      <c r="R164" s="212">
        <f t="shared" si="55"/>
        <v>0</v>
      </c>
      <c r="S164" s="212">
        <f t="shared" si="55"/>
        <v>0</v>
      </c>
      <c r="T164" s="213">
        <f t="shared" si="55"/>
        <v>4</v>
      </c>
      <c r="U164" s="211">
        <f t="shared" si="55"/>
        <v>0</v>
      </c>
      <c r="V164" s="212">
        <f t="shared" si="55"/>
        <v>0</v>
      </c>
      <c r="W164" s="214">
        <f t="shared" si="55"/>
        <v>1</v>
      </c>
      <c r="X164" s="210"/>
      <c r="Y164" s="211">
        <f t="shared" ref="Y164:AE164" si="56">COUNTIF(Y102:Y159,Y161)</f>
        <v>0</v>
      </c>
      <c r="Z164" s="212">
        <f t="shared" si="56"/>
        <v>0</v>
      </c>
      <c r="AA164" s="212">
        <f t="shared" si="56"/>
        <v>0</v>
      </c>
      <c r="AB164" s="212">
        <f t="shared" si="56"/>
        <v>0</v>
      </c>
      <c r="AC164" s="212">
        <f t="shared" si="56"/>
        <v>0</v>
      </c>
      <c r="AD164" s="212">
        <f t="shared" si="56"/>
        <v>0</v>
      </c>
      <c r="AE164" s="214">
        <f t="shared" si="56"/>
        <v>31</v>
      </c>
    </row>
    <row r="165" spans="2:39" ht="12" customHeight="1" x14ac:dyDescent="0.2">
      <c r="B165" s="133" t="s">
        <v>37</v>
      </c>
      <c r="C165" s="102">
        <f t="shared" ref="C165:L165" si="57">COUNTA(C102:C159)</f>
        <v>37</v>
      </c>
      <c r="D165" s="103">
        <f t="shared" si="57"/>
        <v>37</v>
      </c>
      <c r="E165" s="103">
        <f t="shared" si="57"/>
        <v>37</v>
      </c>
      <c r="F165" s="103">
        <f t="shared" si="57"/>
        <v>37</v>
      </c>
      <c r="G165" s="103">
        <f t="shared" si="57"/>
        <v>34</v>
      </c>
      <c r="H165" s="103">
        <f t="shared" si="57"/>
        <v>34</v>
      </c>
      <c r="I165" s="107">
        <f t="shared" si="57"/>
        <v>34</v>
      </c>
      <c r="J165" s="102">
        <f t="shared" si="57"/>
        <v>11</v>
      </c>
      <c r="K165" s="103">
        <f t="shared" si="57"/>
        <v>11</v>
      </c>
      <c r="L165" s="85">
        <f t="shared" si="57"/>
        <v>11</v>
      </c>
      <c r="M165" s="85"/>
      <c r="N165" s="102">
        <f t="shared" ref="N165:W165" si="58">COUNTA(N102:N159)</f>
        <v>38</v>
      </c>
      <c r="O165" s="103">
        <f t="shared" si="58"/>
        <v>38</v>
      </c>
      <c r="P165" s="103">
        <f t="shared" si="58"/>
        <v>38</v>
      </c>
      <c r="Q165" s="103">
        <f t="shared" si="58"/>
        <v>38</v>
      </c>
      <c r="R165" s="103">
        <f t="shared" si="58"/>
        <v>4</v>
      </c>
      <c r="S165" s="103">
        <f t="shared" si="58"/>
        <v>4</v>
      </c>
      <c r="T165" s="107">
        <f t="shared" si="58"/>
        <v>4</v>
      </c>
      <c r="U165" s="102">
        <f t="shared" si="58"/>
        <v>11</v>
      </c>
      <c r="V165" s="103">
        <f t="shared" si="58"/>
        <v>11</v>
      </c>
      <c r="W165" s="85">
        <f t="shared" si="58"/>
        <v>11</v>
      </c>
      <c r="X165" s="85"/>
      <c r="Y165" s="102">
        <f t="shared" ref="Y165:AE165" si="59">COUNTA(Y102:Y159)</f>
        <v>34</v>
      </c>
      <c r="Z165" s="103">
        <f t="shared" si="59"/>
        <v>34</v>
      </c>
      <c r="AA165" s="103">
        <f t="shared" si="59"/>
        <v>34</v>
      </c>
      <c r="AB165" s="103">
        <f t="shared" si="59"/>
        <v>34</v>
      </c>
      <c r="AC165" s="103">
        <f t="shared" si="59"/>
        <v>31</v>
      </c>
      <c r="AD165" s="103">
        <f t="shared" si="59"/>
        <v>31</v>
      </c>
      <c r="AE165" s="85">
        <f t="shared" si="59"/>
        <v>31</v>
      </c>
    </row>
    <row r="166" spans="2:39" ht="12" customHeight="1" x14ac:dyDescent="0.2">
      <c r="B166" s="7" t="s">
        <v>3</v>
      </c>
      <c r="C166" s="9" t="s">
        <v>4</v>
      </c>
      <c r="D166" s="10"/>
      <c r="E166" s="10"/>
      <c r="F166" s="10"/>
      <c r="G166" s="10"/>
      <c r="H166" s="10"/>
      <c r="I166" s="11"/>
      <c r="J166" s="12" t="s">
        <v>5</v>
      </c>
      <c r="K166" s="10"/>
      <c r="L166" s="11"/>
      <c r="M166" s="8" t="s">
        <v>3</v>
      </c>
      <c r="N166" s="9" t="s">
        <v>4</v>
      </c>
      <c r="O166" s="10"/>
      <c r="P166" s="10"/>
      <c r="Q166" s="10"/>
      <c r="R166" s="10"/>
      <c r="S166" s="10"/>
      <c r="T166" s="11"/>
      <c r="U166" s="12" t="s">
        <v>5</v>
      </c>
      <c r="V166" s="10"/>
      <c r="W166" s="11"/>
      <c r="X166" s="8" t="s">
        <v>3</v>
      </c>
      <c r="Y166" s="9" t="s">
        <v>4</v>
      </c>
      <c r="Z166" s="10"/>
      <c r="AA166" s="10"/>
      <c r="AB166" s="10"/>
      <c r="AC166" s="10"/>
      <c r="AD166" s="10"/>
      <c r="AE166" s="11"/>
      <c r="AF166" s="13"/>
    </row>
    <row r="167" spans="2:39" s="28" customFormat="1" ht="12" customHeight="1" x14ac:dyDescent="0.2">
      <c r="B167" s="21" t="s">
        <v>10</v>
      </c>
      <c r="C167" s="333" t="s">
        <v>6</v>
      </c>
      <c r="D167" s="334"/>
      <c r="E167" s="334"/>
      <c r="F167" s="334"/>
      <c r="G167" s="334"/>
      <c r="H167" s="334"/>
      <c r="I167" s="334"/>
      <c r="J167" s="334"/>
      <c r="K167" s="334"/>
      <c r="L167" s="335"/>
      <c r="M167" s="22" t="s">
        <v>10</v>
      </c>
      <c r="N167" s="336" t="s">
        <v>7</v>
      </c>
      <c r="O167" s="334"/>
      <c r="P167" s="334"/>
      <c r="Q167" s="334"/>
      <c r="R167" s="334"/>
      <c r="S167" s="334"/>
      <c r="T167" s="334"/>
      <c r="U167" s="334"/>
      <c r="V167" s="334"/>
      <c r="W167" s="335"/>
      <c r="X167" s="337" t="s">
        <v>10</v>
      </c>
      <c r="Y167" s="333" t="s">
        <v>43</v>
      </c>
      <c r="Z167" s="334"/>
      <c r="AA167" s="334"/>
      <c r="AB167" s="334"/>
      <c r="AC167" s="334"/>
      <c r="AD167" s="334"/>
      <c r="AE167" s="335"/>
      <c r="AF167" s="23"/>
      <c r="AG167" s="254" t="s">
        <v>97</v>
      </c>
      <c r="AH167" s="13"/>
      <c r="AI167" s="23"/>
    </row>
    <row r="168" spans="2:39" s="28" customFormat="1" ht="12" customHeight="1" x14ac:dyDescent="0.2">
      <c r="B168" s="50" t="s">
        <v>13</v>
      </c>
      <c r="C168" s="89" t="s">
        <v>14</v>
      </c>
      <c r="D168" s="90" t="s">
        <v>15</v>
      </c>
      <c r="E168" s="91" t="s">
        <v>36</v>
      </c>
      <c r="F168" s="91" t="s">
        <v>16</v>
      </c>
      <c r="G168" s="91" t="s">
        <v>17</v>
      </c>
      <c r="H168" s="92" t="s">
        <v>18</v>
      </c>
      <c r="I168" s="52" t="s">
        <v>19</v>
      </c>
      <c r="J168" s="89" t="s">
        <v>14</v>
      </c>
      <c r="K168" s="90" t="s">
        <v>15</v>
      </c>
      <c r="L168" s="51" t="s">
        <v>16</v>
      </c>
      <c r="M168" s="50" t="s">
        <v>13</v>
      </c>
      <c r="N168" s="89" t="s">
        <v>14</v>
      </c>
      <c r="O168" s="90" t="s">
        <v>15</v>
      </c>
      <c r="P168" s="91" t="s">
        <v>36</v>
      </c>
      <c r="Q168" s="91" t="s">
        <v>16</v>
      </c>
      <c r="R168" s="91" t="s">
        <v>17</v>
      </c>
      <c r="S168" s="92" t="s">
        <v>18</v>
      </c>
      <c r="T168" s="52" t="s">
        <v>19</v>
      </c>
      <c r="U168" s="89" t="s">
        <v>14</v>
      </c>
      <c r="V168" s="90" t="s">
        <v>15</v>
      </c>
      <c r="W168" s="51" t="s">
        <v>16</v>
      </c>
      <c r="X168" s="50" t="s">
        <v>13</v>
      </c>
      <c r="Y168" s="89" t="s">
        <v>14</v>
      </c>
      <c r="Z168" s="90" t="s">
        <v>15</v>
      </c>
      <c r="AA168" s="91" t="s">
        <v>36</v>
      </c>
      <c r="AB168" s="91" t="s">
        <v>16</v>
      </c>
      <c r="AC168" s="91" t="s">
        <v>17</v>
      </c>
      <c r="AD168" s="92" t="s">
        <v>18</v>
      </c>
      <c r="AE168" s="52" t="s">
        <v>19</v>
      </c>
      <c r="AF168" s="23"/>
      <c r="AG168" s="314" t="s">
        <v>92</v>
      </c>
      <c r="AH168" s="314" t="s">
        <v>93</v>
      </c>
      <c r="AI168" s="314" t="s">
        <v>94</v>
      </c>
      <c r="AJ168" s="314" t="s">
        <v>95</v>
      </c>
      <c r="AK168" s="314" t="s">
        <v>100</v>
      </c>
      <c r="AL168" s="314" t="s">
        <v>101</v>
      </c>
      <c r="AM168" s="314" t="s">
        <v>102</v>
      </c>
    </row>
    <row r="169" spans="2:39" s="45" customFormat="1" ht="12" customHeight="1" x14ac:dyDescent="0.2">
      <c r="B169" s="71"/>
      <c r="C169" s="72"/>
      <c r="D169" s="72"/>
      <c r="E169" s="72"/>
      <c r="F169" s="72"/>
      <c r="G169" s="72"/>
      <c r="H169" s="72"/>
      <c r="I169" s="72"/>
      <c r="J169" s="72"/>
      <c r="K169" s="72"/>
      <c r="L169" s="72"/>
      <c r="M169" s="72"/>
      <c r="N169" s="72"/>
      <c r="O169" s="72"/>
      <c r="P169" s="72"/>
      <c r="Q169" s="72"/>
      <c r="R169" s="72"/>
      <c r="S169" s="72"/>
      <c r="T169" s="72"/>
      <c r="U169" s="72"/>
      <c r="V169" s="72"/>
      <c r="W169" s="72"/>
      <c r="X169" s="72"/>
      <c r="Y169" s="72"/>
      <c r="Z169" s="72"/>
      <c r="AA169" s="72"/>
      <c r="AB169" s="72"/>
      <c r="AC169" s="72"/>
      <c r="AD169" s="72"/>
      <c r="AE169" s="72"/>
    </row>
    <row r="170" spans="2:39" ht="12" customHeight="1" x14ac:dyDescent="0.2">
      <c r="C170" s="59" t="s">
        <v>35</v>
      </c>
      <c r="E170" s="4"/>
      <c r="F170" s="4"/>
      <c r="L170" s="4"/>
      <c r="P170" s="4"/>
      <c r="Q170" s="4"/>
      <c r="R170" s="41"/>
      <c r="S170" s="44"/>
      <c r="U170" s="46"/>
      <c r="W170" s="47"/>
      <c r="X170" s="41"/>
    </row>
    <row r="171" spans="2:39" ht="12" customHeight="1" x14ac:dyDescent="0.2">
      <c r="C171" s="14" t="s">
        <v>6</v>
      </c>
      <c r="D171" s="15"/>
      <c r="E171" s="15"/>
      <c r="F171" s="16"/>
      <c r="G171" s="17"/>
      <c r="H171" s="18"/>
      <c r="I171" s="16" t="s">
        <v>7</v>
      </c>
      <c r="J171" s="15"/>
      <c r="K171" s="15"/>
      <c r="L171" s="16"/>
      <c r="M171" s="16" t="s">
        <v>8</v>
      </c>
      <c r="N171" s="19"/>
      <c r="O171" s="20" t="s">
        <v>9</v>
      </c>
      <c r="P171" s="15"/>
      <c r="Q171" s="19"/>
      <c r="R171" s="41"/>
      <c r="S171" s="44"/>
      <c r="W171" s="4"/>
    </row>
    <row r="172" spans="2:39" ht="12" customHeight="1" x14ac:dyDescent="0.2">
      <c r="C172" s="24" t="s">
        <v>11</v>
      </c>
      <c r="D172" s="25"/>
      <c r="E172" s="26"/>
      <c r="F172" s="27" t="s">
        <v>12</v>
      </c>
      <c r="G172" s="27" t="s">
        <v>8</v>
      </c>
      <c r="H172" s="26"/>
      <c r="I172" s="27" t="s">
        <v>11</v>
      </c>
      <c r="J172" s="25"/>
      <c r="K172" s="26"/>
      <c r="L172" s="27" t="s">
        <v>12</v>
      </c>
      <c r="M172" s="27" t="s">
        <v>8</v>
      </c>
      <c r="N172" s="26"/>
      <c r="O172" s="27" t="s">
        <v>11</v>
      </c>
      <c r="P172" s="25"/>
      <c r="Q172" s="26"/>
      <c r="R172" s="41"/>
      <c r="S172" s="44"/>
      <c r="W172" s="4"/>
    </row>
    <row r="173" spans="2:39" ht="12" customHeight="1" x14ac:dyDescent="0.2">
      <c r="C173" s="270" t="s">
        <v>14</v>
      </c>
      <c r="D173" s="271" t="s">
        <v>15</v>
      </c>
      <c r="E173" s="32" t="s">
        <v>16</v>
      </c>
      <c r="F173" s="270" t="s">
        <v>14</v>
      </c>
      <c r="G173" s="271" t="s">
        <v>15</v>
      </c>
      <c r="H173" s="32" t="s">
        <v>16</v>
      </c>
      <c r="I173" s="270" t="s">
        <v>14</v>
      </c>
      <c r="J173" s="271" t="s">
        <v>15</v>
      </c>
      <c r="K173" s="32" t="s">
        <v>16</v>
      </c>
      <c r="L173" s="270" t="s">
        <v>14</v>
      </c>
      <c r="M173" s="271" t="s">
        <v>15</v>
      </c>
      <c r="N173" s="32" t="s">
        <v>16</v>
      </c>
      <c r="O173" s="270" t="s">
        <v>14</v>
      </c>
      <c r="P173" s="271" t="s">
        <v>15</v>
      </c>
      <c r="Q173" s="32" t="s">
        <v>16</v>
      </c>
      <c r="R173" s="41"/>
      <c r="S173" s="44"/>
      <c r="W173" s="4"/>
    </row>
    <row r="174" spans="2:39" ht="12" customHeight="1" x14ac:dyDescent="0.2">
      <c r="C174" s="272" t="s">
        <v>24</v>
      </c>
      <c r="D174" s="273" t="s">
        <v>24</v>
      </c>
      <c r="E174" s="32" t="s">
        <v>24</v>
      </c>
      <c r="F174" s="272" t="s">
        <v>24</v>
      </c>
      <c r="G174" s="273" t="s">
        <v>24</v>
      </c>
      <c r="H174" s="32" t="s">
        <v>24</v>
      </c>
      <c r="I174" s="272" t="s">
        <v>24</v>
      </c>
      <c r="J174" s="273" t="s">
        <v>24</v>
      </c>
      <c r="K174" s="32" t="s">
        <v>24</v>
      </c>
      <c r="L174" s="272" t="s">
        <v>24</v>
      </c>
      <c r="M174" s="273" t="s">
        <v>24</v>
      </c>
      <c r="N174" s="32" t="s">
        <v>24</v>
      </c>
      <c r="O174" s="272" t="s">
        <v>24</v>
      </c>
      <c r="P174" s="273" t="s">
        <v>24</v>
      </c>
      <c r="Q174" s="32" t="s">
        <v>24</v>
      </c>
      <c r="R174" s="41"/>
      <c r="S174" s="44"/>
      <c r="W174" s="4"/>
    </row>
    <row r="175" spans="2:39" ht="12" customHeight="1" x14ac:dyDescent="0.2">
      <c r="C175" s="290">
        <v>96</v>
      </c>
      <c r="D175" s="275">
        <v>2920</v>
      </c>
      <c r="E175" s="223">
        <v>1.6</v>
      </c>
      <c r="F175" s="290">
        <v>5070</v>
      </c>
      <c r="G175" s="275">
        <v>1950</v>
      </c>
      <c r="H175" s="323"/>
      <c r="I175" s="290">
        <v>140</v>
      </c>
      <c r="J175" s="275">
        <v>2770</v>
      </c>
      <c r="K175" s="223">
        <v>2</v>
      </c>
      <c r="L175" s="290">
        <v>7700</v>
      </c>
      <c r="M175" s="275">
        <v>2000</v>
      </c>
      <c r="N175" s="323"/>
      <c r="O175" s="290"/>
      <c r="P175" s="275"/>
      <c r="Q175" s="223"/>
      <c r="R175" s="41"/>
      <c r="S175" s="44"/>
      <c r="W175" s="4"/>
    </row>
    <row r="176" spans="2:39" ht="12" customHeight="1" x14ac:dyDescent="0.2">
      <c r="C176" s="291">
        <v>147</v>
      </c>
      <c r="D176" s="277">
        <v>2380</v>
      </c>
      <c r="E176" s="226">
        <v>0.8</v>
      </c>
      <c r="F176" s="291">
        <v>9030</v>
      </c>
      <c r="G176" s="277">
        <v>2690</v>
      </c>
      <c r="H176" s="226">
        <v>3</v>
      </c>
      <c r="I176" s="291">
        <v>118</v>
      </c>
      <c r="J176" s="277">
        <v>1950</v>
      </c>
      <c r="K176" s="226">
        <v>0.8</v>
      </c>
      <c r="L176" s="291">
        <v>8550</v>
      </c>
      <c r="M176" s="277">
        <v>1780</v>
      </c>
      <c r="N176" s="226">
        <v>1.8</v>
      </c>
      <c r="O176" s="291"/>
      <c r="P176" s="277"/>
      <c r="Q176" s="226"/>
      <c r="R176" s="41"/>
      <c r="S176" s="44"/>
      <c r="W176" s="4"/>
    </row>
    <row r="177" spans="2:32" ht="12" customHeight="1" x14ac:dyDescent="0.2">
      <c r="C177" s="291">
        <v>73</v>
      </c>
      <c r="D177" s="277">
        <v>3630</v>
      </c>
      <c r="E177" s="230">
        <v>0.7</v>
      </c>
      <c r="F177" s="291">
        <v>6790</v>
      </c>
      <c r="G177" s="277">
        <v>1400</v>
      </c>
      <c r="H177" s="324"/>
      <c r="I177" s="291">
        <v>196</v>
      </c>
      <c r="J177" s="277">
        <v>2200</v>
      </c>
      <c r="K177" s="226">
        <v>1.9</v>
      </c>
      <c r="L177" s="291">
        <v>12800</v>
      </c>
      <c r="M177" s="277">
        <v>1620</v>
      </c>
      <c r="N177" s="226">
        <v>2.2999999999999998</v>
      </c>
      <c r="O177" s="291">
        <v>190</v>
      </c>
      <c r="P177" s="277">
        <v>2620</v>
      </c>
      <c r="Q177" s="325"/>
      <c r="R177" s="41"/>
      <c r="S177" s="44"/>
      <c r="W177" s="4"/>
    </row>
    <row r="178" spans="2:32" ht="12" customHeight="1" x14ac:dyDescent="0.2">
      <c r="C178" s="291">
        <v>147</v>
      </c>
      <c r="D178" s="277">
        <v>2350</v>
      </c>
      <c r="E178" s="226">
        <v>2</v>
      </c>
      <c r="F178" s="291">
        <v>12200</v>
      </c>
      <c r="G178" s="277">
        <v>1680</v>
      </c>
      <c r="H178" s="324"/>
      <c r="I178" s="291">
        <v>172</v>
      </c>
      <c r="J178" s="277">
        <v>2140</v>
      </c>
      <c r="K178" s="226">
        <v>1.8</v>
      </c>
      <c r="L178" s="291">
        <v>13400</v>
      </c>
      <c r="M178" s="277">
        <v>1600</v>
      </c>
      <c r="N178" s="324"/>
      <c r="O178" s="291"/>
      <c r="P178" s="277"/>
      <c r="Q178" s="226"/>
      <c r="R178" s="41"/>
      <c r="S178" s="44"/>
      <c r="W178" s="4"/>
    </row>
    <row r="179" spans="2:32" ht="12" customHeight="1" x14ac:dyDescent="0.2">
      <c r="C179" s="318" t="s">
        <v>26</v>
      </c>
      <c r="D179" s="288"/>
      <c r="E179" s="229"/>
      <c r="F179" s="287"/>
      <c r="G179" s="288"/>
      <c r="H179" s="229"/>
      <c r="I179" s="291">
        <v>148</v>
      </c>
      <c r="J179" s="277">
        <v>2520</v>
      </c>
      <c r="K179" s="226">
        <v>1.2</v>
      </c>
      <c r="L179" s="291">
        <v>11400</v>
      </c>
      <c r="M179" s="277">
        <v>2190</v>
      </c>
      <c r="N179" s="226">
        <v>1.9</v>
      </c>
      <c r="O179" s="287"/>
      <c r="P179" s="288"/>
      <c r="Q179" s="229"/>
      <c r="R179" s="41"/>
      <c r="S179" s="44"/>
      <c r="W179" s="4"/>
    </row>
    <row r="180" spans="2:32" ht="12" customHeight="1" x14ac:dyDescent="0.2">
      <c r="C180" s="291">
        <v>211</v>
      </c>
      <c r="D180" s="277">
        <v>2740</v>
      </c>
      <c r="E180" s="226">
        <v>1.5</v>
      </c>
      <c r="F180" s="291">
        <v>14700</v>
      </c>
      <c r="G180" s="277">
        <v>2310</v>
      </c>
      <c r="H180" s="226">
        <v>1.8</v>
      </c>
      <c r="I180" s="291">
        <v>311</v>
      </c>
      <c r="J180" s="277">
        <v>2030</v>
      </c>
      <c r="K180" s="226">
        <v>1.1000000000000001</v>
      </c>
      <c r="L180" s="291">
        <v>26800</v>
      </c>
      <c r="M180" s="277">
        <v>2190</v>
      </c>
      <c r="N180" s="226">
        <v>2.5</v>
      </c>
      <c r="O180" s="291">
        <v>284</v>
      </c>
      <c r="P180" s="277">
        <v>2730</v>
      </c>
      <c r="Q180" s="231">
        <v>1.8</v>
      </c>
      <c r="R180" s="41"/>
      <c r="S180" s="44"/>
      <c r="W180" s="4"/>
    </row>
    <row r="181" spans="2:32" ht="12" customHeight="1" x14ac:dyDescent="0.2">
      <c r="C181" s="291">
        <v>184</v>
      </c>
      <c r="D181" s="277">
        <v>2020</v>
      </c>
      <c r="E181" s="226">
        <v>0.5</v>
      </c>
      <c r="F181" s="291">
        <v>10400</v>
      </c>
      <c r="G181" s="277">
        <v>2090</v>
      </c>
      <c r="H181" s="226">
        <v>1.9</v>
      </c>
      <c r="I181" s="291">
        <v>156</v>
      </c>
      <c r="J181" s="277">
        <v>2150</v>
      </c>
      <c r="K181" s="226">
        <v>0.7</v>
      </c>
      <c r="L181" s="291">
        <v>8990</v>
      </c>
      <c r="M181" s="277">
        <v>1740</v>
      </c>
      <c r="N181" s="226">
        <v>1.7</v>
      </c>
      <c r="O181" s="291">
        <v>813</v>
      </c>
      <c r="P181" s="277">
        <v>3000</v>
      </c>
      <c r="Q181" s="325"/>
      <c r="R181" s="41"/>
      <c r="S181" s="44"/>
      <c r="W181" s="4"/>
    </row>
    <row r="182" spans="2:32" ht="12" customHeight="1" x14ac:dyDescent="0.2">
      <c r="C182" s="291">
        <v>257</v>
      </c>
      <c r="D182" s="277">
        <v>2370</v>
      </c>
      <c r="E182" s="226">
        <v>0.7</v>
      </c>
      <c r="F182" s="291">
        <v>22800</v>
      </c>
      <c r="G182" s="277">
        <v>2550</v>
      </c>
      <c r="H182" s="226">
        <v>1.7</v>
      </c>
      <c r="I182" s="291">
        <v>287</v>
      </c>
      <c r="J182" s="277">
        <v>2440</v>
      </c>
      <c r="K182" s="226">
        <v>1</v>
      </c>
      <c r="L182" s="291">
        <v>21600</v>
      </c>
      <c r="M182" s="277">
        <v>2420</v>
      </c>
      <c r="N182" s="226">
        <v>2</v>
      </c>
      <c r="O182" s="291">
        <v>611</v>
      </c>
      <c r="P182" s="277">
        <v>2730</v>
      </c>
      <c r="Q182" s="226">
        <v>1.3</v>
      </c>
      <c r="R182" s="41"/>
      <c r="S182" s="44"/>
      <c r="W182" s="4"/>
    </row>
    <row r="183" spans="2:32" ht="12" customHeight="1" x14ac:dyDescent="0.2">
      <c r="C183" s="319"/>
      <c r="D183" s="320"/>
      <c r="E183" s="315"/>
      <c r="F183" s="319"/>
      <c r="G183" s="320"/>
      <c r="H183" s="315"/>
      <c r="I183" s="319"/>
      <c r="J183" s="320"/>
      <c r="K183" s="315"/>
      <c r="L183" s="319"/>
      <c r="M183" s="320"/>
      <c r="N183" s="315"/>
      <c r="O183" s="319"/>
      <c r="P183" s="320"/>
      <c r="Q183" s="315"/>
      <c r="R183" s="41"/>
      <c r="S183" s="44"/>
      <c r="W183" s="4"/>
    </row>
    <row r="184" spans="2:32" ht="12" customHeight="1" thickBot="1" x14ac:dyDescent="0.25">
      <c r="C184" s="321"/>
      <c r="D184" s="322"/>
      <c r="E184" s="317"/>
      <c r="F184" s="321"/>
      <c r="G184" s="322"/>
      <c r="H184" s="317"/>
      <c r="I184" s="321"/>
      <c r="J184" s="322"/>
      <c r="K184" s="317"/>
      <c r="L184" s="321"/>
      <c r="M184" s="322"/>
      <c r="N184" s="317"/>
      <c r="O184" s="321"/>
      <c r="P184" s="322"/>
      <c r="Q184" s="317"/>
      <c r="R184" s="41"/>
      <c r="S184" s="44"/>
      <c r="W184" s="4"/>
    </row>
    <row r="185" spans="2:32" ht="12" customHeight="1" x14ac:dyDescent="0.2">
      <c r="C185" s="290"/>
      <c r="D185" s="275"/>
      <c r="E185" s="223"/>
      <c r="F185" s="290"/>
      <c r="G185" s="275"/>
      <c r="H185" s="223"/>
      <c r="I185" s="290"/>
      <c r="J185" s="275"/>
      <c r="K185" s="223"/>
      <c r="L185" s="290"/>
      <c r="M185" s="275"/>
      <c r="N185" s="223"/>
      <c r="O185" s="290"/>
      <c r="P185" s="275"/>
      <c r="Q185" s="223"/>
      <c r="R185" s="41"/>
      <c r="S185" s="44"/>
      <c r="W185" s="4"/>
    </row>
    <row r="186" spans="2:32" ht="12" customHeight="1" x14ac:dyDescent="0.2">
      <c r="C186" s="291">
        <v>185</v>
      </c>
      <c r="D186" s="277">
        <v>2540</v>
      </c>
      <c r="E186" s="226">
        <v>2.1</v>
      </c>
      <c r="F186" s="291">
        <v>12700</v>
      </c>
      <c r="G186" s="277">
        <v>2400</v>
      </c>
      <c r="H186" s="226">
        <v>5</v>
      </c>
      <c r="I186" s="291">
        <v>165</v>
      </c>
      <c r="J186" s="277">
        <v>2270</v>
      </c>
      <c r="K186" s="226">
        <v>1</v>
      </c>
      <c r="L186" s="291">
        <v>11900</v>
      </c>
      <c r="M186" s="277">
        <v>2670</v>
      </c>
      <c r="N186" s="324"/>
      <c r="O186" s="291">
        <v>487</v>
      </c>
      <c r="P186" s="277">
        <v>2410</v>
      </c>
      <c r="Q186" s="231">
        <v>3.1</v>
      </c>
      <c r="R186" s="41"/>
      <c r="S186" s="44"/>
      <c r="W186" s="4"/>
    </row>
    <row r="187" spans="2:32" ht="12" customHeight="1" x14ac:dyDescent="0.2">
      <c r="C187" s="289"/>
      <c r="D187" s="279"/>
      <c r="E187" s="55"/>
      <c r="F187" s="289"/>
      <c r="G187" s="279"/>
      <c r="H187" s="55"/>
      <c r="I187" s="289"/>
      <c r="J187" s="279"/>
      <c r="K187" s="55"/>
      <c r="L187" s="289"/>
      <c r="M187" s="279"/>
      <c r="N187" s="56"/>
      <c r="O187" s="289">
        <v>254</v>
      </c>
      <c r="P187" s="279">
        <v>2550</v>
      </c>
      <c r="Q187" s="55">
        <v>2</v>
      </c>
      <c r="R187" s="41"/>
      <c r="S187" s="44"/>
      <c r="W187" s="4"/>
    </row>
    <row r="188" spans="2:32" ht="12" customHeight="1" x14ac:dyDescent="0.2">
      <c r="D188" s="40"/>
      <c r="E188" s="41"/>
      <c r="F188" s="41"/>
      <c r="G188" s="42"/>
      <c r="H188" s="41"/>
      <c r="I188" s="42"/>
      <c r="J188" s="42"/>
      <c r="K188" s="42"/>
      <c r="L188" s="43"/>
      <c r="M188" s="41"/>
      <c r="N188" s="41"/>
      <c r="O188" s="41"/>
      <c r="P188" s="41"/>
      <c r="Q188" s="41"/>
      <c r="R188" s="41"/>
      <c r="S188" s="44"/>
      <c r="U188" s="46"/>
      <c r="W188" s="47"/>
      <c r="X188" s="41"/>
    </row>
    <row r="189" spans="2:32" ht="12" customHeight="1" x14ac:dyDescent="0.3">
      <c r="B189" s="1" t="s">
        <v>0</v>
      </c>
      <c r="C189" s="3" t="s">
        <v>1</v>
      </c>
      <c r="E189" s="4"/>
      <c r="F189" s="4"/>
      <c r="J189" s="5"/>
      <c r="K189" s="3"/>
      <c r="L189" s="4"/>
      <c r="N189" s="3" t="s">
        <v>1</v>
      </c>
      <c r="P189" s="4"/>
      <c r="Q189" s="4"/>
      <c r="V189" s="3"/>
      <c r="W189" s="4"/>
      <c r="X189" s="41"/>
    </row>
    <row r="190" spans="2:32" ht="12" customHeight="1" x14ac:dyDescent="0.2">
      <c r="B190" s="7" t="s">
        <v>3</v>
      </c>
      <c r="C190" s="12" t="s">
        <v>29</v>
      </c>
      <c r="D190" s="12"/>
      <c r="E190" s="12"/>
      <c r="F190" s="36"/>
      <c r="G190" s="36"/>
      <c r="H190" s="36"/>
      <c r="I190" s="38"/>
      <c r="J190" s="12" t="s">
        <v>5</v>
      </c>
      <c r="K190" s="37"/>
      <c r="L190" s="38"/>
      <c r="M190" s="8" t="s">
        <v>3</v>
      </c>
      <c r="N190" s="12" t="s">
        <v>29</v>
      </c>
      <c r="O190" s="36"/>
      <c r="P190" s="36"/>
      <c r="Q190" s="36"/>
      <c r="R190" s="12" t="s">
        <v>5</v>
      </c>
      <c r="S190" s="37"/>
      <c r="T190" s="38"/>
      <c r="U190" s="41"/>
      <c r="W190" s="4"/>
    </row>
    <row r="191" spans="2:32" s="28" customFormat="1" ht="12" customHeight="1" x14ac:dyDescent="0.2">
      <c r="B191" s="21" t="s">
        <v>10</v>
      </c>
      <c r="C191" s="313" t="s">
        <v>6</v>
      </c>
      <c r="D191" s="128"/>
      <c r="E191" s="128"/>
      <c r="F191" s="128"/>
      <c r="G191" s="128"/>
      <c r="H191" s="128"/>
      <c r="I191" s="128"/>
      <c r="J191" s="128"/>
      <c r="K191" s="128"/>
      <c r="L191" s="129"/>
      <c r="M191" s="22" t="s">
        <v>10</v>
      </c>
      <c r="N191" s="313" t="s">
        <v>7</v>
      </c>
      <c r="O191" s="128"/>
      <c r="P191" s="128"/>
      <c r="Q191" s="128"/>
      <c r="R191" s="128"/>
      <c r="S191" s="128"/>
      <c r="T191" s="129"/>
      <c r="U191" s="41"/>
      <c r="V191" s="4"/>
      <c r="W191" s="4"/>
      <c r="AA191" s="4"/>
      <c r="AB191" s="4"/>
      <c r="AC191" s="4"/>
      <c r="AD191" s="4"/>
      <c r="AE191" s="4"/>
      <c r="AF191" s="4"/>
    </row>
    <row r="192" spans="2:32" s="28" customFormat="1" ht="12" customHeight="1" x14ac:dyDescent="0.2">
      <c r="B192" s="29" t="s">
        <v>13</v>
      </c>
      <c r="C192" s="293" t="s">
        <v>14</v>
      </c>
      <c r="D192" s="294" t="s">
        <v>15</v>
      </c>
      <c r="E192" s="91" t="s">
        <v>36</v>
      </c>
      <c r="F192" s="295" t="s">
        <v>16</v>
      </c>
      <c r="G192" s="295" t="s">
        <v>17</v>
      </c>
      <c r="H192" s="296" t="s">
        <v>18</v>
      </c>
      <c r="I192" s="31" t="s">
        <v>19</v>
      </c>
      <c r="J192" s="293" t="s">
        <v>14</v>
      </c>
      <c r="K192" s="294" t="s">
        <v>15</v>
      </c>
      <c r="L192" s="30" t="s">
        <v>16</v>
      </c>
      <c r="M192" s="50" t="s">
        <v>13</v>
      </c>
      <c r="N192" s="293" t="s">
        <v>14</v>
      </c>
      <c r="O192" s="294" t="s">
        <v>15</v>
      </c>
      <c r="P192" s="91" t="s">
        <v>36</v>
      </c>
      <c r="Q192" s="295" t="s">
        <v>16</v>
      </c>
      <c r="R192" s="293" t="s">
        <v>14</v>
      </c>
      <c r="S192" s="294" t="s">
        <v>15</v>
      </c>
      <c r="T192" s="30" t="s">
        <v>16</v>
      </c>
      <c r="U192" s="41"/>
      <c r="V192" s="4"/>
      <c r="W192" s="4"/>
      <c r="AA192" s="4"/>
      <c r="AB192" s="4"/>
      <c r="AC192" s="4"/>
      <c r="AD192" s="4"/>
      <c r="AE192" s="4"/>
      <c r="AF192" s="4"/>
    </row>
    <row r="193" spans="2:32" s="28" customFormat="1" ht="12" customHeight="1" x14ac:dyDescent="0.2">
      <c r="B193" s="21" t="s">
        <v>20</v>
      </c>
      <c r="C193" s="297" t="s">
        <v>21</v>
      </c>
      <c r="D193" s="298" t="s">
        <v>21</v>
      </c>
      <c r="E193" s="298" t="s">
        <v>21</v>
      </c>
      <c r="F193" s="298" t="s">
        <v>21</v>
      </c>
      <c r="G193" s="299" t="s">
        <v>21</v>
      </c>
      <c r="H193" s="300" t="s">
        <v>23</v>
      </c>
      <c r="I193" s="30"/>
      <c r="J193" s="297" t="s">
        <v>21</v>
      </c>
      <c r="K193" s="298" t="s">
        <v>21</v>
      </c>
      <c r="L193" s="30" t="s">
        <v>22</v>
      </c>
      <c r="M193" s="53" t="s">
        <v>20</v>
      </c>
      <c r="N193" s="297" t="s">
        <v>21</v>
      </c>
      <c r="O193" s="298" t="s">
        <v>21</v>
      </c>
      <c r="P193" s="298" t="s">
        <v>21</v>
      </c>
      <c r="Q193" s="298" t="s">
        <v>21</v>
      </c>
      <c r="R193" s="297" t="s">
        <v>21</v>
      </c>
      <c r="S193" s="298" t="s">
        <v>21</v>
      </c>
      <c r="T193" s="30" t="s">
        <v>22</v>
      </c>
      <c r="U193" s="41"/>
      <c r="V193" s="4"/>
      <c r="W193" s="4"/>
      <c r="AA193" s="4"/>
      <c r="AB193" s="4"/>
      <c r="AC193" s="4"/>
      <c r="AD193" s="4"/>
      <c r="AE193" s="4"/>
      <c r="AF193" s="4"/>
    </row>
    <row r="194" spans="2:32" ht="12" customHeight="1" x14ac:dyDescent="0.2">
      <c r="B194" s="215">
        <v>30188</v>
      </c>
      <c r="C194" s="135">
        <f t="shared" ref="C194:D197" si="60">C203/27</f>
        <v>13.25925925925926</v>
      </c>
      <c r="D194" s="301">
        <f t="shared" si="60"/>
        <v>104.81481481481481</v>
      </c>
      <c r="E194" s="301"/>
      <c r="F194" s="144">
        <f>(E203/27*1000)/1000</f>
        <v>5.5555555555555552E-2</v>
      </c>
      <c r="G194" s="138"/>
      <c r="H194" s="139"/>
      <c r="I194" s="140"/>
      <c r="J194" s="308" t="s">
        <v>31</v>
      </c>
      <c r="K194" s="142"/>
      <c r="L194" s="216"/>
      <c r="M194" s="217"/>
      <c r="N194" s="135"/>
      <c r="O194" s="142"/>
      <c r="P194" s="142"/>
      <c r="Q194" s="136"/>
      <c r="R194" s="141"/>
      <c r="S194" s="142"/>
      <c r="T194" s="145"/>
      <c r="U194" s="41"/>
      <c r="W194" s="4"/>
    </row>
    <row r="195" spans="2:32" ht="12" customHeight="1" x14ac:dyDescent="0.2">
      <c r="B195" s="218"/>
      <c r="C195" s="302">
        <f t="shared" si="60"/>
        <v>9.6296296296296298</v>
      </c>
      <c r="D195" s="303">
        <f t="shared" si="60"/>
        <v>94.444444444444443</v>
      </c>
      <c r="E195" s="303"/>
      <c r="F195" s="169">
        <f>(E204/27*1000)/1000</f>
        <v>0.26296296296296295</v>
      </c>
      <c r="G195" s="304"/>
      <c r="H195" s="305"/>
      <c r="I195" s="292"/>
      <c r="J195" s="309">
        <f>F204/27</f>
        <v>0</v>
      </c>
      <c r="K195" s="310">
        <f>G204/27</f>
        <v>92.592592592592595</v>
      </c>
      <c r="L195" s="170">
        <f>(H204/27*1000)/1000</f>
        <v>0.55555555555555558</v>
      </c>
      <c r="M195" s="219"/>
      <c r="N195" s="147"/>
      <c r="O195" s="154"/>
      <c r="P195" s="154"/>
      <c r="Q195" s="148"/>
      <c r="R195" s="153"/>
      <c r="S195" s="154"/>
      <c r="T195" s="156"/>
      <c r="U195" s="41"/>
      <c r="W195" s="4"/>
    </row>
    <row r="196" spans="2:32" ht="12" customHeight="1" x14ac:dyDescent="0.2">
      <c r="B196" s="220">
        <v>31579</v>
      </c>
      <c r="C196" s="147">
        <f t="shared" si="60"/>
        <v>26.518518518518519</v>
      </c>
      <c r="D196" s="306">
        <f t="shared" si="60"/>
        <v>67.037037037037038</v>
      </c>
      <c r="E196" s="306"/>
      <c r="F196" s="169">
        <f>(E205/27*1000)/1000</f>
        <v>4.8148148148148148E-2</v>
      </c>
      <c r="G196" s="150"/>
      <c r="H196" s="151"/>
      <c r="I196" s="152"/>
      <c r="J196" s="311" t="s">
        <v>31</v>
      </c>
      <c r="K196" s="154"/>
      <c r="L196" s="221"/>
      <c r="M196" s="222"/>
      <c r="N196" s="147"/>
      <c r="O196" s="154"/>
      <c r="P196" s="154"/>
      <c r="Q196" s="148"/>
      <c r="R196" s="153"/>
      <c r="S196" s="154"/>
      <c r="T196" s="156"/>
      <c r="U196" s="41"/>
      <c r="W196" s="4"/>
    </row>
    <row r="197" spans="2:32" ht="12" customHeight="1" x14ac:dyDescent="0.2">
      <c r="B197" s="33">
        <v>31945</v>
      </c>
      <c r="C197" s="93">
        <f t="shared" si="60"/>
        <v>36.666666666666664</v>
      </c>
      <c r="D197" s="307">
        <f t="shared" si="60"/>
        <v>93.333333333333329</v>
      </c>
      <c r="E197" s="307"/>
      <c r="F197" s="99">
        <f>(E206/27*1000)/1000</f>
        <v>5.185185185185185E-2</v>
      </c>
      <c r="G197" s="98" t="s">
        <v>25</v>
      </c>
      <c r="H197" s="96">
        <v>0.2</v>
      </c>
      <c r="I197" s="35" t="s">
        <v>25</v>
      </c>
      <c r="J197" s="312" t="s">
        <v>31</v>
      </c>
      <c r="K197" s="105"/>
      <c r="L197" s="54"/>
      <c r="M197" s="63"/>
      <c r="N197" s="93">
        <f>I206/27</f>
        <v>21.814814814814813</v>
      </c>
      <c r="O197" s="307">
        <f>J206/27</f>
        <v>84.81481481481481</v>
      </c>
      <c r="P197" s="307"/>
      <c r="Q197" s="97">
        <f>(K206/27*1000)/1000</f>
        <v>3.7037037037037035E-2</v>
      </c>
      <c r="R197" s="312" t="s">
        <v>31</v>
      </c>
      <c r="S197" s="105"/>
      <c r="T197" s="88"/>
      <c r="U197" s="41"/>
      <c r="W197" s="4"/>
    </row>
    <row r="198" spans="2:32" ht="12" customHeight="1" x14ac:dyDescent="0.2">
      <c r="C198" s="59" t="s">
        <v>35</v>
      </c>
      <c r="D198" s="40"/>
      <c r="E198" s="41"/>
      <c r="F198" s="41"/>
      <c r="G198" s="42"/>
      <c r="H198" s="41"/>
      <c r="I198" s="42"/>
      <c r="J198" s="42"/>
      <c r="K198" s="46" t="s">
        <v>32</v>
      </c>
      <c r="L198" s="43"/>
      <c r="M198" s="41"/>
      <c r="N198" s="41"/>
      <c r="O198" s="41"/>
      <c r="P198" s="41"/>
      <c r="Q198" s="41"/>
      <c r="R198" s="41"/>
      <c r="S198" s="44"/>
      <c r="W198" s="47"/>
      <c r="X198" s="41"/>
    </row>
    <row r="199" spans="2:32" ht="12" customHeight="1" x14ac:dyDescent="0.2">
      <c r="C199" s="14" t="s">
        <v>6</v>
      </c>
      <c r="D199" s="15"/>
      <c r="E199" s="15"/>
      <c r="F199" s="16"/>
      <c r="G199" s="17"/>
      <c r="H199" s="18"/>
      <c r="I199" s="16" t="s">
        <v>7</v>
      </c>
      <c r="J199" s="15"/>
      <c r="K199" s="15"/>
      <c r="L199" s="16"/>
      <c r="M199" s="16" t="s">
        <v>8</v>
      </c>
      <c r="N199" s="19"/>
      <c r="O199" s="41"/>
      <c r="P199" s="41"/>
      <c r="Q199" s="41"/>
      <c r="R199" s="41"/>
      <c r="S199" s="44"/>
      <c r="U199" s="46"/>
      <c r="W199" s="47"/>
      <c r="X199" s="41"/>
    </row>
    <row r="200" spans="2:32" ht="12" customHeight="1" x14ac:dyDescent="0.2">
      <c r="C200" s="39" t="s">
        <v>30</v>
      </c>
      <c r="D200" s="25"/>
      <c r="E200" s="26"/>
      <c r="F200" s="27"/>
      <c r="G200" s="27" t="s">
        <v>8</v>
      </c>
      <c r="H200" s="26"/>
      <c r="I200" s="39" t="s">
        <v>30</v>
      </c>
      <c r="J200" s="25"/>
      <c r="K200" s="26"/>
      <c r="L200" s="27"/>
      <c r="M200" s="27" t="s">
        <v>8</v>
      </c>
      <c r="N200" s="26"/>
      <c r="O200" s="41"/>
      <c r="P200" s="41"/>
      <c r="Q200" s="41"/>
      <c r="R200" s="41"/>
      <c r="S200" s="44"/>
      <c r="U200" s="46"/>
      <c r="W200" s="47"/>
      <c r="X200" s="41"/>
    </row>
    <row r="201" spans="2:32" ht="12" customHeight="1" x14ac:dyDescent="0.2">
      <c r="C201" s="270" t="s">
        <v>14</v>
      </c>
      <c r="D201" s="271" t="s">
        <v>15</v>
      </c>
      <c r="E201" s="32" t="s">
        <v>16</v>
      </c>
      <c r="F201" s="270" t="s">
        <v>14</v>
      </c>
      <c r="G201" s="271" t="s">
        <v>15</v>
      </c>
      <c r="H201" s="32" t="s">
        <v>16</v>
      </c>
      <c r="I201" s="270" t="s">
        <v>14</v>
      </c>
      <c r="J201" s="271" t="s">
        <v>15</v>
      </c>
      <c r="K201" s="32" t="s">
        <v>16</v>
      </c>
      <c r="L201" s="270" t="s">
        <v>14</v>
      </c>
      <c r="M201" s="271" t="s">
        <v>15</v>
      </c>
      <c r="N201" s="32" t="s">
        <v>16</v>
      </c>
      <c r="O201" s="41"/>
      <c r="P201" s="41"/>
      <c r="Q201" s="41"/>
      <c r="R201" s="41"/>
      <c r="S201" s="44"/>
      <c r="U201" s="46"/>
      <c r="W201" s="47"/>
      <c r="X201" s="41"/>
    </row>
    <row r="202" spans="2:32" ht="12" customHeight="1" x14ac:dyDescent="0.2">
      <c r="C202" s="272" t="s">
        <v>24</v>
      </c>
      <c r="D202" s="273" t="s">
        <v>24</v>
      </c>
      <c r="E202" s="32" t="s">
        <v>24</v>
      </c>
      <c r="F202" s="272" t="s">
        <v>24</v>
      </c>
      <c r="G202" s="273" t="s">
        <v>24</v>
      </c>
      <c r="H202" s="32" t="s">
        <v>24</v>
      </c>
      <c r="I202" s="272" t="s">
        <v>24</v>
      </c>
      <c r="J202" s="273" t="s">
        <v>24</v>
      </c>
      <c r="K202" s="32" t="s">
        <v>24</v>
      </c>
      <c r="L202" s="272" t="s">
        <v>24</v>
      </c>
      <c r="M202" s="273" t="s">
        <v>24</v>
      </c>
      <c r="N202" s="32" t="s">
        <v>24</v>
      </c>
      <c r="O202" s="41"/>
      <c r="P202" s="41"/>
      <c r="Q202" s="41"/>
      <c r="R202" s="41"/>
      <c r="S202" s="44"/>
      <c r="U202" s="46"/>
      <c r="W202" s="47"/>
      <c r="X202" s="41"/>
    </row>
    <row r="203" spans="2:32" ht="12" customHeight="1" x14ac:dyDescent="0.2">
      <c r="C203" s="274">
        <v>358</v>
      </c>
      <c r="D203" s="275">
        <v>2830</v>
      </c>
      <c r="E203" s="223">
        <v>1.5</v>
      </c>
      <c r="F203" s="280" t="s">
        <v>31</v>
      </c>
      <c r="G203" s="281"/>
      <c r="H203" s="224"/>
      <c r="I203" s="285"/>
      <c r="J203" s="286"/>
      <c r="K203" s="225"/>
      <c r="L203" s="285"/>
      <c r="M203" s="286"/>
      <c r="N203" s="225"/>
      <c r="O203" s="41"/>
      <c r="P203" s="41"/>
      <c r="Q203" s="41"/>
      <c r="R203" s="41"/>
      <c r="S203" s="44"/>
      <c r="U203" s="46"/>
      <c r="W203" s="47"/>
      <c r="X203" s="41"/>
    </row>
    <row r="204" spans="2:32" ht="12" customHeight="1" x14ac:dyDescent="0.2">
      <c r="C204" s="276">
        <v>260</v>
      </c>
      <c r="D204" s="277">
        <v>2550</v>
      </c>
      <c r="E204" s="227">
        <v>7.1</v>
      </c>
      <c r="F204" s="326"/>
      <c r="G204" s="277">
        <v>2500</v>
      </c>
      <c r="H204" s="226">
        <v>15</v>
      </c>
      <c r="I204" s="287"/>
      <c r="J204" s="288"/>
      <c r="K204" s="229"/>
      <c r="L204" s="287"/>
      <c r="M204" s="288"/>
      <c r="N204" s="229"/>
      <c r="O204" s="41"/>
      <c r="P204" s="41"/>
      <c r="Q204" s="41"/>
      <c r="R204" s="41"/>
      <c r="S204" s="44"/>
      <c r="U204" s="46"/>
      <c r="W204" s="47"/>
      <c r="X204" s="41"/>
    </row>
    <row r="205" spans="2:32" ht="12" customHeight="1" x14ac:dyDescent="0.2">
      <c r="C205" s="276">
        <v>716</v>
      </c>
      <c r="D205" s="277">
        <v>1810</v>
      </c>
      <c r="E205" s="226">
        <v>1.3</v>
      </c>
      <c r="F205" s="282" t="s">
        <v>31</v>
      </c>
      <c r="G205" s="283"/>
      <c r="H205" s="228"/>
      <c r="I205" s="287"/>
      <c r="J205" s="288"/>
      <c r="K205" s="229"/>
      <c r="L205" s="287"/>
      <c r="M205" s="288"/>
      <c r="N205" s="229"/>
      <c r="O205" s="41"/>
      <c r="P205" s="41"/>
      <c r="Q205" s="41"/>
      <c r="R205" s="41"/>
      <c r="S205" s="44"/>
      <c r="U205" s="46"/>
      <c r="W205" s="47"/>
      <c r="X205" s="41"/>
    </row>
    <row r="206" spans="2:32" ht="12" customHeight="1" x14ac:dyDescent="0.2">
      <c r="C206" s="278">
        <v>990</v>
      </c>
      <c r="D206" s="279">
        <v>2520</v>
      </c>
      <c r="E206" s="55">
        <v>1.4</v>
      </c>
      <c r="F206" s="272" t="s">
        <v>31</v>
      </c>
      <c r="G206" s="284"/>
      <c r="H206" s="56"/>
      <c r="I206" s="289">
        <v>589</v>
      </c>
      <c r="J206" s="279">
        <v>2290</v>
      </c>
      <c r="K206" s="55">
        <v>1</v>
      </c>
      <c r="L206" s="272" t="s">
        <v>31</v>
      </c>
      <c r="M206" s="284"/>
      <c r="N206" s="56"/>
      <c r="O206" s="41"/>
      <c r="P206" s="41"/>
      <c r="Q206" s="41"/>
      <c r="R206" s="41"/>
      <c r="S206" s="44"/>
      <c r="U206" s="46"/>
      <c r="W206" s="47"/>
      <c r="X206" s="41"/>
    </row>
    <row r="207" spans="2:32" ht="12" customHeight="1" x14ac:dyDescent="0.2">
      <c r="D207" s="40"/>
      <c r="E207" s="41"/>
      <c r="F207" s="41"/>
      <c r="G207" s="42"/>
      <c r="H207" s="41"/>
      <c r="I207" s="42"/>
      <c r="J207" s="42"/>
      <c r="K207" s="42"/>
      <c r="L207" s="43"/>
      <c r="M207" s="41"/>
      <c r="N207" s="41"/>
      <c r="O207" s="41"/>
      <c r="P207" s="41"/>
      <c r="Q207" s="41"/>
      <c r="R207" s="41"/>
      <c r="S207" s="44"/>
      <c r="U207" s="46"/>
      <c r="W207" s="47"/>
      <c r="X207" s="41"/>
    </row>
    <row r="208" spans="2:32" ht="12" customHeight="1" x14ac:dyDescent="0.2">
      <c r="B208" s="235" t="s">
        <v>103</v>
      </c>
      <c r="C208" s="236" t="s">
        <v>104</v>
      </c>
      <c r="D208" s="237"/>
      <c r="E208" s="4"/>
      <c r="F208" s="41"/>
      <c r="G208" s="41"/>
      <c r="H208" s="238"/>
    </row>
    <row r="209" spans="2:12" ht="12" customHeight="1" x14ac:dyDescent="0.2">
      <c r="B209" s="235" t="s">
        <v>105</v>
      </c>
      <c r="C209" s="236" t="s">
        <v>106</v>
      </c>
      <c r="D209" s="237"/>
      <c r="E209" s="4"/>
      <c r="F209" s="41"/>
      <c r="G209" s="41"/>
      <c r="H209" s="238"/>
    </row>
    <row r="210" spans="2:12" ht="12" customHeight="1" x14ac:dyDescent="0.2">
      <c r="B210" s="235" t="s">
        <v>107</v>
      </c>
      <c r="C210" s="239" t="s">
        <v>108</v>
      </c>
      <c r="D210" s="237"/>
      <c r="E210" s="4"/>
      <c r="F210" s="41"/>
      <c r="G210" s="41"/>
      <c r="H210" s="238"/>
    </row>
    <row r="211" spans="2:12" ht="12" customHeight="1" x14ac:dyDescent="0.2">
      <c r="B211" s="235" t="s">
        <v>109</v>
      </c>
      <c r="C211" s="239" t="s">
        <v>110</v>
      </c>
      <c r="D211" s="237"/>
      <c r="E211" s="4"/>
      <c r="F211" s="41"/>
      <c r="G211" s="41"/>
      <c r="H211" s="238"/>
    </row>
    <row r="212" spans="2:12" ht="12" customHeight="1" x14ac:dyDescent="0.2">
      <c r="B212" s="235" t="s">
        <v>111</v>
      </c>
      <c r="C212" s="239" t="s">
        <v>112</v>
      </c>
      <c r="D212" s="237"/>
      <c r="E212" s="4"/>
      <c r="F212" s="41"/>
      <c r="G212" s="41"/>
      <c r="H212" s="238"/>
    </row>
    <row r="213" spans="2:12" ht="12" customHeight="1" x14ac:dyDescent="0.2">
      <c r="B213" s="235" t="s">
        <v>113</v>
      </c>
      <c r="C213" s="239" t="s">
        <v>114</v>
      </c>
      <c r="D213" s="237"/>
      <c r="E213" s="4"/>
      <c r="F213" s="41"/>
      <c r="G213" s="41"/>
      <c r="H213" s="3"/>
    </row>
    <row r="214" spans="2:12" ht="12" customHeight="1" x14ac:dyDescent="0.2">
      <c r="B214" s="235" t="s">
        <v>115</v>
      </c>
      <c r="C214" s="240" t="s">
        <v>116</v>
      </c>
      <c r="E214" s="4"/>
      <c r="F214" s="41"/>
      <c r="G214" s="41"/>
      <c r="H214" s="41"/>
    </row>
    <row r="215" spans="2:12" ht="12" customHeight="1" x14ac:dyDescent="0.2">
      <c r="B215" s="235" t="s">
        <v>117</v>
      </c>
      <c r="C215" s="240" t="s">
        <v>118</v>
      </c>
      <c r="E215" s="4"/>
      <c r="F215" s="41"/>
      <c r="G215" s="41"/>
      <c r="H215" s="41"/>
    </row>
    <row r="216" spans="2:12" ht="12" customHeight="1" x14ac:dyDescent="0.2">
      <c r="B216" s="235" t="s">
        <v>119</v>
      </c>
      <c r="C216" s="239" t="s">
        <v>120</v>
      </c>
      <c r="E216" s="4"/>
      <c r="F216" s="241"/>
      <c r="G216" s="241"/>
    </row>
    <row r="217" spans="2:12" ht="12" customHeight="1" x14ac:dyDescent="0.2">
      <c r="B217" s="235" t="s">
        <v>121</v>
      </c>
      <c r="C217" s="239" t="s">
        <v>122</v>
      </c>
      <c r="E217" s="4"/>
      <c r="F217" s="4"/>
    </row>
    <row r="218" spans="2:12" ht="12" customHeight="1" x14ac:dyDescent="0.2">
      <c r="B218" s="235" t="s">
        <v>123</v>
      </c>
      <c r="C218" s="239" t="s">
        <v>124</v>
      </c>
      <c r="E218" s="4"/>
      <c r="F218" s="4"/>
    </row>
    <row r="219" spans="2:12" ht="12" customHeight="1" x14ac:dyDescent="0.2">
      <c r="B219" s="235" t="s">
        <v>125</v>
      </c>
      <c r="C219" s="240" t="s">
        <v>126</v>
      </c>
      <c r="D219" s="242"/>
      <c r="E219" s="4"/>
      <c r="F219" s="4"/>
    </row>
    <row r="220" spans="2:12" ht="12" customHeight="1" x14ac:dyDescent="0.2">
      <c r="B220" s="235" t="s">
        <v>127</v>
      </c>
      <c r="C220" s="240" t="s">
        <v>128</v>
      </c>
      <c r="D220" s="244"/>
      <c r="E220" s="4"/>
      <c r="F220" s="4"/>
    </row>
    <row r="221" spans="2:12" ht="12" customHeight="1" x14ac:dyDescent="0.2">
      <c r="B221" s="235" t="s">
        <v>129</v>
      </c>
      <c r="C221" s="243" t="s">
        <v>130</v>
      </c>
      <c r="D221" s="244"/>
      <c r="E221" s="4"/>
    </row>
    <row r="223" spans="2:12" ht="12" customHeight="1" x14ac:dyDescent="0.2">
      <c r="C223" s="4" t="s">
        <v>140</v>
      </c>
      <c r="E223" s="4"/>
      <c r="F223" s="4"/>
      <c r="L223" s="4"/>
    </row>
    <row r="224" spans="2:12" ht="12" customHeight="1" x14ac:dyDescent="0.2">
      <c r="C224" s="4" t="s">
        <v>141</v>
      </c>
      <c r="E224" s="4"/>
      <c r="F224" s="4"/>
      <c r="L224" s="4"/>
    </row>
    <row r="225" spans="3:17" ht="12" customHeight="1" x14ac:dyDescent="0.2">
      <c r="C225" s="4" t="s">
        <v>142</v>
      </c>
      <c r="E225" s="4"/>
      <c r="F225" s="4"/>
      <c r="L225" s="4"/>
    </row>
    <row r="226" spans="3:17" ht="12" customHeight="1" x14ac:dyDescent="0.2">
      <c r="C226" s="4" t="s">
        <v>143</v>
      </c>
      <c r="E226" s="4"/>
      <c r="F226" s="4"/>
      <c r="L226" s="4"/>
    </row>
    <row r="227" spans="3:17" ht="12" customHeight="1" x14ac:dyDescent="0.2">
      <c r="C227" s="4" t="s">
        <v>144</v>
      </c>
      <c r="E227" s="4"/>
      <c r="F227" s="4"/>
      <c r="L227" s="4"/>
    </row>
    <row r="228" spans="3:17" ht="12" customHeight="1" x14ac:dyDescent="0.2">
      <c r="C228" s="4" t="s">
        <v>145</v>
      </c>
      <c r="E228" s="4"/>
      <c r="F228" s="4"/>
      <c r="L228" s="4"/>
    </row>
    <row r="229" spans="3:17" ht="12" customHeight="1" x14ac:dyDescent="0.2">
      <c r="C229" s="65" t="s">
        <v>146</v>
      </c>
      <c r="E229" s="4"/>
      <c r="F229" s="4"/>
      <c r="L229" s="4"/>
    </row>
    <row r="230" spans="3:17" ht="12" customHeight="1" x14ac:dyDescent="0.2">
      <c r="C230" s="4" t="s">
        <v>149</v>
      </c>
      <c r="E230" s="4"/>
      <c r="F230" s="4"/>
      <c r="H230" s="66"/>
      <c r="L230" s="4"/>
    </row>
    <row r="231" spans="3:17" ht="12" customHeight="1" x14ac:dyDescent="0.2">
      <c r="C231" s="4" t="s">
        <v>39</v>
      </c>
      <c r="E231" s="4"/>
      <c r="F231" s="75" t="s">
        <v>13</v>
      </c>
      <c r="G231" s="75"/>
      <c r="H231" s="75" t="s">
        <v>14</v>
      </c>
      <c r="I231" s="76" t="s">
        <v>15</v>
      </c>
      <c r="J231" s="77" t="s">
        <v>36</v>
      </c>
      <c r="K231" s="78" t="s">
        <v>16</v>
      </c>
      <c r="L231" s="4"/>
      <c r="M231" s="75"/>
      <c r="N231" s="75" t="s">
        <v>14</v>
      </c>
      <c r="O231" s="76" t="s">
        <v>15</v>
      </c>
      <c r="P231" s="77" t="s">
        <v>36</v>
      </c>
      <c r="Q231" s="78" t="s">
        <v>16</v>
      </c>
    </row>
    <row r="232" spans="3:17" ht="12" customHeight="1" x14ac:dyDescent="0.2">
      <c r="E232" s="4"/>
      <c r="F232" s="338">
        <v>41253</v>
      </c>
      <c r="G232" s="339"/>
      <c r="H232" s="34">
        <v>3.7</v>
      </c>
      <c r="I232" s="57">
        <v>92</v>
      </c>
      <c r="J232" s="67">
        <v>140</v>
      </c>
      <c r="K232" s="68">
        <v>240</v>
      </c>
      <c r="L232" s="4"/>
      <c r="M232" s="127">
        <v>41253</v>
      </c>
      <c r="N232" s="34">
        <v>6.2</v>
      </c>
      <c r="O232" s="57">
        <v>75</v>
      </c>
      <c r="P232" s="70">
        <v>8</v>
      </c>
      <c r="Q232" s="70">
        <v>8</v>
      </c>
    </row>
    <row r="233" spans="3:17" ht="12" customHeight="1" x14ac:dyDescent="0.2">
      <c r="C233" s="69" t="s">
        <v>153</v>
      </c>
    </row>
    <row r="234" spans="3:17" ht="12" customHeight="1" x14ac:dyDescent="0.2">
      <c r="C234" s="65" t="s">
        <v>147</v>
      </c>
      <c r="E234" s="4"/>
      <c r="F234" s="4"/>
      <c r="L234" s="4"/>
    </row>
    <row r="235" spans="3:17" ht="12" customHeight="1" x14ac:dyDescent="0.2">
      <c r="C235" s="4" t="s">
        <v>152</v>
      </c>
      <c r="E235" s="4"/>
      <c r="F235" s="4"/>
      <c r="H235" s="66"/>
      <c r="L235" s="4"/>
    </row>
    <row r="236" spans="3:17" ht="12" customHeight="1" x14ac:dyDescent="0.2">
      <c r="C236" s="4" t="s">
        <v>151</v>
      </c>
      <c r="E236" s="4"/>
      <c r="F236" s="13"/>
      <c r="G236" s="13"/>
      <c r="H236" s="232"/>
      <c r="L236" s="4"/>
    </row>
    <row r="237" spans="3:17" ht="12" customHeight="1" x14ac:dyDescent="0.2">
      <c r="C237" s="4" t="s">
        <v>150</v>
      </c>
      <c r="E237" s="4"/>
      <c r="F237" s="13"/>
      <c r="G237" s="13"/>
      <c r="H237" s="232"/>
      <c r="L237" s="4"/>
    </row>
    <row r="238" spans="3:17" ht="12" customHeight="1" x14ac:dyDescent="0.2">
      <c r="C238" s="65" t="s">
        <v>148</v>
      </c>
      <c r="E238" s="4"/>
      <c r="F238" s="4"/>
      <c r="L238" s="4"/>
    </row>
    <row r="239" spans="3:17" ht="12" customHeight="1" x14ac:dyDescent="0.2">
      <c r="E239" s="4"/>
      <c r="F239" s="4"/>
      <c r="L239" s="4"/>
    </row>
    <row r="245" spans="2:23" ht="12" customHeight="1" x14ac:dyDescent="0.2">
      <c r="B245" s="49"/>
      <c r="D245" s="48"/>
      <c r="H245" s="3"/>
      <c r="J245" s="49"/>
      <c r="P245" s="4"/>
      <c r="Q245" s="4"/>
      <c r="R245" s="49"/>
      <c r="T245" s="3"/>
      <c r="W245" s="4"/>
    </row>
    <row r="246" spans="2:23" ht="12" customHeight="1" x14ac:dyDescent="0.2">
      <c r="B246" s="49"/>
      <c r="D246" s="48"/>
      <c r="H246" s="3"/>
      <c r="J246" s="49"/>
      <c r="P246" s="4"/>
      <c r="Q246" s="4"/>
      <c r="R246" s="49"/>
      <c r="T246" s="3"/>
      <c r="W246" s="4"/>
    </row>
    <row r="247" spans="2:23" ht="12" customHeight="1" x14ac:dyDescent="0.2">
      <c r="B247" s="49"/>
      <c r="D247" s="48"/>
      <c r="H247" s="3"/>
      <c r="J247" s="49"/>
      <c r="P247" s="4"/>
      <c r="Q247" s="4"/>
      <c r="R247" s="49"/>
      <c r="T247" s="3"/>
      <c r="W247" s="4"/>
    </row>
    <row r="248" spans="2:23" ht="12" customHeight="1" x14ac:dyDescent="0.2">
      <c r="B248" s="49"/>
      <c r="D248" s="48"/>
      <c r="H248" s="3"/>
      <c r="J248" s="49"/>
      <c r="P248" s="4"/>
      <c r="Q248" s="4"/>
      <c r="R248" s="49"/>
      <c r="T248" s="3"/>
      <c r="W248" s="4"/>
    </row>
    <row r="249" spans="2:23" ht="12" customHeight="1" x14ac:dyDescent="0.2">
      <c r="B249" s="49"/>
      <c r="D249" s="48"/>
      <c r="H249" s="3"/>
      <c r="J249" s="49"/>
      <c r="P249" s="4"/>
      <c r="Q249" s="4"/>
      <c r="R249" s="49"/>
      <c r="T249" s="3"/>
      <c r="W249" s="4"/>
    </row>
    <row r="250" spans="2:23" ht="12" customHeight="1" x14ac:dyDescent="0.2">
      <c r="B250" s="49"/>
      <c r="D250" s="48"/>
      <c r="H250" s="3"/>
      <c r="J250" s="49"/>
      <c r="P250" s="4"/>
      <c r="Q250" s="4"/>
      <c r="R250" s="49"/>
      <c r="T250" s="3"/>
      <c r="W250" s="4"/>
    </row>
    <row r="251" spans="2:23" ht="12" customHeight="1" x14ac:dyDescent="0.2">
      <c r="B251" s="49"/>
      <c r="D251" s="48"/>
      <c r="H251" s="3"/>
      <c r="J251" s="49"/>
      <c r="P251" s="4"/>
      <c r="Q251" s="4"/>
      <c r="R251" s="49"/>
      <c r="T251" s="3"/>
      <c r="W251" s="4"/>
    </row>
    <row r="252" spans="2:23" ht="12" customHeight="1" x14ac:dyDescent="0.2">
      <c r="B252" s="49"/>
      <c r="D252" s="48"/>
      <c r="H252" s="3"/>
      <c r="J252" s="49"/>
      <c r="P252" s="4"/>
      <c r="Q252" s="4"/>
      <c r="R252" s="49"/>
      <c r="T252" s="3"/>
      <c r="W252" s="4"/>
    </row>
    <row r="253" spans="2:23" ht="12" customHeight="1" x14ac:dyDescent="0.2">
      <c r="B253" s="49"/>
      <c r="D253" s="48"/>
      <c r="H253" s="3"/>
      <c r="J253" s="49"/>
      <c r="P253" s="4"/>
      <c r="Q253" s="4"/>
      <c r="R253" s="49"/>
      <c r="T253" s="3"/>
      <c r="W253" s="4"/>
    </row>
    <row r="254" spans="2:23" ht="12" customHeight="1" x14ac:dyDescent="0.2">
      <c r="B254" s="49"/>
      <c r="D254" s="48"/>
      <c r="H254" s="3"/>
      <c r="J254" s="49"/>
      <c r="P254" s="4"/>
      <c r="Q254" s="4"/>
      <c r="R254" s="49"/>
      <c r="T254" s="3"/>
      <c r="W254" s="4"/>
    </row>
    <row r="255" spans="2:23" ht="12" customHeight="1" x14ac:dyDescent="0.2">
      <c r="B255" s="49"/>
      <c r="D255" s="48"/>
      <c r="H255" s="3"/>
      <c r="J255" s="49"/>
      <c r="P255" s="4"/>
      <c r="Q255" s="4"/>
      <c r="R255" s="49"/>
      <c r="T255" s="3"/>
      <c r="W255" s="4"/>
    </row>
    <row r="256" spans="2:23" ht="12" customHeight="1" x14ac:dyDescent="0.2">
      <c r="B256" s="49"/>
      <c r="D256" s="48"/>
      <c r="H256" s="3"/>
      <c r="J256" s="49"/>
      <c r="P256" s="4"/>
      <c r="Q256" s="4"/>
      <c r="R256" s="49"/>
      <c r="T256" s="3"/>
      <c r="W256" s="4"/>
    </row>
    <row r="257" spans="2:23" ht="12" customHeight="1" x14ac:dyDescent="0.2">
      <c r="B257" s="49"/>
      <c r="D257" s="48"/>
      <c r="H257" s="3"/>
      <c r="J257" s="49"/>
      <c r="P257" s="4"/>
      <c r="Q257" s="4"/>
      <c r="R257" s="49"/>
      <c r="T257" s="3"/>
      <c r="W257" s="4"/>
    </row>
    <row r="258" spans="2:23" ht="12" customHeight="1" x14ac:dyDescent="0.2">
      <c r="B258" s="49"/>
      <c r="D258" s="48"/>
      <c r="H258" s="3"/>
      <c r="J258" s="49"/>
      <c r="P258" s="4"/>
      <c r="Q258" s="4"/>
      <c r="R258" s="49"/>
      <c r="T258" s="3"/>
      <c r="W258" s="4"/>
    </row>
    <row r="259" spans="2:23" ht="12" customHeight="1" x14ac:dyDescent="0.2">
      <c r="B259" s="49"/>
      <c r="D259" s="48"/>
      <c r="H259" s="3"/>
      <c r="J259" s="49"/>
      <c r="P259" s="4"/>
      <c r="Q259" s="4"/>
      <c r="R259" s="49"/>
      <c r="T259" s="3"/>
      <c r="W259" s="4"/>
    </row>
    <row r="260" spans="2:23" ht="12" customHeight="1" x14ac:dyDescent="0.2">
      <c r="B260" s="49"/>
      <c r="D260" s="48"/>
      <c r="H260" s="3"/>
      <c r="J260" s="49"/>
      <c r="P260" s="4"/>
      <c r="Q260" s="4"/>
      <c r="R260" s="49"/>
      <c r="T260" s="3"/>
      <c r="W260" s="4"/>
    </row>
    <row r="261" spans="2:23" ht="12" customHeight="1" x14ac:dyDescent="0.2">
      <c r="B261" s="49"/>
      <c r="D261" s="48"/>
      <c r="H261" s="3"/>
      <c r="J261" s="49"/>
      <c r="P261" s="4"/>
      <c r="Q261" s="4"/>
      <c r="R261" s="49"/>
      <c r="T261" s="3"/>
      <c r="W261" s="4"/>
    </row>
    <row r="262" spans="2:23" ht="12" customHeight="1" x14ac:dyDescent="0.2">
      <c r="B262" s="49"/>
      <c r="D262" s="48"/>
      <c r="H262" s="3"/>
      <c r="J262" s="49"/>
      <c r="P262" s="4"/>
      <c r="Q262" s="4"/>
      <c r="R262" s="49"/>
      <c r="T262" s="3"/>
      <c r="W262" s="4"/>
    </row>
    <row r="263" spans="2:23" ht="12" customHeight="1" x14ac:dyDescent="0.2">
      <c r="B263" s="49"/>
      <c r="D263" s="48"/>
      <c r="H263" s="3"/>
      <c r="J263" s="49"/>
      <c r="P263" s="4"/>
      <c r="Q263" s="4"/>
      <c r="R263" s="49"/>
      <c r="T263" s="3"/>
      <c r="W263" s="4"/>
    </row>
    <row r="264" spans="2:23" ht="12" customHeight="1" x14ac:dyDescent="0.2">
      <c r="B264" s="49"/>
      <c r="D264" s="48"/>
      <c r="H264" s="3"/>
      <c r="J264" s="49"/>
      <c r="P264" s="4"/>
      <c r="Q264" s="4"/>
      <c r="R264" s="49"/>
      <c r="T264" s="3"/>
      <c r="W264" s="4"/>
    </row>
    <row r="265" spans="2:23" ht="12" customHeight="1" x14ac:dyDescent="0.2">
      <c r="B265" s="49"/>
      <c r="D265" s="48"/>
      <c r="H265" s="3"/>
      <c r="J265" s="49"/>
      <c r="P265" s="4"/>
      <c r="Q265" s="4"/>
      <c r="R265" s="49"/>
      <c r="T265" s="3"/>
      <c r="W265" s="4"/>
    </row>
    <row r="266" spans="2:23" ht="12" customHeight="1" x14ac:dyDescent="0.2">
      <c r="B266" s="49"/>
      <c r="D266" s="48"/>
      <c r="H266" s="3"/>
      <c r="J266" s="49"/>
      <c r="P266" s="4"/>
      <c r="Q266" s="4"/>
      <c r="R266" s="49"/>
      <c r="T266" s="3"/>
      <c r="W266" s="4"/>
    </row>
    <row r="267" spans="2:23" ht="12" customHeight="1" x14ac:dyDescent="0.2">
      <c r="B267" s="49"/>
      <c r="D267" s="48"/>
      <c r="H267" s="3"/>
      <c r="J267" s="49"/>
      <c r="P267" s="4"/>
      <c r="Q267" s="4"/>
      <c r="R267" s="49"/>
      <c r="T267" s="3"/>
      <c r="W267" s="4"/>
    </row>
    <row r="268" spans="2:23" ht="12" customHeight="1" x14ac:dyDescent="0.2">
      <c r="B268" s="49"/>
      <c r="D268" s="48"/>
      <c r="H268" s="3"/>
      <c r="J268" s="49"/>
      <c r="P268" s="4"/>
      <c r="Q268" s="4"/>
      <c r="R268" s="49"/>
      <c r="T268" s="3"/>
      <c r="W268" s="4"/>
    </row>
    <row r="269" spans="2:23" ht="12" customHeight="1" x14ac:dyDescent="0.2">
      <c r="B269" s="49"/>
      <c r="D269" s="48"/>
      <c r="H269" s="3"/>
      <c r="J269" s="49"/>
      <c r="P269" s="4"/>
      <c r="Q269" s="4"/>
      <c r="R269" s="49"/>
      <c r="T269" s="3"/>
      <c r="W269" s="4"/>
    </row>
    <row r="270" spans="2:23" ht="12" customHeight="1" x14ac:dyDescent="0.2">
      <c r="B270" s="49"/>
      <c r="D270" s="48"/>
      <c r="H270" s="3"/>
      <c r="J270" s="49"/>
      <c r="P270" s="4"/>
      <c r="Q270" s="4"/>
      <c r="R270" s="49"/>
      <c r="T270" s="3"/>
      <c r="W270" s="4"/>
    </row>
    <row r="271" spans="2:23" ht="12" customHeight="1" x14ac:dyDescent="0.2">
      <c r="B271" s="49"/>
      <c r="D271" s="48"/>
      <c r="H271" s="3"/>
      <c r="J271" s="49"/>
      <c r="P271" s="4"/>
      <c r="Q271" s="4"/>
      <c r="R271" s="49"/>
      <c r="T271" s="3"/>
      <c r="W271" s="4"/>
    </row>
    <row r="272" spans="2:23" ht="12" customHeight="1" x14ac:dyDescent="0.2">
      <c r="B272" s="49"/>
      <c r="D272" s="48"/>
      <c r="H272" s="3"/>
      <c r="J272" s="49"/>
      <c r="P272" s="4"/>
      <c r="Q272" s="4"/>
      <c r="R272" s="49"/>
      <c r="T272" s="3"/>
      <c r="W272" s="4"/>
    </row>
    <row r="273" spans="2:23" ht="12" customHeight="1" x14ac:dyDescent="0.2">
      <c r="B273" s="49"/>
      <c r="D273" s="48"/>
      <c r="H273" s="3"/>
      <c r="J273" s="49"/>
      <c r="P273" s="4"/>
      <c r="Q273" s="4"/>
      <c r="R273" s="49"/>
      <c r="T273" s="3"/>
      <c r="W273" s="4"/>
    </row>
    <row r="274" spans="2:23" ht="12" customHeight="1" x14ac:dyDescent="0.2">
      <c r="B274" s="49"/>
      <c r="D274" s="48"/>
      <c r="H274" s="3"/>
      <c r="J274" s="49"/>
      <c r="P274" s="4"/>
      <c r="Q274" s="4"/>
      <c r="R274" s="49"/>
      <c r="T274" s="3"/>
      <c r="W274" s="4"/>
    </row>
    <row r="275" spans="2:23" ht="12" customHeight="1" x14ac:dyDescent="0.2">
      <c r="B275" s="49"/>
      <c r="D275" s="48"/>
      <c r="H275" s="3"/>
      <c r="J275" s="49"/>
      <c r="P275" s="4"/>
      <c r="Q275" s="4"/>
      <c r="R275" s="49"/>
      <c r="T275" s="3"/>
      <c r="W275" s="4"/>
    </row>
    <row r="276" spans="2:23" ht="12" customHeight="1" x14ac:dyDescent="0.2">
      <c r="B276" s="49"/>
      <c r="D276" s="48"/>
      <c r="H276" s="3"/>
      <c r="J276" s="49"/>
      <c r="P276" s="4"/>
      <c r="Q276" s="4"/>
      <c r="R276" s="49"/>
      <c r="T276" s="3"/>
      <c r="W276" s="4"/>
    </row>
    <row r="277" spans="2:23" ht="12" customHeight="1" x14ac:dyDescent="0.2">
      <c r="B277" s="49"/>
      <c r="D277" s="48"/>
      <c r="H277" s="3"/>
      <c r="J277" s="49"/>
      <c r="P277" s="4"/>
      <c r="Q277" s="4"/>
      <c r="R277" s="49"/>
      <c r="T277" s="3"/>
      <c r="W277" s="4"/>
    </row>
    <row r="278" spans="2:23" ht="12" customHeight="1" x14ac:dyDescent="0.2">
      <c r="B278" s="49"/>
      <c r="D278" s="48"/>
      <c r="H278" s="3"/>
      <c r="J278" s="49"/>
      <c r="P278" s="4"/>
      <c r="Q278" s="4"/>
      <c r="R278" s="49"/>
      <c r="T278" s="3"/>
      <c r="W278" s="4"/>
    </row>
    <row r="279" spans="2:23" ht="12" customHeight="1" x14ac:dyDescent="0.2">
      <c r="B279" s="49"/>
      <c r="D279" s="48"/>
      <c r="H279" s="3"/>
      <c r="J279" s="49"/>
      <c r="P279" s="4"/>
      <c r="Q279" s="4"/>
      <c r="R279" s="49"/>
      <c r="T279" s="3"/>
      <c r="W279" s="4"/>
    </row>
    <row r="280" spans="2:23" ht="12" customHeight="1" x14ac:dyDescent="0.2">
      <c r="B280" s="49"/>
      <c r="D280" s="48"/>
      <c r="H280" s="3"/>
      <c r="J280" s="49"/>
      <c r="P280" s="4"/>
      <c r="Q280" s="4"/>
      <c r="R280" s="49"/>
      <c r="T280" s="3"/>
      <c r="W280" s="4"/>
    </row>
    <row r="281" spans="2:23" ht="12" customHeight="1" x14ac:dyDescent="0.2">
      <c r="B281" s="49"/>
      <c r="D281" s="48"/>
      <c r="H281" s="3"/>
      <c r="J281" s="49"/>
      <c r="P281" s="4"/>
      <c r="Q281" s="4"/>
      <c r="R281" s="49"/>
      <c r="T281" s="3"/>
      <c r="W281" s="4"/>
    </row>
    <row r="282" spans="2:23" ht="12" customHeight="1" x14ac:dyDescent="0.2">
      <c r="B282" s="49"/>
      <c r="D282" s="48"/>
      <c r="H282" s="3"/>
      <c r="J282" s="49"/>
      <c r="P282" s="4"/>
      <c r="Q282" s="4"/>
      <c r="R282" s="49"/>
      <c r="T282" s="3"/>
      <c r="W282" s="4"/>
    </row>
    <row r="283" spans="2:23" ht="12" customHeight="1" x14ac:dyDescent="0.2">
      <c r="B283" s="49"/>
      <c r="D283" s="48"/>
      <c r="H283" s="3"/>
      <c r="J283" s="49"/>
      <c r="P283" s="4"/>
      <c r="Q283" s="4"/>
      <c r="R283" s="49"/>
      <c r="T283" s="3"/>
      <c r="W283" s="4"/>
    </row>
    <row r="284" spans="2:23" ht="12" customHeight="1" x14ac:dyDescent="0.2">
      <c r="B284" s="49"/>
      <c r="D284" s="48"/>
      <c r="H284" s="3"/>
      <c r="J284" s="49"/>
      <c r="P284" s="4"/>
      <c r="Q284" s="4"/>
      <c r="R284" s="49"/>
      <c r="T284" s="3"/>
      <c r="W284" s="4"/>
    </row>
    <row r="285" spans="2:23" ht="12" customHeight="1" x14ac:dyDescent="0.2">
      <c r="B285" s="49"/>
      <c r="D285" s="48"/>
      <c r="H285" s="3"/>
      <c r="J285" s="49"/>
      <c r="P285" s="4"/>
      <c r="Q285" s="4"/>
      <c r="R285" s="49"/>
      <c r="T285" s="3"/>
      <c r="W285" s="4"/>
    </row>
    <row r="286" spans="2:23" ht="12" customHeight="1" x14ac:dyDescent="0.2">
      <c r="B286" s="49"/>
      <c r="D286" s="48"/>
      <c r="H286" s="3"/>
      <c r="J286" s="49"/>
      <c r="P286" s="4"/>
      <c r="Q286" s="4"/>
      <c r="R286" s="49"/>
      <c r="T286" s="3"/>
      <c r="W286" s="4"/>
    </row>
    <row r="287" spans="2:23" ht="12" customHeight="1" x14ac:dyDescent="0.2">
      <c r="B287" s="49"/>
      <c r="D287" s="48"/>
      <c r="H287" s="3"/>
      <c r="J287" s="49"/>
      <c r="P287" s="4"/>
      <c r="Q287" s="4"/>
      <c r="R287" s="49"/>
      <c r="T287" s="3"/>
      <c r="W287" s="4"/>
    </row>
  </sheetData>
  <mergeCells count="4">
    <mergeCell ref="F232:G232"/>
    <mergeCell ref="AI98:AJ98"/>
    <mergeCell ref="AI99:AJ99"/>
    <mergeCell ref="AI100:AJ100"/>
  </mergeCells>
  <phoneticPr fontId="1"/>
  <hyperlinks>
    <hyperlink ref="D97" r:id="rId1"/>
    <hyperlink ref="C3" r:id="rId2" display="県原セの関連ページ"/>
    <hyperlink ref="G3" r:id="rId3"/>
    <hyperlink ref="J3" r:id="rId4"/>
    <hyperlink ref="C3:F3" r:id="rId5" display="環境放射線監視センター"/>
    <hyperlink ref="G3:I3" r:id="rId6" display="原子力安全対策課"/>
    <hyperlink ref="J3:L3" r:id="rId7" display="放射能情報サイトみやぎ"/>
    <hyperlink ref="N3" r:id="rId8"/>
  </hyperlinks>
  <pageMargins left="0.39370078740157483" right="0" top="0.78740157480314965" bottom="0" header="0" footer="0"/>
  <pageSetup paperSize="9" scale="105" orientation="portrait" horizontalDpi="4294967293" verticalDpi="360" r:id="rId9"/>
  <headerFooter alignWithMargins="0">
    <oddHeader>&amp;R&amp;8&amp;F／頁&amp;P/&amp;N／&amp;D</oddHeader>
  </headerFooter>
  <drawing r:id="rId1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48"/>
  <sheetViews>
    <sheetView workbookViewId="0">
      <selection sqref="A1:XFD1048576"/>
    </sheetView>
  </sheetViews>
  <sheetFormatPr defaultColWidth="3.69921875" defaultRowHeight="12" x14ac:dyDescent="0.2"/>
  <cols>
    <col min="1" max="1" width="1.3984375" style="4" customWidth="1"/>
    <col min="2" max="16384" width="3.69921875" style="4"/>
  </cols>
  <sheetData>
    <row r="2" spans="2:2" ht="11.1" customHeight="1" x14ac:dyDescent="0.2">
      <c r="B2" s="4" t="s">
        <v>57</v>
      </c>
    </row>
    <row r="3" spans="2:2" ht="11.1" customHeight="1" x14ac:dyDescent="0.2">
      <c r="B3" s="4" t="s">
        <v>58</v>
      </c>
    </row>
    <row r="4" spans="2:2" ht="11.1" customHeight="1" x14ac:dyDescent="0.2">
      <c r="B4" s="4" t="s">
        <v>59</v>
      </c>
    </row>
    <row r="5" spans="2:2" ht="11.1" customHeight="1" x14ac:dyDescent="0.2">
      <c r="B5" s="4" t="s">
        <v>58</v>
      </c>
    </row>
    <row r="6" spans="2:2" ht="11.1" customHeight="1" x14ac:dyDescent="0.2">
      <c r="B6" s="4" t="s">
        <v>60</v>
      </c>
    </row>
    <row r="7" spans="2:2" ht="11.1" customHeight="1" x14ac:dyDescent="0.2">
      <c r="B7" s="4" t="s">
        <v>58</v>
      </c>
    </row>
    <row r="8" spans="2:2" ht="11.1" customHeight="1" x14ac:dyDescent="0.2">
      <c r="B8" s="4" t="s">
        <v>61</v>
      </c>
    </row>
    <row r="9" spans="2:2" ht="11.1" customHeight="1" x14ac:dyDescent="0.2">
      <c r="B9" s="4" t="s">
        <v>62</v>
      </c>
    </row>
    <row r="10" spans="2:2" ht="11.1" customHeight="1" x14ac:dyDescent="0.2">
      <c r="B10" s="4" t="s">
        <v>63</v>
      </c>
    </row>
    <row r="11" spans="2:2" ht="11.1" customHeight="1" x14ac:dyDescent="0.2">
      <c r="B11" s="4" t="s">
        <v>64</v>
      </c>
    </row>
    <row r="12" spans="2:2" ht="11.1" customHeight="1" x14ac:dyDescent="0.2">
      <c r="B12" s="4" t="s">
        <v>65</v>
      </c>
    </row>
    <row r="13" spans="2:2" ht="11.1" customHeight="1" x14ac:dyDescent="0.2">
      <c r="B13" s="4" t="s">
        <v>66</v>
      </c>
    </row>
    <row r="15" spans="2:2" ht="11.1" customHeight="1" x14ac:dyDescent="0.2">
      <c r="B15" s="4" t="s">
        <v>67</v>
      </c>
    </row>
    <row r="17" spans="2:2" ht="11.1" customHeight="1" x14ac:dyDescent="0.2">
      <c r="B17" s="4" t="s">
        <v>68</v>
      </c>
    </row>
    <row r="18" spans="2:2" ht="11.1" customHeight="1" x14ac:dyDescent="0.2">
      <c r="B18" s="4" t="s">
        <v>69</v>
      </c>
    </row>
    <row r="20" spans="2:2" ht="11.1" customHeight="1" x14ac:dyDescent="0.2">
      <c r="B20" s="4" t="s">
        <v>70</v>
      </c>
    </row>
    <row r="22" spans="2:2" ht="11.1" customHeight="1" x14ac:dyDescent="0.2">
      <c r="B22" s="4" t="s">
        <v>71</v>
      </c>
    </row>
    <row r="24" spans="2:2" ht="11.1" customHeight="1" x14ac:dyDescent="0.2">
      <c r="B24" s="4" t="s">
        <v>72</v>
      </c>
    </row>
    <row r="25" spans="2:2" ht="11.1" customHeight="1" x14ac:dyDescent="0.2">
      <c r="B25" s="4" t="s">
        <v>73</v>
      </c>
    </row>
    <row r="27" spans="2:2" ht="11.1" customHeight="1" x14ac:dyDescent="0.2">
      <c r="B27" s="4" t="s">
        <v>74</v>
      </c>
    </row>
    <row r="28" spans="2:2" ht="11.1" customHeight="1" x14ac:dyDescent="0.2">
      <c r="B28" s="4" t="s">
        <v>75</v>
      </c>
    </row>
    <row r="29" spans="2:2" ht="11.1" customHeight="1" x14ac:dyDescent="0.2">
      <c r="B29" s="4" t="s">
        <v>76</v>
      </c>
    </row>
    <row r="30" spans="2:2" ht="11.1" customHeight="1" x14ac:dyDescent="0.2">
      <c r="B30" s="4" t="s">
        <v>77</v>
      </c>
    </row>
    <row r="31" spans="2:2" ht="11.1" customHeight="1" x14ac:dyDescent="0.2">
      <c r="B31" s="4" t="s">
        <v>78</v>
      </c>
    </row>
    <row r="33" spans="2:2" ht="11.1" customHeight="1" x14ac:dyDescent="0.2">
      <c r="B33" s="4" t="s">
        <v>79</v>
      </c>
    </row>
    <row r="35" spans="2:2" ht="11.1" customHeight="1" x14ac:dyDescent="0.2">
      <c r="B35" s="4" t="s">
        <v>80</v>
      </c>
    </row>
    <row r="36" spans="2:2" ht="11.1" customHeight="1" x14ac:dyDescent="0.2">
      <c r="B36" s="4" t="s">
        <v>58</v>
      </c>
    </row>
    <row r="37" spans="2:2" ht="11.1" customHeight="1" x14ac:dyDescent="0.2">
      <c r="B37" s="4" t="s">
        <v>81</v>
      </c>
    </row>
    <row r="38" spans="2:2" ht="11.1" customHeight="1" x14ac:dyDescent="0.2">
      <c r="B38" s="4" t="s">
        <v>82</v>
      </c>
    </row>
    <row r="39" spans="2:2" ht="11.1" customHeight="1" x14ac:dyDescent="0.2">
      <c r="B39" s="4" t="s">
        <v>83</v>
      </c>
    </row>
    <row r="40" spans="2:2" ht="11.1" customHeight="1" x14ac:dyDescent="0.2">
      <c r="B40" s="4" t="s">
        <v>84</v>
      </c>
    </row>
    <row r="41" spans="2:2" ht="11.1" customHeight="1" x14ac:dyDescent="0.2">
      <c r="B41" s="4" t="s">
        <v>85</v>
      </c>
    </row>
    <row r="42" spans="2:2" ht="11.1" customHeight="1" x14ac:dyDescent="0.2">
      <c r="B42" s="4" t="s">
        <v>86</v>
      </c>
    </row>
    <row r="43" spans="2:2" ht="11.1" customHeight="1" x14ac:dyDescent="0.2">
      <c r="B43" s="4" t="s">
        <v>87</v>
      </c>
    </row>
    <row r="44" spans="2:2" ht="11.1" customHeight="1" x14ac:dyDescent="0.2">
      <c r="B44" s="4" t="s">
        <v>88</v>
      </c>
    </row>
    <row r="45" spans="2:2" ht="11.1" customHeight="1" x14ac:dyDescent="0.2">
      <c r="B45" s="4" t="s">
        <v>89</v>
      </c>
    </row>
    <row r="46" spans="2:2" ht="11.1" customHeight="1" x14ac:dyDescent="0.2">
      <c r="B46" s="4" t="s">
        <v>90</v>
      </c>
    </row>
    <row r="48" spans="2:2" ht="11.1" customHeight="1" x14ac:dyDescent="0.2">
      <c r="B48" s="4" t="s">
        <v>91</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ほや</vt:lpstr>
      <vt:lpstr>Sheet1</vt:lpstr>
      <vt:lpstr>ND代替値</vt:lpstr>
      <vt:lpstr>ほや!Print_Area_MI</vt:lpstr>
      <vt:lpstr>ダミー値</vt:lpstr>
      <vt:lpstr>事故日Cb</vt:lpstr>
      <vt:lpstr>事故日Fk</vt:lpstr>
      <vt:lpstr>調査開始日</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1999-10-28T09:02:02Z</cp:lastPrinted>
  <dcterms:created xsi:type="dcterms:W3CDTF">1998-05-03T12:38:16Z</dcterms:created>
  <dcterms:modified xsi:type="dcterms:W3CDTF">2019-07-22T07:52:06Z</dcterms:modified>
</cp:coreProperties>
</file>