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505" yWindow="6900" windowWidth="14310" windowHeight="6915"/>
  </bookViews>
  <sheets>
    <sheet name="あらめ" sheetId="1" r:id="rId1"/>
    <sheet name="Sheet1" sheetId="2" r:id="rId2"/>
  </sheets>
  <definedNames>
    <definedName name="__123Graph_A" localSheetId="0" hidden="1">あらめ!#REF!</definedName>
    <definedName name="__123Graph_Aシウリ崎" localSheetId="0" hidden="1">あらめ!#REF!</definedName>
    <definedName name="__123Graph_A小屋取" localSheetId="0" hidden="1">あらめ!#REF!</definedName>
    <definedName name="__123Graph_A東防波堤" localSheetId="0" hidden="1">あらめ!#REF!</definedName>
    <definedName name="__123Graph_B" localSheetId="0" hidden="1">あらめ!#REF!</definedName>
    <definedName name="__123Graph_Bシウリ崎" localSheetId="0" hidden="1">あらめ!#REF!</definedName>
    <definedName name="__123Graph_B小屋取" localSheetId="0" hidden="1">あらめ!#REF!</definedName>
    <definedName name="__123Graph_B東防波堤" localSheetId="0" hidden="1">あらめ!#REF!</definedName>
    <definedName name="__123Graph_C" localSheetId="0" hidden="1">あらめ!#REF!</definedName>
    <definedName name="__123Graph_Cシウリ崎" localSheetId="0" hidden="1">あらめ!#REF!</definedName>
    <definedName name="__123Graph_C小屋取" localSheetId="0" hidden="1">あらめ!#REF!</definedName>
    <definedName name="__123Graph_C東防波堤" localSheetId="0" hidden="1">あらめ!#REF!</definedName>
    <definedName name="__123Graph_X" localSheetId="0" hidden="1">あらめ!#REF!</definedName>
    <definedName name="__123Graph_Xシウリ崎" localSheetId="0" hidden="1">あらめ!#REF!</definedName>
    <definedName name="__123Graph_X小屋取" localSheetId="0" hidden="1">あらめ!#REF!</definedName>
    <definedName name="__123Graph_X東防波堤" localSheetId="0" hidden="1">あらめ!#REF!</definedName>
    <definedName name="_Regression_Int" localSheetId="0" hidden="1">1</definedName>
    <definedName name="A" localSheetId="0" hidden="1">あらめ!#REF!</definedName>
    <definedName name="AA" localSheetId="0" hidden="1">あらめ!#REF!</definedName>
    <definedName name="AAA" localSheetId="0" hidden="1">あらめ!#REF!</definedName>
    <definedName name="AAAA" localSheetId="0" hidden="1">あらめ!#REF!</definedName>
    <definedName name="AAAAA" localSheetId="0" hidden="1">あらめ!#REF!</definedName>
    <definedName name="AAAAAA" localSheetId="0" hidden="1">あらめ!#REF!</definedName>
    <definedName name="AAAAAAA" localSheetId="0" hidden="1">あらめ!#REF!</definedName>
    <definedName name="AAAAAAAA" localSheetId="0" hidden="1">あらめ!#REF!</definedName>
    <definedName name="AAAAAAAAA" localSheetId="0" hidden="1">あらめ!#REF!</definedName>
    <definedName name="AAAAAAAAAA" localSheetId="0" hidden="1">あらめ!#REF!</definedName>
    <definedName name="AAAAAAAAAAA" localSheetId="0" hidden="1">あらめ!#REF!</definedName>
    <definedName name="AAAAAAAAAAAA" localSheetId="0" hidden="1">あらめ!#REF!</definedName>
    <definedName name="ND代替値">あらめ!$C$385:$AP$385</definedName>
    <definedName name="ND代替値2">あらめ!$L$318:$AP$318</definedName>
    <definedName name="ダミー値">あらめ!$C$385:$AP$385</definedName>
    <definedName name="事故日Cb">あらめ!$B$220</definedName>
    <definedName name="事故日Fk">あらめ!$B$344</definedName>
    <definedName name="調査開始日">あらめ!$B$194</definedName>
    <definedName name="調査開始日2">あらめ!$AY$332</definedName>
  </definedNames>
  <calcPr calcId="145621" refMode="R1C1"/>
</workbook>
</file>

<file path=xl/calcChain.xml><?xml version="1.0" encoding="utf-8"?>
<calcChain xmlns="http://schemas.openxmlformats.org/spreadsheetml/2006/main">
  <c r="V326" i="1" l="1"/>
  <c r="B330" i="1"/>
  <c r="V323" i="1"/>
  <c r="V324" i="1"/>
  <c r="V325" i="1"/>
  <c r="V327" i="1"/>
  <c r="V322" i="1"/>
  <c r="V321" i="1"/>
  <c r="V319" i="1"/>
  <c r="V318" i="1"/>
  <c r="V320" i="1"/>
  <c r="AX319" i="1"/>
  <c r="AX320" i="1"/>
  <c r="AX321" i="1"/>
  <c r="AX322" i="1"/>
  <c r="AX323" i="1"/>
  <c r="AX324" i="1"/>
  <c r="AX316" i="1"/>
  <c r="AX317" i="1"/>
  <c r="AX318" i="1"/>
  <c r="AX250" i="1"/>
  <c r="AX251" i="1"/>
  <c r="AX221" i="1"/>
  <c r="AX222" i="1"/>
  <c r="AX223" i="1"/>
  <c r="AX224" i="1"/>
  <c r="AX225" i="1"/>
  <c r="AX226" i="1"/>
  <c r="AX227" i="1"/>
  <c r="AX228" i="1"/>
  <c r="AX229" i="1"/>
  <c r="AX230" i="1"/>
  <c r="AX231" i="1"/>
  <c r="AX232" i="1"/>
  <c r="AX233" i="1"/>
  <c r="AX234" i="1"/>
  <c r="AX235" i="1"/>
  <c r="AX236" i="1"/>
  <c r="AX237" i="1"/>
  <c r="AX238" i="1"/>
  <c r="AX239" i="1"/>
  <c r="AX240" i="1"/>
  <c r="AX241" i="1"/>
  <c r="AX242" i="1"/>
  <c r="AX243" i="1"/>
  <c r="AX244" i="1"/>
  <c r="AX245" i="1"/>
  <c r="AX246" i="1"/>
  <c r="AX247" i="1"/>
  <c r="AX248" i="1"/>
  <c r="AX249" i="1"/>
  <c r="AX220" i="1"/>
  <c r="AX359" i="1"/>
  <c r="AX360" i="1"/>
  <c r="AX361" i="1"/>
  <c r="AX362" i="1"/>
  <c r="AX363" i="1"/>
  <c r="AX364" i="1"/>
  <c r="AX365" i="1"/>
  <c r="AX366" i="1"/>
  <c r="AX367" i="1"/>
  <c r="AX368" i="1"/>
  <c r="AX369" i="1"/>
  <c r="AX370" i="1"/>
  <c r="AX357" i="1"/>
  <c r="AX358" i="1"/>
  <c r="Q231" i="1" l="1"/>
  <c r="C213" i="1"/>
  <c r="C206" i="1"/>
  <c r="AF216" i="1"/>
  <c r="J369" i="1" l="1"/>
  <c r="I388" i="1" l="1"/>
  <c r="AO306" i="1" l="1"/>
  <c r="AO294" i="1"/>
  <c r="AO242" i="1"/>
  <c r="AN314" i="1"/>
  <c r="AN310" i="1"/>
  <c r="AN306" i="1"/>
  <c r="AN302" i="1"/>
  <c r="AN298" i="1"/>
  <c r="AN294" i="1"/>
  <c r="AN290" i="1"/>
  <c r="AN287" i="1"/>
  <c r="AN282" i="1"/>
  <c r="AN278" i="1"/>
  <c r="AN274" i="1"/>
  <c r="AN270" i="1"/>
  <c r="AN266" i="1"/>
  <c r="AN262" i="1"/>
  <c r="AN258" i="1"/>
  <c r="AN255" i="1"/>
  <c r="AN250" i="1"/>
  <c r="AN246" i="1"/>
  <c r="AN242" i="1"/>
  <c r="AN237" i="1"/>
  <c r="AN232" i="1"/>
  <c r="AN224" i="1"/>
  <c r="AL294" i="1"/>
  <c r="AL232" i="1"/>
  <c r="AL212" i="1"/>
  <c r="AF318" i="1"/>
  <c r="AI318" i="1"/>
  <c r="O318" i="1"/>
  <c r="O316" i="1" s="1"/>
  <c r="O312" i="1"/>
  <c r="O311" i="1"/>
  <c r="O307" i="1"/>
  <c r="O303" i="1"/>
  <c r="O300" i="1"/>
  <c r="O299" i="1"/>
  <c r="O296" i="1"/>
  <c r="O295" i="1"/>
  <c r="O288" i="1"/>
  <c r="O287" i="1"/>
  <c r="O279" i="1"/>
  <c r="O275" i="1"/>
  <c r="O227" i="1"/>
  <c r="O224" i="1"/>
  <c r="L318" i="1"/>
  <c r="L207" i="1" s="1"/>
  <c r="L203" i="1"/>
  <c r="L202" i="1"/>
  <c r="L210" i="1"/>
  <c r="L209" i="1"/>
  <c r="L212" i="1"/>
  <c r="L218" i="1"/>
  <c r="L222" i="1"/>
  <c r="L227" i="1"/>
  <c r="L233" i="1"/>
  <c r="L236" i="1"/>
  <c r="L235" i="1"/>
  <c r="L238" i="1"/>
  <c r="L241" i="1"/>
  <c r="L240" i="1"/>
  <c r="L245" i="1"/>
  <c r="L244" i="1"/>
  <c r="L243" i="1"/>
  <c r="L248" i="1"/>
  <c r="L247" i="1"/>
  <c r="L252" i="1"/>
  <c r="L251" i="1"/>
  <c r="L258" i="1"/>
  <c r="L257" i="1"/>
  <c r="L256" i="1"/>
  <c r="L255" i="1"/>
  <c r="L260" i="1"/>
  <c r="L264" i="1"/>
  <c r="L263" i="1"/>
  <c r="L267" i="1"/>
  <c r="L269" i="1"/>
  <c r="L272" i="1"/>
  <c r="L271" i="1"/>
  <c r="L275" i="1"/>
  <c r="L277" i="1"/>
  <c r="L281" i="1"/>
  <c r="L280" i="1"/>
  <c r="L279" i="1"/>
  <c r="L283" i="1"/>
  <c r="L289" i="1"/>
  <c r="L288" i="1"/>
  <c r="L287" i="1"/>
  <c r="L292" i="1"/>
  <c r="L291" i="1"/>
  <c r="L297" i="1"/>
  <c r="L296" i="1"/>
  <c r="L295" i="1"/>
  <c r="L294" i="1"/>
  <c r="L300" i="1"/>
  <c r="L299" i="1"/>
  <c r="L304" i="1"/>
  <c r="L303" i="1"/>
  <c r="L307" i="1"/>
  <c r="L312" i="1"/>
  <c r="L311" i="1"/>
  <c r="L315" i="1"/>
  <c r="L316" i="1"/>
  <c r="K194" i="1"/>
  <c r="Y366" i="1"/>
  <c r="L197" i="1" l="1"/>
  <c r="O315" i="1"/>
  <c r="L198" i="1"/>
  <c r="N318" i="1"/>
  <c r="AF315" i="1"/>
  <c r="AF307" i="1"/>
  <c r="AF304" i="1"/>
  <c r="AF301" i="1"/>
  <c r="AF297" i="1"/>
  <c r="AF295" i="1"/>
  <c r="AF291" i="1"/>
  <c r="AF287" i="1"/>
  <c r="AF283" i="1"/>
  <c r="AF279" i="1"/>
  <c r="AF275" i="1"/>
  <c r="AF271" i="1"/>
  <c r="AF267" i="1"/>
  <c r="AF263" i="1"/>
  <c r="AF259" i="1"/>
  <c r="AF255" i="1"/>
  <c r="AF252" i="1"/>
  <c r="AF250" i="1"/>
  <c r="AF248" i="1"/>
  <c r="AF244" i="1"/>
  <c r="AF242" i="1"/>
  <c r="AF239" i="1"/>
  <c r="AF237" i="1"/>
  <c r="AF233" i="1"/>
  <c r="AF226" i="1"/>
  <c r="AF222" i="1"/>
  <c r="AF316" i="1"/>
  <c r="AF311" i="1"/>
  <c r="AF305" i="1"/>
  <c r="AF303" i="1"/>
  <c r="AF300" i="1"/>
  <c r="AF296" i="1"/>
  <c r="AF292" i="1"/>
  <c r="AF288" i="1"/>
  <c r="AF284" i="1"/>
  <c r="AF280" i="1"/>
  <c r="AF276" i="1"/>
  <c r="AF272" i="1"/>
  <c r="AF268" i="1"/>
  <c r="AF264" i="1"/>
  <c r="AF260" i="1"/>
  <c r="AF257" i="1"/>
  <c r="AF253" i="1"/>
  <c r="AF251" i="1"/>
  <c r="AF249" i="1"/>
  <c r="AF245" i="1"/>
  <c r="AF243" i="1"/>
  <c r="AF241" i="1"/>
  <c r="AF238" i="1"/>
  <c r="AF234" i="1"/>
  <c r="AF228" i="1"/>
  <c r="AF224" i="1"/>
  <c r="AF204" i="1"/>
  <c r="AF207" i="1"/>
  <c r="AF209" i="1"/>
  <c r="AF212" i="1"/>
  <c r="AF217" i="1"/>
  <c r="AI315" i="1"/>
  <c r="AI307" i="1"/>
  <c r="AI303" i="1"/>
  <c r="AI299" i="1"/>
  <c r="AI296" i="1"/>
  <c r="AI292" i="1"/>
  <c r="AI279" i="1"/>
  <c r="AI252" i="1"/>
  <c r="AI244" i="1"/>
  <c r="AI316" i="1"/>
  <c r="AI311" i="1"/>
  <c r="AI304" i="1"/>
  <c r="AI300" i="1"/>
  <c r="AI297" i="1"/>
  <c r="AI295" i="1"/>
  <c r="AI287" i="1"/>
  <c r="AI275" i="1"/>
  <c r="AI247" i="1"/>
  <c r="AF202" i="1"/>
  <c r="AF205" i="1"/>
  <c r="AF208" i="1"/>
  <c r="AF210" i="1"/>
  <c r="AF215" i="1"/>
  <c r="AF219" i="1"/>
  <c r="AH318" i="1"/>
  <c r="AX345" i="1"/>
  <c r="AX346" i="1"/>
  <c r="AX347" i="1"/>
  <c r="AX348" i="1"/>
  <c r="AX349" i="1"/>
  <c r="AX350" i="1"/>
  <c r="AX351" i="1"/>
  <c r="AX352" i="1"/>
  <c r="AX353" i="1"/>
  <c r="AX354" i="1"/>
  <c r="AX355" i="1"/>
  <c r="AX356" i="1"/>
  <c r="AX344" i="1"/>
  <c r="AX333" i="1"/>
  <c r="AX334" i="1"/>
  <c r="AX335" i="1"/>
  <c r="AX336" i="1"/>
  <c r="AX337" i="1"/>
  <c r="AX338" i="1"/>
  <c r="AX339" i="1"/>
  <c r="AX340" i="1"/>
  <c r="AX341" i="1"/>
  <c r="AX342" i="1"/>
  <c r="AX332" i="1"/>
  <c r="AP342" i="1"/>
  <c r="AP341" i="1"/>
  <c r="AP340" i="1"/>
  <c r="AP339" i="1"/>
  <c r="AP338" i="1"/>
  <c r="AP337" i="1"/>
  <c r="AP335" i="1"/>
  <c r="AP334" i="1"/>
  <c r="AP333" i="1"/>
  <c r="AP332" i="1"/>
  <c r="AJ342" i="1"/>
  <c r="AJ341" i="1"/>
  <c r="AJ340" i="1"/>
  <c r="AJ338" i="1"/>
  <c r="AJ337" i="1"/>
  <c r="AJ335" i="1"/>
  <c r="AJ334" i="1"/>
  <c r="AJ333" i="1"/>
  <c r="AJ332" i="1"/>
  <c r="U339" i="1"/>
  <c r="P341" i="1"/>
  <c r="P334" i="1"/>
  <c r="P335" i="1"/>
  <c r="P336" i="1"/>
  <c r="P337" i="1"/>
  <c r="P338" i="1"/>
  <c r="P339" i="1"/>
  <c r="P333" i="1"/>
  <c r="AX304" i="1"/>
  <c r="AX305" i="1"/>
  <c r="AX306" i="1"/>
  <c r="AX307" i="1"/>
  <c r="AX308" i="1"/>
  <c r="AX309" i="1"/>
  <c r="AX310" i="1"/>
  <c r="AX311" i="1"/>
  <c r="AX312" i="1"/>
  <c r="AX313" i="1"/>
  <c r="AX314" i="1"/>
  <c r="AX315" i="1"/>
  <c r="F205" i="1"/>
  <c r="D205" i="1"/>
  <c r="C205" i="1"/>
  <c r="AR345" i="1"/>
  <c r="AS345" i="1"/>
  <c r="AT345" i="1"/>
  <c r="AU345" i="1"/>
  <c r="AV345" i="1"/>
  <c r="AW345" i="1"/>
  <c r="AR346" i="1"/>
  <c r="AS346" i="1"/>
  <c r="AT346" i="1"/>
  <c r="AU346" i="1"/>
  <c r="AV346" i="1"/>
  <c r="AW346" i="1"/>
  <c r="AR347" i="1"/>
  <c r="AS347" i="1"/>
  <c r="AT347" i="1"/>
  <c r="AU347" i="1"/>
  <c r="AV347" i="1"/>
  <c r="AW347" i="1"/>
  <c r="AR348" i="1"/>
  <c r="AS348" i="1"/>
  <c r="AT348" i="1"/>
  <c r="AU348" i="1"/>
  <c r="AV348" i="1"/>
  <c r="AW348" i="1"/>
  <c r="AR349" i="1"/>
  <c r="AS349" i="1"/>
  <c r="AT349" i="1"/>
  <c r="AU349" i="1"/>
  <c r="AV349" i="1"/>
  <c r="AW349" i="1"/>
  <c r="AR350" i="1"/>
  <c r="AS350" i="1"/>
  <c r="AT350" i="1"/>
  <c r="AU350" i="1"/>
  <c r="AV350" i="1"/>
  <c r="AW350" i="1"/>
  <c r="AR351" i="1"/>
  <c r="AS351" i="1"/>
  <c r="AT351" i="1"/>
  <c r="AU351" i="1"/>
  <c r="AV351" i="1"/>
  <c r="AW351" i="1"/>
  <c r="AR352" i="1"/>
  <c r="AS352" i="1"/>
  <c r="AT352" i="1"/>
  <c r="AU352" i="1"/>
  <c r="AV352" i="1"/>
  <c r="AW352" i="1"/>
  <c r="AR353" i="1"/>
  <c r="AS353" i="1"/>
  <c r="AT353" i="1"/>
  <c r="AU353" i="1"/>
  <c r="AV353" i="1"/>
  <c r="AW353" i="1"/>
  <c r="AR354" i="1"/>
  <c r="AS354" i="1"/>
  <c r="AT354" i="1"/>
  <c r="AU354" i="1"/>
  <c r="AV354" i="1"/>
  <c r="AW354" i="1"/>
  <c r="AR355" i="1"/>
  <c r="AS355" i="1"/>
  <c r="AT355" i="1"/>
  <c r="AU355" i="1"/>
  <c r="AV355" i="1"/>
  <c r="AW355" i="1"/>
  <c r="AR356" i="1"/>
  <c r="AS356" i="1"/>
  <c r="AT356" i="1"/>
  <c r="AU356" i="1"/>
  <c r="AV356" i="1"/>
  <c r="AW356" i="1"/>
  <c r="AR357" i="1"/>
  <c r="AS357" i="1"/>
  <c r="AT357" i="1"/>
  <c r="AU357" i="1"/>
  <c r="AV357" i="1"/>
  <c r="AW357" i="1"/>
  <c r="AR358" i="1"/>
  <c r="AS358" i="1"/>
  <c r="AT358" i="1"/>
  <c r="AU358" i="1"/>
  <c r="AV358" i="1"/>
  <c r="AW358" i="1"/>
  <c r="AR359" i="1"/>
  <c r="AS359" i="1"/>
  <c r="AT359" i="1"/>
  <c r="AU359" i="1"/>
  <c r="AV359" i="1"/>
  <c r="AW359" i="1"/>
  <c r="AR360" i="1"/>
  <c r="AS360" i="1"/>
  <c r="AT360" i="1"/>
  <c r="AU360" i="1"/>
  <c r="AV360" i="1"/>
  <c r="AW360" i="1"/>
  <c r="AR361" i="1"/>
  <c r="AS361" i="1"/>
  <c r="AT361" i="1"/>
  <c r="AU361" i="1"/>
  <c r="AV361" i="1"/>
  <c r="AW361" i="1"/>
  <c r="AR362" i="1"/>
  <c r="AS362" i="1"/>
  <c r="AT362" i="1"/>
  <c r="AU362" i="1"/>
  <c r="AV362" i="1"/>
  <c r="AW362" i="1"/>
  <c r="AR363" i="1"/>
  <c r="AS363" i="1"/>
  <c r="AT363" i="1"/>
  <c r="AU363" i="1"/>
  <c r="AV363" i="1"/>
  <c r="AW363" i="1"/>
  <c r="AR364" i="1"/>
  <c r="AS364" i="1"/>
  <c r="AT364" i="1"/>
  <c r="AU364" i="1"/>
  <c r="AV364" i="1"/>
  <c r="AW364" i="1"/>
  <c r="AR365" i="1"/>
  <c r="AS365" i="1"/>
  <c r="AT365" i="1"/>
  <c r="AU365" i="1"/>
  <c r="AV365" i="1"/>
  <c r="AW365" i="1"/>
  <c r="AR366" i="1"/>
  <c r="AS366" i="1"/>
  <c r="AT366" i="1"/>
  <c r="AU366" i="1"/>
  <c r="AV366" i="1"/>
  <c r="AW366" i="1"/>
  <c r="AR367" i="1"/>
  <c r="AS367" i="1"/>
  <c r="AT367" i="1"/>
  <c r="AU367" i="1"/>
  <c r="AV367" i="1"/>
  <c r="AW367" i="1"/>
  <c r="AR368" i="1"/>
  <c r="AS368" i="1"/>
  <c r="AT368" i="1"/>
  <c r="AU368" i="1"/>
  <c r="AV368" i="1"/>
  <c r="AW368" i="1"/>
  <c r="AR369" i="1"/>
  <c r="AS369" i="1"/>
  <c r="AT369" i="1"/>
  <c r="AU369" i="1"/>
  <c r="AV369" i="1"/>
  <c r="AW369" i="1"/>
  <c r="AR370" i="1"/>
  <c r="AS370" i="1"/>
  <c r="AT370" i="1"/>
  <c r="AU370" i="1"/>
  <c r="AV370" i="1"/>
  <c r="AW370" i="1"/>
  <c r="AW344" i="1"/>
  <c r="AV344" i="1"/>
  <c r="AU344" i="1"/>
  <c r="AT344" i="1"/>
  <c r="AS344" i="1"/>
  <c r="AR344" i="1"/>
  <c r="AW342" i="1"/>
  <c r="AV342" i="1"/>
  <c r="AU342" i="1"/>
  <c r="AT342" i="1"/>
  <c r="AS342" i="1"/>
  <c r="AR342" i="1"/>
  <c r="AO342" i="1"/>
  <c r="AN342" i="1"/>
  <c r="AL342" i="1"/>
  <c r="AI342" i="1"/>
  <c r="AH342" i="1"/>
  <c r="AF342" i="1"/>
  <c r="Y342" i="1"/>
  <c r="W342" i="1"/>
  <c r="AR237" i="1"/>
  <c r="AS237" i="1"/>
  <c r="AT237" i="1"/>
  <c r="AU237" i="1"/>
  <c r="AV237" i="1"/>
  <c r="AW237" i="1"/>
  <c r="AR238" i="1"/>
  <c r="AS238" i="1"/>
  <c r="AT238" i="1"/>
  <c r="AU238" i="1"/>
  <c r="AV238" i="1"/>
  <c r="AW238" i="1"/>
  <c r="AR239" i="1"/>
  <c r="AS239" i="1"/>
  <c r="AT239" i="1"/>
  <c r="AU239" i="1"/>
  <c r="AV239" i="1"/>
  <c r="AW239" i="1"/>
  <c r="AR240" i="1"/>
  <c r="AS240" i="1"/>
  <c r="AT240" i="1"/>
  <c r="AU240" i="1"/>
  <c r="AV240" i="1"/>
  <c r="AW240" i="1"/>
  <c r="AR241" i="1"/>
  <c r="AS241" i="1"/>
  <c r="AT241" i="1"/>
  <c r="AU241" i="1"/>
  <c r="AV241" i="1"/>
  <c r="AW241" i="1"/>
  <c r="AR242" i="1"/>
  <c r="AS242" i="1"/>
  <c r="AT242" i="1"/>
  <c r="AU242" i="1"/>
  <c r="AV242" i="1"/>
  <c r="AW242" i="1"/>
  <c r="AR243" i="1"/>
  <c r="AS243" i="1"/>
  <c r="AT243" i="1"/>
  <c r="AU243" i="1"/>
  <c r="AV243" i="1"/>
  <c r="AW243" i="1"/>
  <c r="AR244" i="1"/>
  <c r="AS244" i="1"/>
  <c r="AT244" i="1"/>
  <c r="AU244" i="1"/>
  <c r="AV244" i="1"/>
  <c r="AW244" i="1"/>
  <c r="AR245" i="1"/>
  <c r="AS245" i="1"/>
  <c r="AT245" i="1"/>
  <c r="AU245" i="1"/>
  <c r="AV245" i="1"/>
  <c r="AW245" i="1"/>
  <c r="AR246" i="1"/>
  <c r="AS246" i="1"/>
  <c r="AT246" i="1"/>
  <c r="AU246" i="1"/>
  <c r="AV246" i="1"/>
  <c r="AW246" i="1"/>
  <c r="AR247" i="1"/>
  <c r="AS247" i="1"/>
  <c r="AT247" i="1"/>
  <c r="AU247" i="1"/>
  <c r="AV247" i="1"/>
  <c r="AW247" i="1"/>
  <c r="AR248" i="1"/>
  <c r="AS248" i="1"/>
  <c r="AT248" i="1"/>
  <c r="AU248" i="1"/>
  <c r="AV248" i="1"/>
  <c r="AW248" i="1"/>
  <c r="AR249" i="1"/>
  <c r="AS249" i="1"/>
  <c r="AT249" i="1"/>
  <c r="AU249" i="1"/>
  <c r="AV249" i="1"/>
  <c r="AW249" i="1"/>
  <c r="AR250" i="1"/>
  <c r="AS250" i="1"/>
  <c r="AT250" i="1"/>
  <c r="AU250" i="1"/>
  <c r="AV250" i="1"/>
  <c r="AW250" i="1"/>
  <c r="AR251" i="1"/>
  <c r="AS251" i="1"/>
  <c r="AT251" i="1"/>
  <c r="AU251" i="1"/>
  <c r="AV251" i="1"/>
  <c r="AW251" i="1"/>
  <c r="AR252" i="1"/>
  <c r="AS252" i="1"/>
  <c r="AT252" i="1"/>
  <c r="AU252" i="1"/>
  <c r="AV252" i="1"/>
  <c r="AW252" i="1"/>
  <c r="AX252" i="1"/>
  <c r="AR253" i="1"/>
  <c r="AS253" i="1"/>
  <c r="AT253" i="1"/>
  <c r="AU253" i="1"/>
  <c r="AV253" i="1"/>
  <c r="AW253" i="1"/>
  <c r="AX253" i="1"/>
  <c r="AR254" i="1"/>
  <c r="AS254" i="1"/>
  <c r="AT254" i="1"/>
  <c r="AU254" i="1"/>
  <c r="AV254" i="1"/>
  <c r="AW254" i="1"/>
  <c r="AX254" i="1"/>
  <c r="AR255" i="1"/>
  <c r="AS255" i="1"/>
  <c r="AT255" i="1"/>
  <c r="AU255" i="1"/>
  <c r="AV255" i="1"/>
  <c r="AW255" i="1"/>
  <c r="AX255" i="1"/>
  <c r="AR256" i="1"/>
  <c r="AS256" i="1"/>
  <c r="AT256" i="1"/>
  <c r="AU256" i="1"/>
  <c r="AV256" i="1"/>
  <c r="AW256" i="1"/>
  <c r="AX256" i="1"/>
  <c r="AR257" i="1"/>
  <c r="AS257" i="1"/>
  <c r="AT257" i="1"/>
  <c r="AU257" i="1"/>
  <c r="AV257" i="1"/>
  <c r="AW257" i="1"/>
  <c r="AX257" i="1"/>
  <c r="AR258" i="1"/>
  <c r="AS258" i="1"/>
  <c r="AT258" i="1"/>
  <c r="AU258" i="1"/>
  <c r="AV258" i="1"/>
  <c r="AW258" i="1"/>
  <c r="AX258" i="1"/>
  <c r="AR259" i="1"/>
  <c r="AS259" i="1"/>
  <c r="AT259" i="1"/>
  <c r="AU259" i="1"/>
  <c r="AV259" i="1"/>
  <c r="AW259" i="1"/>
  <c r="AX259" i="1"/>
  <c r="AR260" i="1"/>
  <c r="AS260" i="1"/>
  <c r="AT260" i="1"/>
  <c r="AU260" i="1"/>
  <c r="AV260" i="1"/>
  <c r="AW260" i="1"/>
  <c r="AX260" i="1"/>
  <c r="AR261" i="1"/>
  <c r="AS261" i="1"/>
  <c r="AT261" i="1"/>
  <c r="AU261" i="1"/>
  <c r="AV261" i="1"/>
  <c r="AW261" i="1"/>
  <c r="AX261" i="1"/>
  <c r="AR262" i="1"/>
  <c r="AS262" i="1"/>
  <c r="AT262" i="1"/>
  <c r="AU262" i="1"/>
  <c r="AV262" i="1"/>
  <c r="AW262" i="1"/>
  <c r="AX262" i="1"/>
  <c r="AR263" i="1"/>
  <c r="AS263" i="1"/>
  <c r="AT263" i="1"/>
  <c r="AU263" i="1"/>
  <c r="AV263" i="1"/>
  <c r="AW263" i="1"/>
  <c r="AX263" i="1"/>
  <c r="AR264" i="1"/>
  <c r="AS264" i="1"/>
  <c r="AT264" i="1"/>
  <c r="AU264" i="1"/>
  <c r="AV264" i="1"/>
  <c r="AW264" i="1"/>
  <c r="AX264" i="1"/>
  <c r="AR265" i="1"/>
  <c r="AS265" i="1"/>
  <c r="AT265" i="1"/>
  <c r="AU265" i="1"/>
  <c r="AV265" i="1"/>
  <c r="AW265" i="1"/>
  <c r="AX265" i="1"/>
  <c r="AR266" i="1"/>
  <c r="AS266" i="1"/>
  <c r="AT266" i="1"/>
  <c r="AU266" i="1"/>
  <c r="AV266" i="1"/>
  <c r="AW266" i="1"/>
  <c r="AX266" i="1"/>
  <c r="AR267" i="1"/>
  <c r="AS267" i="1"/>
  <c r="AT267" i="1"/>
  <c r="AU267" i="1"/>
  <c r="AV267" i="1"/>
  <c r="AW267" i="1"/>
  <c r="AX267" i="1"/>
  <c r="AR268" i="1"/>
  <c r="AS268" i="1"/>
  <c r="AT268" i="1"/>
  <c r="AU268" i="1"/>
  <c r="AV268" i="1"/>
  <c r="AW268" i="1"/>
  <c r="AX268" i="1"/>
  <c r="AR269" i="1"/>
  <c r="AS269" i="1"/>
  <c r="AT269" i="1"/>
  <c r="AU269" i="1"/>
  <c r="AV269" i="1"/>
  <c r="AW269" i="1"/>
  <c r="AX269" i="1"/>
  <c r="AR270" i="1"/>
  <c r="AS270" i="1"/>
  <c r="AT270" i="1"/>
  <c r="AU270" i="1"/>
  <c r="AV270" i="1"/>
  <c r="AW270" i="1"/>
  <c r="AX270" i="1"/>
  <c r="AR271" i="1"/>
  <c r="AS271" i="1"/>
  <c r="AT271" i="1"/>
  <c r="AU271" i="1"/>
  <c r="AV271" i="1"/>
  <c r="AW271" i="1"/>
  <c r="AX271" i="1"/>
  <c r="AR272" i="1"/>
  <c r="AS272" i="1"/>
  <c r="AT272" i="1"/>
  <c r="AU272" i="1"/>
  <c r="AV272" i="1"/>
  <c r="AW272" i="1"/>
  <c r="AX272" i="1"/>
  <c r="AR273" i="1"/>
  <c r="AS273" i="1"/>
  <c r="AT273" i="1"/>
  <c r="AU273" i="1"/>
  <c r="AV273" i="1"/>
  <c r="AW273" i="1"/>
  <c r="AX273" i="1"/>
  <c r="AR274" i="1"/>
  <c r="AS274" i="1"/>
  <c r="AT274" i="1"/>
  <c r="AU274" i="1"/>
  <c r="AV274" i="1"/>
  <c r="AW274" i="1"/>
  <c r="AX274" i="1"/>
  <c r="AR275" i="1"/>
  <c r="AS275" i="1"/>
  <c r="AT275" i="1"/>
  <c r="AU275" i="1"/>
  <c r="AV275" i="1"/>
  <c r="AW275" i="1"/>
  <c r="AX275" i="1"/>
  <c r="AR276" i="1"/>
  <c r="AS276" i="1"/>
  <c r="AT276" i="1"/>
  <c r="AU276" i="1"/>
  <c r="AV276" i="1"/>
  <c r="AW276" i="1"/>
  <c r="AX276" i="1"/>
  <c r="AR277" i="1"/>
  <c r="AS277" i="1"/>
  <c r="AT277" i="1"/>
  <c r="AU277" i="1"/>
  <c r="AV277" i="1"/>
  <c r="AW277" i="1"/>
  <c r="AX277" i="1"/>
  <c r="AR278" i="1"/>
  <c r="AS278" i="1"/>
  <c r="AT278" i="1"/>
  <c r="AU278" i="1"/>
  <c r="AV278" i="1"/>
  <c r="AW278" i="1"/>
  <c r="AX278" i="1"/>
  <c r="AR279" i="1"/>
  <c r="AS279" i="1"/>
  <c r="AT279" i="1"/>
  <c r="AU279" i="1"/>
  <c r="AV279" i="1"/>
  <c r="AW279" i="1"/>
  <c r="AX279" i="1"/>
  <c r="AR280" i="1"/>
  <c r="AS280" i="1"/>
  <c r="AT280" i="1"/>
  <c r="AU280" i="1"/>
  <c r="AV280" i="1"/>
  <c r="AW280" i="1"/>
  <c r="AX280" i="1"/>
  <c r="AR281" i="1"/>
  <c r="AS281" i="1"/>
  <c r="AT281" i="1"/>
  <c r="AU281" i="1"/>
  <c r="AV281" i="1"/>
  <c r="AW281" i="1"/>
  <c r="AX281" i="1"/>
  <c r="AR282" i="1"/>
  <c r="AS282" i="1"/>
  <c r="AT282" i="1"/>
  <c r="AU282" i="1"/>
  <c r="AV282" i="1"/>
  <c r="AW282" i="1"/>
  <c r="AX282" i="1"/>
  <c r="AR283" i="1"/>
  <c r="AS283" i="1"/>
  <c r="AT283" i="1"/>
  <c r="AU283" i="1"/>
  <c r="AV283" i="1"/>
  <c r="AW283" i="1"/>
  <c r="AX283" i="1"/>
  <c r="AR284" i="1"/>
  <c r="AS284" i="1"/>
  <c r="AT284" i="1"/>
  <c r="AU284" i="1"/>
  <c r="AV284" i="1"/>
  <c r="AW284" i="1"/>
  <c r="AX284" i="1"/>
  <c r="AR285" i="1"/>
  <c r="AS285" i="1"/>
  <c r="AT285" i="1"/>
  <c r="AU285" i="1"/>
  <c r="AV285" i="1"/>
  <c r="AW285" i="1"/>
  <c r="AX285" i="1"/>
  <c r="AR286" i="1"/>
  <c r="AS286" i="1"/>
  <c r="AT286" i="1"/>
  <c r="AU286" i="1"/>
  <c r="AV286" i="1"/>
  <c r="AW286" i="1"/>
  <c r="AX286" i="1"/>
  <c r="AR287" i="1"/>
  <c r="AS287" i="1"/>
  <c r="AT287" i="1"/>
  <c r="AU287" i="1"/>
  <c r="AV287" i="1"/>
  <c r="AW287" i="1"/>
  <c r="AX287" i="1"/>
  <c r="AR288" i="1"/>
  <c r="AS288" i="1"/>
  <c r="AT288" i="1"/>
  <c r="AU288" i="1"/>
  <c r="AV288" i="1"/>
  <c r="AW288" i="1"/>
  <c r="AX288" i="1"/>
  <c r="AR289" i="1"/>
  <c r="AS289" i="1"/>
  <c r="AT289" i="1"/>
  <c r="AU289" i="1"/>
  <c r="AV289" i="1"/>
  <c r="AW289" i="1"/>
  <c r="AX289" i="1"/>
  <c r="AR290" i="1"/>
  <c r="AS290" i="1"/>
  <c r="AT290" i="1"/>
  <c r="AU290" i="1"/>
  <c r="AV290" i="1"/>
  <c r="AW290" i="1"/>
  <c r="AX290" i="1"/>
  <c r="AR291" i="1"/>
  <c r="AS291" i="1"/>
  <c r="AT291" i="1"/>
  <c r="AU291" i="1"/>
  <c r="AV291" i="1"/>
  <c r="AW291" i="1"/>
  <c r="AX291" i="1"/>
  <c r="AR292" i="1"/>
  <c r="AS292" i="1"/>
  <c r="AT292" i="1"/>
  <c r="AU292" i="1"/>
  <c r="AV292" i="1"/>
  <c r="AW292" i="1"/>
  <c r="AX292" i="1"/>
  <c r="AR293" i="1"/>
  <c r="AS293" i="1"/>
  <c r="AT293" i="1"/>
  <c r="AU293" i="1"/>
  <c r="AV293" i="1"/>
  <c r="AW293" i="1"/>
  <c r="AX293" i="1"/>
  <c r="AR294" i="1"/>
  <c r="AS294" i="1"/>
  <c r="AT294" i="1"/>
  <c r="AU294" i="1"/>
  <c r="AV294" i="1"/>
  <c r="AW294" i="1"/>
  <c r="AX294" i="1"/>
  <c r="AR295" i="1"/>
  <c r="AS295" i="1"/>
  <c r="AT295" i="1"/>
  <c r="AU295" i="1"/>
  <c r="AV295" i="1"/>
  <c r="AW295" i="1"/>
  <c r="AX295" i="1"/>
  <c r="AR296" i="1"/>
  <c r="AS296" i="1"/>
  <c r="AT296" i="1"/>
  <c r="AU296" i="1"/>
  <c r="AV296" i="1"/>
  <c r="AW296" i="1"/>
  <c r="AX296" i="1"/>
  <c r="AR297" i="1"/>
  <c r="AS297" i="1"/>
  <c r="AT297" i="1"/>
  <c r="AU297" i="1"/>
  <c r="AV297" i="1"/>
  <c r="AW297" i="1"/>
  <c r="AX297" i="1"/>
  <c r="AR298" i="1"/>
  <c r="AS298" i="1"/>
  <c r="AT298" i="1"/>
  <c r="AU298" i="1"/>
  <c r="AV298" i="1"/>
  <c r="AW298" i="1"/>
  <c r="AX298" i="1"/>
  <c r="AR299" i="1"/>
  <c r="AS299" i="1"/>
  <c r="AT299" i="1"/>
  <c r="AU299" i="1"/>
  <c r="AV299" i="1"/>
  <c r="AW299" i="1"/>
  <c r="AX299" i="1"/>
  <c r="AR300" i="1"/>
  <c r="AS300" i="1"/>
  <c r="AT300" i="1"/>
  <c r="AU300" i="1"/>
  <c r="AV300" i="1"/>
  <c r="AW300" i="1"/>
  <c r="AX300" i="1"/>
  <c r="AR301" i="1"/>
  <c r="AS301" i="1"/>
  <c r="AT301" i="1"/>
  <c r="AU301" i="1"/>
  <c r="AV301" i="1"/>
  <c r="AW301" i="1"/>
  <c r="AX301" i="1"/>
  <c r="AR302" i="1"/>
  <c r="AS302" i="1"/>
  <c r="AT302" i="1"/>
  <c r="AU302" i="1"/>
  <c r="AV302" i="1"/>
  <c r="AW302" i="1"/>
  <c r="AX302" i="1"/>
  <c r="AR303" i="1"/>
  <c r="AS303" i="1"/>
  <c r="AT303" i="1"/>
  <c r="AU303" i="1"/>
  <c r="AV303" i="1"/>
  <c r="AW303" i="1"/>
  <c r="AX303" i="1"/>
  <c r="AR304" i="1"/>
  <c r="AS304" i="1"/>
  <c r="AT304" i="1"/>
  <c r="AU304" i="1"/>
  <c r="AV304" i="1"/>
  <c r="AW304" i="1"/>
  <c r="AR305" i="1"/>
  <c r="AS305" i="1"/>
  <c r="AT305" i="1"/>
  <c r="AU305" i="1"/>
  <c r="AV305" i="1"/>
  <c r="AW305" i="1"/>
  <c r="AR306" i="1"/>
  <c r="AS306" i="1"/>
  <c r="AT306" i="1"/>
  <c r="AU306" i="1"/>
  <c r="AV306" i="1"/>
  <c r="AW306" i="1"/>
  <c r="AR307" i="1"/>
  <c r="AS307" i="1"/>
  <c r="AT307" i="1"/>
  <c r="AU307" i="1"/>
  <c r="AV307" i="1"/>
  <c r="AW307" i="1"/>
  <c r="AR308" i="1"/>
  <c r="AS308" i="1"/>
  <c r="AT308" i="1"/>
  <c r="AU308" i="1"/>
  <c r="AV308" i="1"/>
  <c r="AW308" i="1"/>
  <c r="AR309" i="1"/>
  <c r="AS309" i="1"/>
  <c r="AT309" i="1"/>
  <c r="AU309" i="1"/>
  <c r="AV309" i="1"/>
  <c r="AW309" i="1"/>
  <c r="AR310" i="1"/>
  <c r="AS310" i="1"/>
  <c r="AT310" i="1"/>
  <c r="AU310" i="1"/>
  <c r="AV310" i="1"/>
  <c r="AW310" i="1"/>
  <c r="AR311" i="1"/>
  <c r="AS311" i="1"/>
  <c r="AT311" i="1"/>
  <c r="AU311" i="1"/>
  <c r="AV311" i="1"/>
  <c r="AW311" i="1"/>
  <c r="AR312" i="1"/>
  <c r="AS312" i="1"/>
  <c r="AT312" i="1"/>
  <c r="AU312" i="1"/>
  <c r="AV312" i="1"/>
  <c r="AW312" i="1"/>
  <c r="AR313" i="1"/>
  <c r="AS313" i="1"/>
  <c r="AT313" i="1"/>
  <c r="AU313" i="1"/>
  <c r="AV313" i="1"/>
  <c r="AW313" i="1"/>
  <c r="AR314" i="1"/>
  <c r="AS314" i="1"/>
  <c r="AT314" i="1"/>
  <c r="AU314" i="1"/>
  <c r="AV314" i="1"/>
  <c r="AW314" i="1"/>
  <c r="AR315" i="1"/>
  <c r="AS315" i="1"/>
  <c r="AT315" i="1"/>
  <c r="AU315" i="1"/>
  <c r="AV315" i="1"/>
  <c r="AW315" i="1"/>
  <c r="AR316" i="1"/>
  <c r="AS316" i="1"/>
  <c r="AT316" i="1"/>
  <c r="AU316" i="1"/>
  <c r="AV316" i="1"/>
  <c r="AW316" i="1"/>
  <c r="AR332" i="1"/>
  <c r="AS332" i="1"/>
  <c r="AT332" i="1"/>
  <c r="AU332" i="1"/>
  <c r="AV332" i="1"/>
  <c r="AW332" i="1"/>
  <c r="AR333" i="1"/>
  <c r="AS333" i="1"/>
  <c r="AT333" i="1"/>
  <c r="AU333" i="1"/>
  <c r="AV333" i="1"/>
  <c r="AW333" i="1"/>
  <c r="AR334" i="1"/>
  <c r="AS334" i="1"/>
  <c r="AT334" i="1"/>
  <c r="AU334" i="1"/>
  <c r="AV334" i="1"/>
  <c r="AW334" i="1"/>
  <c r="AR335" i="1"/>
  <c r="AS335" i="1"/>
  <c r="AT335" i="1"/>
  <c r="AU335" i="1"/>
  <c r="AV335" i="1"/>
  <c r="AW335" i="1"/>
  <c r="AR336" i="1"/>
  <c r="AS336" i="1"/>
  <c r="AT336" i="1"/>
  <c r="AU336" i="1"/>
  <c r="AV336" i="1"/>
  <c r="AW336" i="1"/>
  <c r="AR337" i="1"/>
  <c r="AS337" i="1"/>
  <c r="AT337" i="1"/>
  <c r="AU337" i="1"/>
  <c r="AV337" i="1"/>
  <c r="AW337" i="1"/>
  <c r="AR338" i="1"/>
  <c r="AS338" i="1"/>
  <c r="AT338" i="1"/>
  <c r="AU338" i="1"/>
  <c r="AV338" i="1"/>
  <c r="AW338" i="1"/>
  <c r="AR339" i="1"/>
  <c r="AS339" i="1"/>
  <c r="AT339" i="1"/>
  <c r="AU339" i="1"/>
  <c r="AV339" i="1"/>
  <c r="AW339" i="1"/>
  <c r="AR340" i="1"/>
  <c r="AS340" i="1"/>
  <c r="AT340" i="1"/>
  <c r="AU340" i="1"/>
  <c r="AV340" i="1"/>
  <c r="AW340" i="1"/>
  <c r="AR341" i="1"/>
  <c r="AS341" i="1"/>
  <c r="AT341" i="1"/>
  <c r="AU341" i="1"/>
  <c r="AV341" i="1"/>
  <c r="AW341" i="1"/>
  <c r="AR221" i="1"/>
  <c r="AS221" i="1"/>
  <c r="AT221" i="1"/>
  <c r="AU221" i="1"/>
  <c r="AV221" i="1"/>
  <c r="AW221" i="1"/>
  <c r="AR222" i="1"/>
  <c r="AS222" i="1"/>
  <c r="AT222" i="1"/>
  <c r="AU222" i="1"/>
  <c r="AV222" i="1"/>
  <c r="AW222" i="1"/>
  <c r="AR223" i="1"/>
  <c r="AS223" i="1"/>
  <c r="AT223" i="1"/>
  <c r="AU223" i="1"/>
  <c r="AV223" i="1"/>
  <c r="AW223" i="1"/>
  <c r="AR224" i="1"/>
  <c r="AS224" i="1"/>
  <c r="AT224" i="1"/>
  <c r="AU224" i="1"/>
  <c r="AV224" i="1"/>
  <c r="AW224" i="1"/>
  <c r="AR225" i="1"/>
  <c r="AS225" i="1"/>
  <c r="AT225" i="1"/>
  <c r="AU225" i="1"/>
  <c r="AV225" i="1"/>
  <c r="AW225" i="1"/>
  <c r="AR226" i="1"/>
  <c r="AS226" i="1"/>
  <c r="AT226" i="1"/>
  <c r="AU226" i="1"/>
  <c r="AV226" i="1"/>
  <c r="AW226" i="1"/>
  <c r="AR227" i="1"/>
  <c r="AS227" i="1"/>
  <c r="AT227" i="1"/>
  <c r="AU227" i="1"/>
  <c r="AV227" i="1"/>
  <c r="AW227" i="1"/>
  <c r="AR228" i="1"/>
  <c r="AS228" i="1"/>
  <c r="AT228" i="1"/>
  <c r="AU228" i="1"/>
  <c r="AV228" i="1"/>
  <c r="AW228" i="1"/>
  <c r="AR229" i="1"/>
  <c r="AS229" i="1"/>
  <c r="AT229" i="1"/>
  <c r="AU229" i="1"/>
  <c r="AV229" i="1"/>
  <c r="AW229" i="1"/>
  <c r="AR230" i="1"/>
  <c r="AS230" i="1"/>
  <c r="AT230" i="1"/>
  <c r="AU230" i="1"/>
  <c r="AV230" i="1"/>
  <c r="AW230" i="1"/>
  <c r="AR231" i="1"/>
  <c r="AS231" i="1"/>
  <c r="AT231" i="1"/>
  <c r="AU231" i="1"/>
  <c r="AV231" i="1"/>
  <c r="AW231" i="1"/>
  <c r="AR232" i="1"/>
  <c r="AS232" i="1"/>
  <c r="AT232" i="1"/>
  <c r="AU232" i="1"/>
  <c r="AV232" i="1"/>
  <c r="AW232" i="1"/>
  <c r="AR233" i="1"/>
  <c r="AS233" i="1"/>
  <c r="AT233" i="1"/>
  <c r="AU233" i="1"/>
  <c r="AV233" i="1"/>
  <c r="AW233" i="1"/>
  <c r="AR234" i="1"/>
  <c r="AS234" i="1"/>
  <c r="AT234" i="1"/>
  <c r="AU234" i="1"/>
  <c r="AV234" i="1"/>
  <c r="AW234" i="1"/>
  <c r="AR235" i="1"/>
  <c r="AS235" i="1"/>
  <c r="AT235" i="1"/>
  <c r="AU235" i="1"/>
  <c r="AV235" i="1"/>
  <c r="AW235" i="1"/>
  <c r="AR236" i="1"/>
  <c r="AS236" i="1"/>
  <c r="AT236" i="1"/>
  <c r="AU236" i="1"/>
  <c r="AV236" i="1"/>
  <c r="AW236" i="1"/>
  <c r="AW220" i="1"/>
  <c r="AV220" i="1"/>
  <c r="AU220" i="1"/>
  <c r="AT220" i="1"/>
  <c r="AS220" i="1"/>
  <c r="AR220" i="1"/>
  <c r="N315" i="1" l="1"/>
  <c r="N313" i="1"/>
  <c r="N311" i="1"/>
  <c r="N309" i="1"/>
  <c r="N307" i="1"/>
  <c r="N305" i="1"/>
  <c r="N303" i="1"/>
  <c r="N301" i="1"/>
  <c r="N299" i="1"/>
  <c r="N297" i="1"/>
  <c r="N295" i="1"/>
  <c r="N293" i="1"/>
  <c r="N291" i="1"/>
  <c r="N289" i="1"/>
  <c r="N287" i="1"/>
  <c r="N285" i="1"/>
  <c r="N283" i="1"/>
  <c r="N281" i="1"/>
  <c r="N279" i="1"/>
  <c r="N277" i="1"/>
  <c r="N275" i="1"/>
  <c r="N273" i="1"/>
  <c r="N271" i="1"/>
  <c r="N269" i="1"/>
  <c r="N267" i="1"/>
  <c r="N265" i="1"/>
  <c r="N263" i="1"/>
  <c r="N261" i="1"/>
  <c r="N258" i="1"/>
  <c r="N256" i="1"/>
  <c r="N254" i="1"/>
  <c r="N252" i="1"/>
  <c r="N250" i="1"/>
  <c r="N248" i="1"/>
  <c r="N246" i="1"/>
  <c r="N244" i="1"/>
  <c r="N242" i="1"/>
  <c r="N240" i="1"/>
  <c r="N237" i="1"/>
  <c r="N235" i="1"/>
  <c r="N231" i="1"/>
  <c r="N227" i="1"/>
  <c r="N222" i="1"/>
  <c r="N316" i="1"/>
  <c r="N314" i="1"/>
  <c r="N312" i="1"/>
  <c r="N310" i="1"/>
  <c r="N308" i="1"/>
  <c r="N306" i="1"/>
  <c r="N304" i="1"/>
  <c r="N302" i="1"/>
  <c r="N300" i="1"/>
  <c r="N298" i="1"/>
  <c r="N296" i="1"/>
  <c r="N294" i="1"/>
  <c r="N292" i="1"/>
  <c r="N290" i="1"/>
  <c r="N288" i="1"/>
  <c r="N286" i="1"/>
  <c r="N284" i="1"/>
  <c r="N282" i="1"/>
  <c r="N280" i="1"/>
  <c r="N278" i="1"/>
  <c r="N276" i="1"/>
  <c r="N274" i="1"/>
  <c r="N272" i="1"/>
  <c r="N270" i="1"/>
  <c r="N268" i="1"/>
  <c r="N266" i="1"/>
  <c r="N264" i="1"/>
  <c r="N262" i="1"/>
  <c r="N260" i="1"/>
  <c r="N257" i="1"/>
  <c r="N255" i="1"/>
  <c r="N253" i="1"/>
  <c r="N251" i="1"/>
  <c r="N249" i="1"/>
  <c r="N247" i="1"/>
  <c r="N245" i="1"/>
  <c r="N243" i="1"/>
  <c r="N241" i="1"/>
  <c r="N238" i="1"/>
  <c r="N236" i="1"/>
  <c r="N233" i="1"/>
  <c r="N230" i="1"/>
  <c r="N224" i="1"/>
  <c r="AH315" i="1"/>
  <c r="AH313" i="1"/>
  <c r="AH311" i="1"/>
  <c r="AH309" i="1"/>
  <c r="AH307" i="1"/>
  <c r="AH305" i="1"/>
  <c r="AH303" i="1"/>
  <c r="AH301" i="1"/>
  <c r="AH299" i="1"/>
  <c r="AH297" i="1"/>
  <c r="AH295" i="1"/>
  <c r="AH293" i="1"/>
  <c r="AH291" i="1"/>
  <c r="AH289" i="1"/>
  <c r="AH287" i="1"/>
  <c r="AH285" i="1"/>
  <c r="AH283" i="1"/>
  <c r="AH281" i="1"/>
  <c r="AH279" i="1"/>
  <c r="AH277" i="1"/>
  <c r="AH275" i="1"/>
  <c r="AH273" i="1"/>
  <c r="AH271" i="1"/>
  <c r="AH269" i="1"/>
  <c r="AH267" i="1"/>
  <c r="AH265" i="1"/>
  <c r="AH263" i="1"/>
  <c r="AH261" i="1"/>
  <c r="AH259" i="1"/>
  <c r="AH257" i="1"/>
  <c r="AH255" i="1"/>
  <c r="AH253" i="1"/>
  <c r="AH251" i="1"/>
  <c r="AH249" i="1"/>
  <c r="AH247" i="1"/>
  <c r="AH245" i="1"/>
  <c r="AH243" i="1"/>
  <c r="AH241" i="1"/>
  <c r="AH238" i="1"/>
  <c r="AH236" i="1"/>
  <c r="AH233" i="1"/>
  <c r="AH230" i="1"/>
  <c r="AH226" i="1"/>
  <c r="AH222" i="1"/>
  <c r="AH316" i="1"/>
  <c r="AH314" i="1"/>
  <c r="AH312" i="1"/>
  <c r="AH310" i="1"/>
  <c r="AH308" i="1"/>
  <c r="AH306" i="1"/>
  <c r="AH304" i="1"/>
  <c r="AH302" i="1"/>
  <c r="AH300" i="1"/>
  <c r="AH298" i="1"/>
  <c r="AH296" i="1"/>
  <c r="AH294" i="1"/>
  <c r="AH292" i="1"/>
  <c r="AH290" i="1"/>
  <c r="AH288" i="1"/>
  <c r="AH286" i="1"/>
  <c r="AH284" i="1"/>
  <c r="AH282" i="1"/>
  <c r="AH280" i="1"/>
  <c r="AH278" i="1"/>
  <c r="AH276" i="1"/>
  <c r="AH274" i="1"/>
  <c r="AH272" i="1"/>
  <c r="AH270" i="1"/>
  <c r="AH268" i="1"/>
  <c r="AH266" i="1"/>
  <c r="AH264" i="1"/>
  <c r="AH262" i="1"/>
  <c r="AH260" i="1"/>
  <c r="AH258" i="1"/>
  <c r="AH256" i="1"/>
  <c r="AH254" i="1"/>
  <c r="AH252" i="1"/>
  <c r="AH250" i="1"/>
  <c r="AH248" i="1"/>
  <c r="AH246" i="1"/>
  <c r="AH244" i="1"/>
  <c r="AH242" i="1"/>
  <c r="AH239" i="1"/>
  <c r="AH237" i="1"/>
  <c r="AH234" i="1"/>
  <c r="AH232" i="1"/>
  <c r="AH228" i="1"/>
  <c r="AH224" i="1"/>
  <c r="J366" i="1"/>
  <c r="J362" i="1"/>
  <c r="J370" i="1"/>
  <c r="J368" i="1"/>
  <c r="J364" i="1"/>
  <c r="J360" i="1"/>
  <c r="J358" i="1"/>
  <c r="C449" i="1" l="1"/>
  <c r="C448" i="1"/>
  <c r="C447" i="1"/>
  <c r="I446" i="1"/>
  <c r="C444" i="1"/>
  <c r="C443" i="1"/>
  <c r="C442" i="1"/>
  <c r="AP370" i="1"/>
  <c r="AN370" i="1"/>
  <c r="U370" i="1"/>
  <c r="Q370" i="1"/>
  <c r="P370" i="1"/>
  <c r="O370" i="1"/>
  <c r="N370" i="1"/>
  <c r="L370" i="1"/>
  <c r="AA370" i="1"/>
  <c r="Y370" i="1"/>
  <c r="G370" i="1"/>
  <c r="E370" i="1"/>
  <c r="AP369" i="1"/>
  <c r="AN369" i="1"/>
  <c r="AJ369" i="1"/>
  <c r="AH369" i="1"/>
  <c r="Q369" i="1"/>
  <c r="P369" i="1"/>
  <c r="O369" i="1"/>
  <c r="N369" i="1"/>
  <c r="L369" i="1"/>
  <c r="AA369" i="1"/>
  <c r="Z369" i="1"/>
  <c r="Y369" i="1"/>
  <c r="G369" i="1"/>
  <c r="F369" i="1"/>
  <c r="E369" i="1"/>
  <c r="AP368" i="1"/>
  <c r="AN368" i="1"/>
  <c r="AL368" i="1"/>
  <c r="AJ368" i="1"/>
  <c r="AH368" i="1"/>
  <c r="AF368" i="1"/>
  <c r="P368" i="1"/>
  <c r="N368" i="1"/>
  <c r="L368" i="1"/>
  <c r="AA368" i="1"/>
  <c r="Y368" i="1"/>
  <c r="W368" i="1"/>
  <c r="G368" i="1"/>
  <c r="E368" i="1"/>
  <c r="C368" i="1"/>
  <c r="AP367" i="1"/>
  <c r="AN367" i="1"/>
  <c r="AJ367" i="1"/>
  <c r="AH367" i="1"/>
  <c r="Q367" i="1"/>
  <c r="P367" i="1"/>
  <c r="N367" i="1"/>
  <c r="AA367" i="1"/>
  <c r="Y367" i="1"/>
  <c r="G367" i="1"/>
  <c r="F367" i="1"/>
  <c r="E367" i="1"/>
  <c r="AP366" i="1"/>
  <c r="AN366" i="1"/>
  <c r="P366" i="1"/>
  <c r="N366" i="1"/>
  <c r="L366" i="1"/>
  <c r="E366" i="1"/>
  <c r="AP365" i="1"/>
  <c r="AN365" i="1"/>
  <c r="AL365" i="1"/>
  <c r="AH365" i="1"/>
  <c r="AF365" i="1"/>
  <c r="U365" i="1"/>
  <c r="Q365" i="1"/>
  <c r="P365" i="1"/>
  <c r="N365" i="1"/>
  <c r="L365" i="1"/>
  <c r="Y365" i="1"/>
  <c r="E365" i="1"/>
  <c r="AP364" i="1"/>
  <c r="AN364" i="1"/>
  <c r="AL364" i="1"/>
  <c r="AJ364" i="1"/>
  <c r="AH364" i="1"/>
  <c r="AF364" i="1"/>
  <c r="Q364" i="1"/>
  <c r="P364" i="1"/>
  <c r="O364" i="1"/>
  <c r="N364" i="1"/>
  <c r="L364" i="1"/>
  <c r="AA364" i="1"/>
  <c r="Z364" i="1"/>
  <c r="Y364" i="1"/>
  <c r="W364" i="1"/>
  <c r="G364" i="1"/>
  <c r="F364" i="1"/>
  <c r="E364" i="1"/>
  <c r="C364" i="1"/>
  <c r="AN363" i="1"/>
  <c r="AJ363" i="1"/>
  <c r="AH363" i="1"/>
  <c r="U363" i="1"/>
  <c r="Q363" i="1"/>
  <c r="P363" i="1"/>
  <c r="N363" i="1"/>
  <c r="L363" i="1"/>
  <c r="AA363" i="1"/>
  <c r="Y363" i="1"/>
  <c r="G363" i="1"/>
  <c r="F363" i="1"/>
  <c r="E363" i="1"/>
  <c r="AP362" i="1"/>
  <c r="AN362" i="1"/>
  <c r="AJ362" i="1"/>
  <c r="AH362" i="1"/>
  <c r="Q362" i="1"/>
  <c r="P362" i="1"/>
  <c r="N362" i="1"/>
  <c r="AD362" i="1"/>
  <c r="AA362" i="1"/>
  <c r="Y362" i="1"/>
  <c r="G362" i="1"/>
  <c r="E362" i="1"/>
  <c r="C362" i="1"/>
  <c r="AP361" i="1"/>
  <c r="AN361" i="1"/>
  <c r="AL361" i="1"/>
  <c r="AJ361" i="1"/>
  <c r="AH361" i="1"/>
  <c r="Q361" i="1"/>
  <c r="P361" i="1"/>
  <c r="O361" i="1"/>
  <c r="N361" i="1"/>
  <c r="L361" i="1"/>
  <c r="AA361" i="1"/>
  <c r="G361" i="1"/>
  <c r="E361" i="1"/>
  <c r="C361" i="1"/>
  <c r="AP360" i="1"/>
  <c r="AL360" i="1"/>
  <c r="AJ360" i="1"/>
  <c r="AH360" i="1"/>
  <c r="AF360" i="1"/>
  <c r="Q360" i="1"/>
  <c r="P360" i="1"/>
  <c r="N360" i="1"/>
  <c r="L360" i="1"/>
  <c r="AA360" i="1"/>
  <c r="Z360" i="1"/>
  <c r="Y360" i="1"/>
  <c r="W360" i="1"/>
  <c r="G360" i="1"/>
  <c r="F360" i="1"/>
  <c r="E360" i="1"/>
  <c r="C360" i="1"/>
  <c r="AP359" i="1"/>
  <c r="AJ359" i="1"/>
  <c r="Q359" i="1"/>
  <c r="N359" i="1"/>
  <c r="AA359" i="1"/>
  <c r="Y359" i="1"/>
  <c r="G359" i="1"/>
  <c r="E359" i="1"/>
  <c r="Q358" i="1"/>
  <c r="P358" i="1"/>
  <c r="N358" i="1"/>
  <c r="G358" i="1"/>
  <c r="E358" i="1"/>
  <c r="C358" i="1"/>
  <c r="AL357" i="1"/>
  <c r="AJ357" i="1"/>
  <c r="AF357" i="1"/>
  <c r="Q357" i="1"/>
  <c r="O357" i="1"/>
  <c r="N357" i="1"/>
  <c r="AA357" i="1"/>
  <c r="G357" i="1"/>
  <c r="F357" i="1"/>
  <c r="E357" i="1"/>
  <c r="C357" i="1"/>
  <c r="AP356" i="1"/>
  <c r="AL356" i="1"/>
  <c r="AJ356" i="1"/>
  <c r="AF356" i="1"/>
  <c r="Q356" i="1"/>
  <c r="P356" i="1"/>
  <c r="N356" i="1"/>
  <c r="L356" i="1"/>
  <c r="AA356" i="1"/>
  <c r="W356" i="1"/>
  <c r="J356" i="1"/>
  <c r="G356" i="1"/>
  <c r="E356" i="1"/>
  <c r="C356" i="1"/>
  <c r="AP355" i="1"/>
  <c r="AJ355" i="1"/>
  <c r="AF355" i="1"/>
  <c r="Q355" i="1"/>
  <c r="P355" i="1"/>
  <c r="N355" i="1"/>
  <c r="AA355" i="1"/>
  <c r="W355" i="1"/>
  <c r="G355" i="1"/>
  <c r="E355" i="1"/>
  <c r="AP354" i="1"/>
  <c r="AJ354" i="1"/>
  <c r="AF354" i="1"/>
  <c r="U354" i="1"/>
  <c r="Q354" i="1"/>
  <c r="P354" i="1"/>
  <c r="O354" i="1"/>
  <c r="N354" i="1"/>
  <c r="AA354" i="1"/>
  <c r="W354" i="1"/>
  <c r="J354" i="1"/>
  <c r="G354" i="1"/>
  <c r="E354" i="1"/>
  <c r="AP353" i="1"/>
  <c r="AL353" i="1"/>
  <c r="AJ353" i="1"/>
  <c r="AF353" i="1"/>
  <c r="U353" i="1"/>
  <c r="Q353" i="1"/>
  <c r="P353" i="1"/>
  <c r="O353" i="1"/>
  <c r="N353" i="1"/>
  <c r="AA353" i="1"/>
  <c r="W353" i="1"/>
  <c r="G353" i="1"/>
  <c r="AP352" i="1"/>
  <c r="AL352" i="1"/>
  <c r="AJ352" i="1"/>
  <c r="AF352" i="1"/>
  <c r="U352" i="1"/>
  <c r="Q352" i="1"/>
  <c r="P352" i="1"/>
  <c r="O352" i="1"/>
  <c r="N352" i="1"/>
  <c r="L352" i="1"/>
  <c r="AA352" i="1"/>
  <c r="W352" i="1"/>
  <c r="J352" i="1"/>
  <c r="G352" i="1"/>
  <c r="F352" i="1"/>
  <c r="E352" i="1"/>
  <c r="C352" i="1"/>
  <c r="AP351" i="1"/>
  <c r="AJ351" i="1"/>
  <c r="AI351" i="1"/>
  <c r="AH351" i="1"/>
  <c r="AF351" i="1"/>
  <c r="Q351" i="1"/>
  <c r="P351" i="1"/>
  <c r="N351" i="1"/>
  <c r="AA351" i="1"/>
  <c r="W351" i="1"/>
  <c r="G351" i="1"/>
  <c r="AJ350" i="1"/>
  <c r="AF350" i="1"/>
  <c r="Q350" i="1"/>
  <c r="P350" i="1"/>
  <c r="L350" i="1"/>
  <c r="AA350" i="1"/>
  <c r="W350" i="1"/>
  <c r="G350" i="1"/>
  <c r="C350" i="1"/>
  <c r="AL349" i="1"/>
  <c r="AJ349" i="1"/>
  <c r="AI349" i="1"/>
  <c r="AH349" i="1"/>
  <c r="AF349" i="1"/>
  <c r="Q349" i="1"/>
  <c r="P349" i="1"/>
  <c r="L349" i="1"/>
  <c r="W349" i="1"/>
  <c r="G349" i="1"/>
  <c r="C349" i="1"/>
  <c r="AP348" i="1"/>
  <c r="AL348" i="1"/>
  <c r="AJ348" i="1"/>
  <c r="AF348" i="1"/>
  <c r="AA348" i="1"/>
  <c r="W348" i="1"/>
  <c r="J348" i="1"/>
  <c r="G348" i="1"/>
  <c r="C348" i="1"/>
  <c r="AP347" i="1"/>
  <c r="AL347" i="1"/>
  <c r="AJ347" i="1"/>
  <c r="AF347" i="1"/>
  <c r="AA347" i="1"/>
  <c r="W347" i="1"/>
  <c r="G347" i="1"/>
  <c r="AL346" i="1"/>
  <c r="AJ346" i="1"/>
  <c r="AF346" i="1"/>
  <c r="AA346" i="1"/>
  <c r="W346" i="1"/>
  <c r="AL345" i="1"/>
  <c r="W345" i="1"/>
  <c r="AO341" i="1"/>
  <c r="AN341" i="1"/>
  <c r="AH341" i="1"/>
  <c r="N341" i="1"/>
  <c r="F341" i="1"/>
  <c r="E341" i="1"/>
  <c r="AO340" i="1"/>
  <c r="AN340" i="1"/>
  <c r="AH340" i="1"/>
  <c r="AF340" i="1"/>
  <c r="Q340" i="1"/>
  <c r="N340" i="1"/>
  <c r="AD340" i="1"/>
  <c r="Y340" i="1"/>
  <c r="E340" i="1"/>
  <c r="AO339" i="1"/>
  <c r="AN339" i="1"/>
  <c r="AL339" i="1"/>
  <c r="AH339" i="1"/>
  <c r="T339" i="1"/>
  <c r="Q339" i="1"/>
  <c r="O339" i="1"/>
  <c r="N339" i="1"/>
  <c r="L339" i="1"/>
  <c r="Y339" i="1"/>
  <c r="F339" i="1"/>
  <c r="E339" i="1"/>
  <c r="AO338" i="1"/>
  <c r="AN338" i="1"/>
  <c r="AL338" i="1"/>
  <c r="AI338" i="1"/>
  <c r="AH338" i="1"/>
  <c r="AF338" i="1"/>
  <c r="T338" i="1"/>
  <c r="Q338" i="1"/>
  <c r="N338" i="1"/>
  <c r="L338" i="1"/>
  <c r="Y338" i="1"/>
  <c r="J338" i="1"/>
  <c r="F338" i="1"/>
  <c r="E338" i="1"/>
  <c r="AO337" i="1"/>
  <c r="AN337" i="1"/>
  <c r="AI337" i="1"/>
  <c r="AH337" i="1"/>
  <c r="T337" i="1"/>
  <c r="O337" i="1"/>
  <c r="N337" i="1"/>
  <c r="Y337" i="1"/>
  <c r="E337" i="1"/>
  <c r="AN336" i="1"/>
  <c r="AH336" i="1"/>
  <c r="N336" i="1"/>
  <c r="Y336" i="1"/>
  <c r="E336" i="1"/>
  <c r="AO335" i="1"/>
  <c r="AN335" i="1"/>
  <c r="AL335" i="1"/>
  <c r="AH335" i="1"/>
  <c r="AF335" i="1"/>
  <c r="T335" i="1"/>
  <c r="Q335" i="1"/>
  <c r="N335" i="1"/>
  <c r="Y335" i="1"/>
  <c r="W335" i="1"/>
  <c r="F335" i="1"/>
  <c r="E335" i="1"/>
  <c r="C335" i="1"/>
  <c r="AO334" i="1"/>
  <c r="AN334" i="1"/>
  <c r="AL334" i="1"/>
  <c r="AI334" i="1"/>
  <c r="AH334" i="1"/>
  <c r="AF334" i="1"/>
  <c r="T334" i="1"/>
  <c r="O334" i="1"/>
  <c r="N334" i="1"/>
  <c r="Y334" i="1"/>
  <c r="W334" i="1"/>
  <c r="E334" i="1"/>
  <c r="C334" i="1"/>
  <c r="AN333" i="1"/>
  <c r="AI333" i="1"/>
  <c r="AH333" i="1"/>
  <c r="N333" i="1"/>
  <c r="Y333" i="1"/>
  <c r="E333" i="1"/>
  <c r="AO332" i="1"/>
  <c r="AN332" i="1"/>
  <c r="AH332" i="1"/>
  <c r="N332" i="1"/>
  <c r="Y332" i="1"/>
  <c r="J332" i="1"/>
  <c r="E332" i="1"/>
  <c r="AD316" i="1"/>
  <c r="Y316" i="1"/>
  <c r="W316" i="1"/>
  <c r="S316" i="1"/>
  <c r="Q316" i="1"/>
  <c r="E316" i="1"/>
  <c r="C316" i="1"/>
  <c r="Y315" i="1"/>
  <c r="S315" i="1"/>
  <c r="R315" i="1"/>
  <c r="Q315" i="1"/>
  <c r="J315" i="1"/>
  <c r="E315" i="1"/>
  <c r="C315" i="1"/>
  <c r="Y314" i="1"/>
  <c r="S314" i="1"/>
  <c r="E314" i="1"/>
  <c r="Y313" i="1"/>
  <c r="S313" i="1"/>
  <c r="E313" i="1"/>
  <c r="AD312" i="1"/>
  <c r="AB312" i="1"/>
  <c r="Y312" i="1"/>
  <c r="S312" i="1"/>
  <c r="E312" i="1"/>
  <c r="Y311" i="1"/>
  <c r="W311" i="1"/>
  <c r="S311" i="1"/>
  <c r="Q311" i="1"/>
  <c r="E311" i="1"/>
  <c r="C311" i="1"/>
  <c r="Y310" i="1"/>
  <c r="S310" i="1"/>
  <c r="E310" i="1"/>
  <c r="Y309" i="1"/>
  <c r="S309" i="1"/>
  <c r="E309" i="1"/>
  <c r="Y308" i="1"/>
  <c r="W308" i="1"/>
  <c r="T308" i="1"/>
  <c r="S308" i="1"/>
  <c r="F308" i="1"/>
  <c r="E308" i="1"/>
  <c r="C308" i="1"/>
  <c r="Y307" i="1"/>
  <c r="W307" i="1"/>
  <c r="S307" i="1"/>
  <c r="Q307" i="1"/>
  <c r="J307" i="1"/>
  <c r="E307" i="1"/>
  <c r="C307" i="1"/>
  <c r="Y306" i="1"/>
  <c r="S306" i="1"/>
  <c r="E306" i="1"/>
  <c r="Y305" i="1"/>
  <c r="W305" i="1"/>
  <c r="S305" i="1"/>
  <c r="J305" i="1"/>
  <c r="E305" i="1"/>
  <c r="Y304" i="1"/>
  <c r="W304" i="1"/>
  <c r="S304" i="1"/>
  <c r="Q304" i="1"/>
  <c r="E304" i="1"/>
  <c r="C304" i="1"/>
  <c r="Y303" i="1"/>
  <c r="W303" i="1"/>
  <c r="T303" i="1"/>
  <c r="S303" i="1"/>
  <c r="Q303" i="1"/>
  <c r="J303" i="1"/>
  <c r="E303" i="1"/>
  <c r="C303" i="1"/>
  <c r="Y302" i="1"/>
  <c r="S302" i="1"/>
  <c r="E302" i="1"/>
  <c r="Y301" i="1"/>
  <c r="W301" i="1"/>
  <c r="S301" i="1"/>
  <c r="Q301" i="1"/>
  <c r="J301" i="1"/>
  <c r="E301" i="1"/>
  <c r="Y300" i="1"/>
  <c r="W300" i="1"/>
  <c r="T300" i="1"/>
  <c r="S300" i="1"/>
  <c r="Q300" i="1"/>
  <c r="E300" i="1"/>
  <c r="C300" i="1"/>
  <c r="Y299" i="1"/>
  <c r="W299" i="1"/>
  <c r="S299" i="1"/>
  <c r="Q299" i="1"/>
  <c r="F299" i="1"/>
  <c r="E299" i="1"/>
  <c r="C299" i="1"/>
  <c r="Y298" i="1"/>
  <c r="S298" i="1"/>
  <c r="E298" i="1"/>
  <c r="Y297" i="1"/>
  <c r="W297" i="1"/>
  <c r="S297" i="1"/>
  <c r="E297" i="1"/>
  <c r="C297" i="1"/>
  <c r="Y296" i="1"/>
  <c r="W296" i="1"/>
  <c r="T296" i="1"/>
  <c r="S296" i="1"/>
  <c r="Q296" i="1"/>
  <c r="F296" i="1"/>
  <c r="E296" i="1"/>
  <c r="C296" i="1"/>
  <c r="Y295" i="1"/>
  <c r="W295" i="1"/>
  <c r="S295" i="1"/>
  <c r="Q295" i="1"/>
  <c r="E295" i="1"/>
  <c r="C295" i="1"/>
  <c r="Y294" i="1"/>
  <c r="S294" i="1"/>
  <c r="Q294" i="1"/>
  <c r="E294" i="1"/>
  <c r="C294" i="1"/>
  <c r="Y293" i="1"/>
  <c r="S293" i="1"/>
  <c r="E293" i="1"/>
  <c r="AD292" i="1"/>
  <c r="Y292" i="1"/>
  <c r="W292" i="1"/>
  <c r="S292" i="1"/>
  <c r="Q292" i="1"/>
  <c r="E292" i="1"/>
  <c r="C292" i="1"/>
  <c r="Y291" i="1"/>
  <c r="W291" i="1"/>
  <c r="T291" i="1"/>
  <c r="S291" i="1"/>
  <c r="Q291" i="1"/>
  <c r="J291" i="1"/>
  <c r="F291" i="1"/>
  <c r="E291" i="1"/>
  <c r="C291" i="1"/>
  <c r="Y290" i="1"/>
  <c r="S290" i="1"/>
  <c r="E290" i="1"/>
  <c r="Y289" i="1"/>
  <c r="S289" i="1"/>
  <c r="J289" i="1"/>
  <c r="E289" i="1"/>
  <c r="AD288" i="1"/>
  <c r="Y288" i="1"/>
  <c r="W288" i="1"/>
  <c r="T288" i="1"/>
  <c r="S288" i="1"/>
  <c r="E288" i="1"/>
  <c r="C288" i="1"/>
  <c r="Y287" i="1"/>
  <c r="W287" i="1"/>
  <c r="S287" i="1"/>
  <c r="Q287" i="1"/>
  <c r="J287" i="1"/>
  <c r="E287" i="1"/>
  <c r="C287" i="1"/>
  <c r="Y286" i="1"/>
  <c r="S286" i="1"/>
  <c r="E286" i="1"/>
  <c r="Y285" i="1"/>
  <c r="W285" i="1"/>
  <c r="S285" i="1"/>
  <c r="J285" i="1"/>
  <c r="E285" i="1"/>
  <c r="C285" i="1"/>
  <c r="AD284" i="1"/>
  <c r="Y284" i="1"/>
  <c r="S284" i="1"/>
  <c r="E284" i="1"/>
  <c r="C284" i="1"/>
  <c r="Y283" i="1"/>
  <c r="W283" i="1"/>
  <c r="T283" i="1"/>
  <c r="S283" i="1"/>
  <c r="Q283" i="1"/>
  <c r="J283" i="1"/>
  <c r="F283" i="1"/>
  <c r="E283" i="1"/>
  <c r="C283" i="1"/>
  <c r="Y282" i="1"/>
  <c r="S282" i="1"/>
  <c r="E282" i="1"/>
  <c r="Y281" i="1"/>
  <c r="S281" i="1"/>
  <c r="E281" i="1"/>
  <c r="AD280" i="1"/>
  <c r="Y280" i="1"/>
  <c r="S280" i="1"/>
  <c r="Q280" i="1"/>
  <c r="E280" i="1"/>
  <c r="Y279" i="1"/>
  <c r="W279" i="1"/>
  <c r="T279" i="1"/>
  <c r="S279" i="1"/>
  <c r="Q279" i="1"/>
  <c r="J279" i="1"/>
  <c r="E279" i="1"/>
  <c r="C279" i="1"/>
  <c r="Y278" i="1"/>
  <c r="S278" i="1"/>
  <c r="E278" i="1"/>
  <c r="Y277" i="1"/>
  <c r="S277" i="1"/>
  <c r="J277" i="1"/>
  <c r="E277" i="1"/>
  <c r="C277" i="1"/>
  <c r="Y276" i="1"/>
  <c r="S276" i="1"/>
  <c r="Q276" i="1"/>
  <c r="F276" i="1"/>
  <c r="E276" i="1"/>
  <c r="Y275" i="1"/>
  <c r="T275" i="1"/>
  <c r="S275" i="1"/>
  <c r="Q275" i="1"/>
  <c r="J275" i="1"/>
  <c r="F275" i="1"/>
  <c r="E275" i="1"/>
  <c r="C275" i="1"/>
  <c r="AL274" i="1"/>
  <c r="Y274" i="1"/>
  <c r="S274" i="1"/>
  <c r="E274" i="1"/>
  <c r="Y273" i="1"/>
  <c r="S273" i="1"/>
  <c r="Q273" i="1"/>
  <c r="E273" i="1"/>
  <c r="AD272" i="1"/>
  <c r="Y272" i="1"/>
  <c r="S272" i="1"/>
  <c r="Q272" i="1"/>
  <c r="E272" i="1"/>
  <c r="C272" i="1"/>
  <c r="Y271" i="1"/>
  <c r="W271" i="1"/>
  <c r="T271" i="1"/>
  <c r="S271" i="1"/>
  <c r="Q271" i="1"/>
  <c r="J271" i="1"/>
  <c r="F271" i="1"/>
  <c r="E271" i="1"/>
  <c r="C271" i="1"/>
  <c r="Y270" i="1"/>
  <c r="S270" i="1"/>
  <c r="E270" i="1"/>
  <c r="Y269" i="1"/>
  <c r="S269" i="1"/>
  <c r="J269" i="1"/>
  <c r="E269" i="1"/>
  <c r="Y268" i="1"/>
  <c r="W268" i="1"/>
  <c r="S268" i="1"/>
  <c r="Q268" i="1"/>
  <c r="E268" i="1"/>
  <c r="C268" i="1"/>
  <c r="Y267" i="1"/>
  <c r="W267" i="1"/>
  <c r="T267" i="1"/>
  <c r="S267" i="1"/>
  <c r="Q267" i="1"/>
  <c r="J267" i="1"/>
  <c r="F267" i="1"/>
  <c r="E267" i="1"/>
  <c r="C267" i="1"/>
  <c r="AL266" i="1"/>
  <c r="Y266" i="1"/>
  <c r="S266" i="1"/>
  <c r="E266" i="1"/>
  <c r="Y265" i="1"/>
  <c r="S265" i="1"/>
  <c r="J265" i="1"/>
  <c r="E265" i="1"/>
  <c r="Y264" i="1"/>
  <c r="S264" i="1"/>
  <c r="Q264" i="1"/>
  <c r="E264" i="1"/>
  <c r="Y263" i="1"/>
  <c r="W263" i="1"/>
  <c r="S263" i="1"/>
  <c r="Q263" i="1"/>
  <c r="J263" i="1"/>
  <c r="E263" i="1"/>
  <c r="C263" i="1"/>
  <c r="Y262" i="1"/>
  <c r="S262" i="1"/>
  <c r="Q262" i="1"/>
  <c r="E262" i="1"/>
  <c r="Y261" i="1"/>
  <c r="S261" i="1"/>
  <c r="Q261" i="1"/>
  <c r="E261" i="1"/>
  <c r="Y260" i="1"/>
  <c r="W260" i="1"/>
  <c r="S260" i="1"/>
  <c r="Q260" i="1"/>
  <c r="E260" i="1"/>
  <c r="Y259" i="1"/>
  <c r="W259" i="1"/>
  <c r="J259" i="1"/>
  <c r="AL258" i="1"/>
  <c r="Y258" i="1"/>
  <c r="S258" i="1"/>
  <c r="Q258" i="1"/>
  <c r="E258" i="1"/>
  <c r="Y257" i="1"/>
  <c r="W257" i="1"/>
  <c r="S257" i="1"/>
  <c r="J257" i="1"/>
  <c r="E257" i="1"/>
  <c r="Y256" i="1"/>
  <c r="W256" i="1"/>
  <c r="S256" i="1"/>
  <c r="E256" i="1"/>
  <c r="AL255" i="1"/>
  <c r="Y255" i="1"/>
  <c r="W255" i="1"/>
  <c r="S255" i="1"/>
  <c r="Q255" i="1"/>
  <c r="J255" i="1"/>
  <c r="E255" i="1"/>
  <c r="C255" i="1"/>
  <c r="Y254" i="1"/>
  <c r="W254" i="1"/>
  <c r="S254" i="1"/>
  <c r="E254" i="1"/>
  <c r="Y253" i="1"/>
  <c r="S253" i="1"/>
  <c r="Q253" i="1"/>
  <c r="E253" i="1"/>
  <c r="Y252" i="1"/>
  <c r="W252" i="1"/>
  <c r="S252" i="1"/>
  <c r="Q252" i="1"/>
  <c r="E252" i="1"/>
  <c r="Y251" i="1"/>
  <c r="W251" i="1"/>
  <c r="Q251" i="1"/>
  <c r="J251" i="1"/>
  <c r="E251" i="1"/>
  <c r="C251" i="1"/>
  <c r="AL250" i="1"/>
  <c r="Y250" i="1"/>
  <c r="S250" i="1"/>
  <c r="E250" i="1"/>
  <c r="Y249" i="1"/>
  <c r="W249" i="1"/>
  <c r="S249" i="1"/>
  <c r="Q249" i="1"/>
  <c r="J249" i="1"/>
  <c r="E249" i="1"/>
  <c r="Y248" i="1"/>
  <c r="S248" i="1"/>
  <c r="Q248" i="1"/>
  <c r="E248" i="1"/>
  <c r="Y247" i="1"/>
  <c r="W247" i="1"/>
  <c r="S247" i="1"/>
  <c r="Q247" i="1"/>
  <c r="J247" i="1"/>
  <c r="E247" i="1"/>
  <c r="C247" i="1"/>
  <c r="Y246" i="1"/>
  <c r="W246" i="1"/>
  <c r="S246" i="1"/>
  <c r="Q246" i="1"/>
  <c r="E246" i="1"/>
  <c r="C246" i="1"/>
  <c r="Y245" i="1"/>
  <c r="W245" i="1"/>
  <c r="S245" i="1"/>
  <c r="Q245" i="1"/>
  <c r="E245" i="1"/>
  <c r="C245" i="1"/>
  <c r="Y244" i="1"/>
  <c r="W244" i="1"/>
  <c r="S244" i="1"/>
  <c r="Q244" i="1"/>
  <c r="E244" i="1"/>
  <c r="C244" i="1"/>
  <c r="Y243" i="1"/>
  <c r="W243" i="1"/>
  <c r="S243" i="1"/>
  <c r="Q243" i="1"/>
  <c r="E243" i="1"/>
  <c r="C243" i="1"/>
  <c r="AL242" i="1"/>
  <c r="Y242" i="1"/>
  <c r="S242" i="1"/>
  <c r="Q242" i="1"/>
  <c r="E242" i="1"/>
  <c r="Y241" i="1"/>
  <c r="W241" i="1"/>
  <c r="S241" i="1"/>
  <c r="Q241" i="1"/>
  <c r="J241" i="1"/>
  <c r="E241" i="1"/>
  <c r="S240" i="1"/>
  <c r="E240" i="1"/>
  <c r="AD239" i="1"/>
  <c r="Y239" i="1"/>
  <c r="E239" i="1"/>
  <c r="C239" i="1"/>
  <c r="Y238" i="1"/>
  <c r="S238" i="1"/>
  <c r="Q238" i="1"/>
  <c r="E238" i="1"/>
  <c r="C238" i="1"/>
  <c r="Y237" i="1"/>
  <c r="S237" i="1"/>
  <c r="Q237" i="1"/>
  <c r="E237" i="1"/>
  <c r="Y236" i="1"/>
  <c r="S236" i="1"/>
  <c r="Q236" i="1"/>
  <c r="J236" i="1"/>
  <c r="E236" i="1"/>
  <c r="S235" i="1"/>
  <c r="Q235" i="1"/>
  <c r="E235" i="1"/>
  <c r="C235" i="1"/>
  <c r="Y234" i="1"/>
  <c r="W234" i="1"/>
  <c r="E234" i="1"/>
  <c r="C234" i="1"/>
  <c r="Y233" i="1"/>
  <c r="W233" i="1"/>
  <c r="S233" i="1"/>
  <c r="Q233" i="1"/>
  <c r="J233" i="1"/>
  <c r="E233" i="1"/>
  <c r="C233" i="1"/>
  <c r="Y232" i="1"/>
  <c r="W232" i="1"/>
  <c r="S232" i="1"/>
  <c r="Q232" i="1"/>
  <c r="E232" i="1"/>
  <c r="C232" i="1"/>
  <c r="S231" i="1"/>
  <c r="E231" i="1"/>
  <c r="AF230" i="1"/>
  <c r="Y230" i="1"/>
  <c r="S230" i="1"/>
  <c r="Q230" i="1"/>
  <c r="E230" i="1"/>
  <c r="C230" i="1"/>
  <c r="Y228" i="1"/>
  <c r="S227" i="1"/>
  <c r="Q227" i="1"/>
  <c r="J227" i="1"/>
  <c r="E227" i="1"/>
  <c r="C227" i="1"/>
  <c r="Y226" i="1"/>
  <c r="W226" i="1"/>
  <c r="J225" i="1"/>
  <c r="E225" i="1"/>
  <c r="C225" i="1"/>
  <c r="Y224" i="1"/>
  <c r="S224" i="1"/>
  <c r="Q224" i="1"/>
  <c r="E224" i="1"/>
  <c r="C224" i="1"/>
  <c r="J223" i="1"/>
  <c r="E223" i="1"/>
  <c r="C223" i="1"/>
  <c r="Y222" i="1"/>
  <c r="S222" i="1"/>
  <c r="Q222" i="1"/>
  <c r="E222" i="1"/>
  <c r="C222" i="1"/>
  <c r="J221" i="1"/>
  <c r="E221" i="1"/>
  <c r="C221" i="1"/>
  <c r="W219" i="1"/>
  <c r="Q218" i="1"/>
  <c r="J218" i="1"/>
  <c r="C218" i="1"/>
  <c r="W217" i="1"/>
  <c r="Q215" i="1"/>
  <c r="J215" i="1"/>
  <c r="C215" i="1"/>
  <c r="Q214" i="1"/>
  <c r="C214" i="1"/>
  <c r="W213" i="1"/>
  <c r="W212" i="1"/>
  <c r="Q212" i="1"/>
  <c r="C212" i="1"/>
  <c r="W210" i="1"/>
  <c r="W209" i="1"/>
  <c r="Q209" i="1"/>
  <c r="C209" i="1"/>
  <c r="W208" i="1"/>
  <c r="C208" i="1"/>
  <c r="W207" i="1"/>
  <c r="Q207" i="1"/>
  <c r="J207" i="1"/>
  <c r="C207" i="1"/>
  <c r="Q206" i="1"/>
  <c r="W205" i="1"/>
  <c r="C203" i="1"/>
  <c r="C200" i="1"/>
  <c r="G388" i="1" l="1"/>
  <c r="P389" i="1"/>
  <c r="P384" i="1"/>
  <c r="P388" i="1"/>
  <c r="P386" i="1" s="1"/>
  <c r="S370" i="1"/>
  <c r="S369" i="1"/>
  <c r="S368" i="1"/>
  <c r="S367" i="1"/>
  <c r="S366" i="1"/>
  <c r="S365" i="1"/>
  <c r="S364" i="1"/>
  <c r="S363" i="1"/>
  <c r="S361" i="1"/>
  <c r="S360" i="1"/>
  <c r="S357" i="1"/>
  <c r="S341" i="1"/>
  <c r="S340" i="1"/>
  <c r="S339" i="1"/>
  <c r="S338" i="1"/>
  <c r="S337" i="1"/>
  <c r="S336" i="1"/>
  <c r="S335" i="1"/>
  <c r="S334" i="1"/>
  <c r="S333" i="1"/>
  <c r="S332" i="1"/>
  <c r="P387" i="1" l="1"/>
  <c r="T224" i="1"/>
  <c r="M203" i="1"/>
  <c r="F227" i="1"/>
  <c r="D233" i="1"/>
  <c r="AM384" i="1"/>
  <c r="AM388" i="1"/>
  <c r="AM386" i="1" s="1"/>
  <c r="AM389" i="1"/>
  <c r="AM387" i="1" l="1"/>
  <c r="Z339" i="1" l="1"/>
  <c r="Z334" i="1"/>
  <c r="Z333" i="1"/>
  <c r="Z316" i="1"/>
  <c r="Z315" i="1"/>
  <c r="Z311" i="1"/>
  <c r="Z308" i="1"/>
  <c r="Z304" i="1"/>
  <c r="Z303" i="1"/>
  <c r="Z300" i="1"/>
  <c r="Z299" i="1"/>
  <c r="Z294" i="1"/>
  <c r="Z291" i="1"/>
  <c r="Z288" i="1"/>
  <c r="Z287" i="1"/>
  <c r="Z279" i="1"/>
  <c r="AI222" i="1"/>
  <c r="AG222" i="1"/>
  <c r="R224" i="1" l="1"/>
  <c r="T222" i="1"/>
  <c r="R222" i="1"/>
  <c r="O222" i="1"/>
  <c r="M222" i="1"/>
  <c r="O230" i="1"/>
  <c r="M230" i="1"/>
  <c r="AI228" i="1"/>
  <c r="AG228" i="1"/>
  <c r="AD228" i="1"/>
  <c r="AB228" i="1"/>
  <c r="Z228" i="1"/>
  <c r="X228" i="1"/>
  <c r="W228" i="1"/>
  <c r="T227" i="1"/>
  <c r="R227" i="1"/>
  <c r="Z226" i="1"/>
  <c r="X226" i="1"/>
  <c r="AI226" i="1"/>
  <c r="AG226" i="1"/>
  <c r="AO224" i="1"/>
  <c r="AM224" i="1"/>
  <c r="AL224" i="1"/>
  <c r="AI224" i="1"/>
  <c r="AG224" i="1"/>
  <c r="Z224" i="1"/>
  <c r="X224" i="1"/>
  <c r="W224" i="1"/>
  <c r="Z222" i="1"/>
  <c r="X222" i="1"/>
  <c r="W222" i="1"/>
  <c r="L224" i="1"/>
  <c r="D230" i="1"/>
  <c r="D227" i="1"/>
  <c r="M231" i="1"/>
  <c r="AG219" i="1" l="1"/>
  <c r="AD219" i="1"/>
  <c r="AB219" i="1"/>
  <c r="Z219" i="1"/>
  <c r="X219" i="1"/>
  <c r="B194" i="1" l="1"/>
  <c r="AN216" i="1" l="1"/>
  <c r="AN205" i="1"/>
  <c r="AO212" i="1"/>
  <c r="AN212" i="1"/>
  <c r="O216" i="1"/>
  <c r="N216" i="1"/>
  <c r="N210" i="1"/>
  <c r="N208" i="1"/>
  <c r="N206" i="1"/>
  <c r="N202" i="1"/>
  <c r="N197" i="1"/>
  <c r="N218" i="1"/>
  <c r="N212" i="1"/>
  <c r="N209" i="1"/>
  <c r="N207" i="1"/>
  <c r="N203" i="1"/>
  <c r="N198" i="1"/>
  <c r="AI219" i="1"/>
  <c r="AI204" i="1"/>
  <c r="AI210" i="1"/>
  <c r="AI209" i="1"/>
  <c r="AI208" i="1"/>
  <c r="AH217" i="1"/>
  <c r="AH216" i="1"/>
  <c r="AH212" i="1"/>
  <c r="AH207" i="1"/>
  <c r="AH213" i="1"/>
  <c r="AH208" i="1"/>
  <c r="AH202" i="1"/>
  <c r="AH219" i="1"/>
  <c r="AH215" i="1"/>
  <c r="AH209" i="1"/>
  <c r="AH204" i="1"/>
  <c r="AH210" i="1"/>
  <c r="AH205" i="1"/>
  <c r="E205" i="1"/>
  <c r="H370" i="1"/>
  <c r="H364" i="1"/>
  <c r="H358" i="1"/>
  <c r="H368" i="1"/>
  <c r="H360" i="1"/>
  <c r="AU218" i="1"/>
  <c r="AU216" i="1"/>
  <c r="AU214" i="1"/>
  <c r="AU212" i="1"/>
  <c r="AU210" i="1"/>
  <c r="AU208" i="1"/>
  <c r="AU206" i="1"/>
  <c r="AU204" i="1"/>
  <c r="AU202" i="1"/>
  <c r="AU200" i="1"/>
  <c r="AU198" i="1"/>
  <c r="H354" i="1"/>
  <c r="H352" i="1"/>
  <c r="H348" i="1"/>
  <c r="AB340" i="1"/>
  <c r="H315" i="1"/>
  <c r="H307" i="1"/>
  <c r="H305" i="1"/>
  <c r="H301" i="1"/>
  <c r="AB292" i="1"/>
  <c r="AB288" i="1"/>
  <c r="H287" i="1"/>
  <c r="H285" i="1"/>
  <c r="AB284" i="1"/>
  <c r="H283" i="1"/>
  <c r="H279" i="1"/>
  <c r="H267" i="1"/>
  <c r="H263" i="1"/>
  <c r="Z249" i="1"/>
  <c r="AB239" i="1"/>
  <c r="H236" i="1"/>
  <c r="Z233" i="1"/>
  <c r="H233" i="1"/>
  <c r="H223" i="1"/>
  <c r="H218" i="1"/>
  <c r="S216" i="1"/>
  <c r="E216" i="1"/>
  <c r="S215" i="1"/>
  <c r="E215" i="1"/>
  <c r="S214" i="1"/>
  <c r="E214" i="1"/>
  <c r="Y212" i="1"/>
  <c r="S212" i="1"/>
  <c r="E212" i="1"/>
  <c r="E210" i="1"/>
  <c r="Y209" i="1"/>
  <c r="S209" i="1"/>
  <c r="E209" i="1"/>
  <c r="Y208" i="1"/>
  <c r="S208" i="1"/>
  <c r="E208" i="1"/>
  <c r="Y207" i="1"/>
  <c r="S207" i="1"/>
  <c r="E207" i="1"/>
  <c r="S206" i="1"/>
  <c r="E203" i="1"/>
  <c r="E202" i="1"/>
  <c r="E200" i="1"/>
  <c r="E198" i="1"/>
  <c r="AU217" i="1"/>
  <c r="AU215" i="1"/>
  <c r="AU213" i="1"/>
  <c r="AU211" i="1"/>
  <c r="AU209" i="1"/>
  <c r="AU207" i="1"/>
  <c r="AU205" i="1"/>
  <c r="AU201" i="1"/>
  <c r="AU197" i="1"/>
  <c r="AB362" i="1"/>
  <c r="H356" i="1"/>
  <c r="H338" i="1"/>
  <c r="H332" i="1"/>
  <c r="AB316" i="1"/>
  <c r="AB280" i="1"/>
  <c r="Z266" i="1"/>
  <c r="H265" i="1"/>
  <c r="H249" i="1"/>
  <c r="Z247" i="1"/>
  <c r="H247" i="1"/>
  <c r="Z241" i="1"/>
  <c r="H241" i="1"/>
  <c r="H227" i="1"/>
  <c r="H225" i="1"/>
  <c r="Y219" i="1"/>
  <c r="S218" i="1"/>
  <c r="Y216" i="1"/>
  <c r="H215" i="1"/>
  <c r="Y213" i="1"/>
  <c r="E213" i="1"/>
  <c r="Y210" i="1"/>
  <c r="S210" i="1"/>
  <c r="AB208" i="1"/>
  <c r="E206" i="1"/>
  <c r="AU203" i="1"/>
  <c r="AU199" i="1"/>
  <c r="H303" i="1"/>
  <c r="H291" i="1"/>
  <c r="H289" i="1"/>
  <c r="H271" i="1"/>
  <c r="H259" i="1"/>
  <c r="Z254" i="1"/>
  <c r="Z252" i="1"/>
  <c r="E218" i="1"/>
  <c r="Y217" i="1"/>
  <c r="Y215" i="1"/>
  <c r="H207" i="1"/>
  <c r="Y205" i="1"/>
  <c r="H277" i="1"/>
  <c r="H275" i="1"/>
  <c r="AB272" i="1"/>
  <c r="H269" i="1"/>
  <c r="Z259" i="1"/>
  <c r="H257" i="1"/>
  <c r="H255" i="1"/>
  <c r="H251" i="1"/>
  <c r="H221" i="1"/>
  <c r="Z212" i="1"/>
  <c r="E201" i="1"/>
  <c r="AR217" i="1"/>
  <c r="AR215" i="1"/>
  <c r="AR213" i="1"/>
  <c r="AR211" i="1"/>
  <c r="AR209" i="1"/>
  <c r="AR207" i="1"/>
  <c r="AR205" i="1"/>
  <c r="AR203" i="1"/>
  <c r="AR201" i="1"/>
  <c r="AR199" i="1"/>
  <c r="AR197" i="1"/>
  <c r="AR218" i="1"/>
  <c r="AR216" i="1"/>
  <c r="AR214" i="1"/>
  <c r="AR212" i="1"/>
  <c r="AR210" i="1"/>
  <c r="AR208" i="1"/>
  <c r="AR206" i="1"/>
  <c r="AR204" i="1"/>
  <c r="AR202" i="1"/>
  <c r="AR200" i="1"/>
  <c r="AR198" i="1"/>
  <c r="AG351" i="1"/>
  <c r="AG349" i="1"/>
  <c r="AX205" i="1"/>
  <c r="AX207" i="1"/>
  <c r="AX209" i="1"/>
  <c r="AX211" i="1"/>
  <c r="AX213" i="1"/>
  <c r="AX215" i="1"/>
  <c r="AX217" i="1"/>
  <c r="AX204" i="1"/>
  <c r="AX206" i="1"/>
  <c r="AX208" i="1"/>
  <c r="AX210" i="1"/>
  <c r="AX212" i="1"/>
  <c r="AX214" i="1"/>
  <c r="AX216" i="1"/>
  <c r="AX218" i="1"/>
  <c r="AX199" i="1"/>
  <c r="AX201" i="1"/>
  <c r="AX203" i="1"/>
  <c r="AX198" i="1"/>
  <c r="AX200" i="1"/>
  <c r="AX202" i="1"/>
  <c r="AX197" i="1"/>
  <c r="AS208" i="1"/>
  <c r="AW208" i="1"/>
  <c r="AS209" i="1"/>
  <c r="AW209" i="1"/>
  <c r="AS210" i="1"/>
  <c r="AW210" i="1"/>
  <c r="AS211" i="1"/>
  <c r="AW211" i="1"/>
  <c r="AS212" i="1"/>
  <c r="AW212" i="1"/>
  <c r="AS213" i="1"/>
  <c r="AW213" i="1"/>
  <c r="AS214" i="1"/>
  <c r="AW214" i="1"/>
  <c r="AS215" i="1"/>
  <c r="AW215" i="1"/>
  <c r="AS216" i="1"/>
  <c r="AW216" i="1"/>
  <c r="AS217" i="1"/>
  <c r="AW217" i="1"/>
  <c r="AS218" i="1"/>
  <c r="AW218" i="1"/>
  <c r="AT205" i="1"/>
  <c r="AT207" i="1"/>
  <c r="AS198" i="1"/>
  <c r="AW198" i="1"/>
  <c r="AS199" i="1"/>
  <c r="AW199" i="1"/>
  <c r="AS200" i="1"/>
  <c r="AW200" i="1"/>
  <c r="AS201" i="1"/>
  <c r="AW201" i="1"/>
  <c r="AS203" i="1"/>
  <c r="AW203" i="1"/>
  <c r="AV204" i="1"/>
  <c r="AV206" i="1"/>
  <c r="AW207" i="1"/>
  <c r="AT197" i="1"/>
  <c r="AT208" i="1"/>
  <c r="AV208" i="1"/>
  <c r="AT209" i="1"/>
  <c r="AV209" i="1"/>
  <c r="AT210" i="1"/>
  <c r="AV210" i="1"/>
  <c r="AT211" i="1"/>
  <c r="AV211" i="1"/>
  <c r="AT212" i="1"/>
  <c r="AV212" i="1"/>
  <c r="AT213" i="1"/>
  <c r="AV213" i="1"/>
  <c r="AT214" i="1"/>
  <c r="AV214" i="1"/>
  <c r="AT215" i="1"/>
  <c r="AV215" i="1"/>
  <c r="AT216" i="1"/>
  <c r="AV216" i="1"/>
  <c r="AT217" i="1"/>
  <c r="AV217" i="1"/>
  <c r="AT218" i="1"/>
  <c r="AV218" i="1"/>
  <c r="AT204" i="1"/>
  <c r="AT206" i="1"/>
  <c r="AT198" i="1"/>
  <c r="AV198" i="1"/>
  <c r="AT199" i="1"/>
  <c r="AV199" i="1"/>
  <c r="AT200" i="1"/>
  <c r="AV200" i="1"/>
  <c r="AT201" i="1"/>
  <c r="AV201" i="1"/>
  <c r="AT202" i="1"/>
  <c r="AV202" i="1"/>
  <c r="AT203" i="1"/>
  <c r="AV203" i="1"/>
  <c r="AW204" i="1"/>
  <c r="AS205" i="1"/>
  <c r="AV205" i="1"/>
  <c r="AW206" i="1"/>
  <c r="AS207" i="1"/>
  <c r="AV207" i="1"/>
  <c r="AW197" i="1"/>
  <c r="AS202" i="1"/>
  <c r="AW202" i="1"/>
  <c r="AS204" i="1"/>
  <c r="AW205" i="1"/>
  <c r="AS206" i="1"/>
  <c r="AV197" i="1"/>
  <c r="AS197" i="1"/>
  <c r="E388" i="1" l="1"/>
  <c r="AN322" i="1"/>
  <c r="AN321" i="1"/>
  <c r="AN319" i="1" s="1"/>
  <c r="AN317" i="1"/>
  <c r="AH321" i="1"/>
  <c r="AH319" i="1" s="1"/>
  <c r="AH322" i="1"/>
  <c r="AH317" i="1"/>
  <c r="N322" i="1"/>
  <c r="N317" i="1"/>
  <c r="N321" i="1"/>
  <c r="S321" i="1"/>
  <c r="S322" i="1"/>
  <c r="S317" i="1"/>
  <c r="AA388" i="1"/>
  <c r="AA384" i="1"/>
  <c r="T233" i="1"/>
  <c r="T232" i="1"/>
  <c r="T231" i="1"/>
  <c r="T230" i="1"/>
  <c r="T218" i="1"/>
  <c r="T216" i="1"/>
  <c r="T215" i="1"/>
  <c r="T214" i="1"/>
  <c r="T212" i="1"/>
  <c r="T210" i="1"/>
  <c r="T209" i="1"/>
  <c r="T208" i="1"/>
  <c r="T207" i="1"/>
  <c r="T206" i="1"/>
  <c r="AO232" i="1"/>
  <c r="AO216" i="1"/>
  <c r="AO205" i="1"/>
  <c r="AI233" i="1"/>
  <c r="AI232" i="1"/>
  <c r="AI230" i="1"/>
  <c r="AI217" i="1"/>
  <c r="AI216" i="1"/>
  <c r="AI215" i="1"/>
  <c r="AI213" i="1"/>
  <c r="AI212" i="1"/>
  <c r="AI207" i="1"/>
  <c r="AI205" i="1"/>
  <c r="AI202" i="1"/>
  <c r="Z232" i="1"/>
  <c r="Z230" i="1"/>
  <c r="Z217" i="1"/>
  <c r="Z216" i="1"/>
  <c r="Z215" i="1"/>
  <c r="Z213" i="1"/>
  <c r="Z210" i="1"/>
  <c r="Z208" i="1"/>
  <c r="Z207" i="1"/>
  <c r="Z205" i="1"/>
  <c r="O233" i="1"/>
  <c r="O231" i="1"/>
  <c r="O218" i="1"/>
  <c r="O212" i="1"/>
  <c r="O210" i="1"/>
  <c r="O209" i="1"/>
  <c r="O208" i="1"/>
  <c r="O207" i="1"/>
  <c r="O206" i="1"/>
  <c r="O203" i="1"/>
  <c r="O202" i="1"/>
  <c r="O198" i="1"/>
  <c r="O197" i="1"/>
  <c r="F233" i="1"/>
  <c r="F232" i="1"/>
  <c r="F231" i="1"/>
  <c r="F230" i="1"/>
  <c r="F225" i="1"/>
  <c r="F224" i="1"/>
  <c r="F223" i="1"/>
  <c r="F222" i="1"/>
  <c r="F221" i="1"/>
  <c r="F218" i="1"/>
  <c r="F216" i="1"/>
  <c r="F215" i="1"/>
  <c r="F214" i="1"/>
  <c r="F213" i="1"/>
  <c r="F212" i="1"/>
  <c r="F210" i="1"/>
  <c r="F209" i="1"/>
  <c r="F208" i="1"/>
  <c r="F207" i="1"/>
  <c r="F206" i="1"/>
  <c r="F203" i="1"/>
  <c r="F202" i="1"/>
  <c r="F201" i="1"/>
  <c r="F200" i="1"/>
  <c r="F198" i="1"/>
  <c r="AN320" i="1" l="1"/>
  <c r="AH320" i="1"/>
  <c r="T317" i="1"/>
  <c r="T321" i="1"/>
  <c r="T319" i="1" s="1"/>
  <c r="T322" i="1"/>
  <c r="O321" i="1"/>
  <c r="N320" i="1"/>
  <c r="N319" i="1"/>
  <c r="AI322" i="1"/>
  <c r="AI321" i="1"/>
  <c r="AI319" i="1" s="1"/>
  <c r="AI317" i="1"/>
  <c r="O319" i="1"/>
  <c r="O317" i="1"/>
  <c r="O322" i="1"/>
  <c r="O320" i="1" s="1"/>
  <c r="AO317" i="1"/>
  <c r="AO321" i="1"/>
  <c r="AO319" i="1" s="1"/>
  <c r="AO322" i="1"/>
  <c r="S320" i="1"/>
  <c r="S319" i="1"/>
  <c r="AA389" i="1"/>
  <c r="AA387" i="1" s="1"/>
  <c r="G384" i="1"/>
  <c r="AA386" i="1"/>
  <c r="G386" i="1"/>
  <c r="G389" i="1"/>
  <c r="T320" i="1" l="1"/>
  <c r="N389" i="1"/>
  <c r="N384" i="1"/>
  <c r="N388" i="1"/>
  <c r="N386" i="1" s="1"/>
  <c r="O384" i="1"/>
  <c r="O388" i="1"/>
  <c r="O386" i="1" s="1"/>
  <c r="O389" i="1"/>
  <c r="AI320" i="1"/>
  <c r="AO320" i="1"/>
  <c r="G387" i="1"/>
  <c r="O387" i="1" l="1"/>
  <c r="N387" i="1"/>
  <c r="H210" i="1"/>
  <c r="J210" i="1" s="1"/>
  <c r="AH389" i="1"/>
  <c r="D232" i="1"/>
  <c r="D231" i="1"/>
  <c r="D225" i="1"/>
  <c r="D224" i="1"/>
  <c r="D223" i="1"/>
  <c r="D222" i="1"/>
  <c r="D221" i="1"/>
  <c r="D218" i="1"/>
  <c r="D216" i="1"/>
  <c r="D215" i="1"/>
  <c r="D214" i="1"/>
  <c r="D213" i="1"/>
  <c r="D212" i="1"/>
  <c r="D210" i="1"/>
  <c r="D209" i="1"/>
  <c r="D208" i="1"/>
  <c r="D207" i="1"/>
  <c r="D206" i="1"/>
  <c r="D203" i="1"/>
  <c r="D202" i="1"/>
  <c r="D201" i="1"/>
  <c r="D200" i="1"/>
  <c r="D388" i="1" s="1"/>
  <c r="D198" i="1"/>
  <c r="H231" i="1"/>
  <c r="J231" i="1" s="1"/>
  <c r="H209" i="1"/>
  <c r="I386" i="1"/>
  <c r="J340" i="1"/>
  <c r="J336" i="1"/>
  <c r="J334" i="1"/>
  <c r="J313" i="1"/>
  <c r="J311" i="1"/>
  <c r="J309" i="1"/>
  <c r="L231" i="1"/>
  <c r="L216" i="1"/>
  <c r="L208" i="1"/>
  <c r="L206" i="1"/>
  <c r="M233" i="1"/>
  <c r="M218" i="1"/>
  <c r="M212" i="1"/>
  <c r="M210" i="1"/>
  <c r="M209" i="1"/>
  <c r="M318" i="1" s="1"/>
  <c r="M208" i="1"/>
  <c r="M207" i="1"/>
  <c r="M206" i="1"/>
  <c r="M202" i="1"/>
  <c r="M198" i="1"/>
  <c r="M197" i="1"/>
  <c r="Q216" i="1"/>
  <c r="Q210" i="1"/>
  <c r="Q208" i="1"/>
  <c r="R233" i="1"/>
  <c r="R232" i="1"/>
  <c r="R231" i="1"/>
  <c r="R230" i="1"/>
  <c r="R218" i="1"/>
  <c r="R216" i="1"/>
  <c r="R215" i="1"/>
  <c r="R214" i="1"/>
  <c r="R212" i="1"/>
  <c r="R210" i="1"/>
  <c r="R209" i="1"/>
  <c r="R208" i="1"/>
  <c r="R207" i="1"/>
  <c r="R206" i="1"/>
  <c r="W230" i="1"/>
  <c r="W216" i="1"/>
  <c r="W215" i="1"/>
  <c r="X233" i="1"/>
  <c r="X232" i="1"/>
  <c r="X230" i="1"/>
  <c r="X217" i="1"/>
  <c r="X216" i="1"/>
  <c r="X215" i="1"/>
  <c r="X213" i="1"/>
  <c r="X212" i="1"/>
  <c r="X210" i="1"/>
  <c r="X209" i="1"/>
  <c r="X208" i="1"/>
  <c r="X207" i="1"/>
  <c r="X205" i="1"/>
  <c r="AB213" i="1"/>
  <c r="AC388" i="1"/>
  <c r="AC386" i="1" s="1"/>
  <c r="AD213" i="1"/>
  <c r="AD208" i="1"/>
  <c r="AD346" i="1"/>
  <c r="AD336" i="1"/>
  <c r="AD335" i="1"/>
  <c r="AF232" i="1"/>
  <c r="AF213" i="1"/>
  <c r="AG233" i="1"/>
  <c r="AG232" i="1"/>
  <c r="AG230" i="1"/>
  <c r="AG217" i="1"/>
  <c r="AG216" i="1"/>
  <c r="AG215" i="1"/>
  <c r="AG213" i="1"/>
  <c r="AG212" i="1"/>
  <c r="AG210" i="1"/>
  <c r="AG209" i="1"/>
  <c r="AG318" i="1" s="1"/>
  <c r="AG208" i="1"/>
  <c r="AG207" i="1"/>
  <c r="AG205" i="1"/>
  <c r="AG204" i="1"/>
  <c r="AG202" i="1"/>
  <c r="AL216" i="1"/>
  <c r="AL205" i="1"/>
  <c r="AM232" i="1"/>
  <c r="AM216" i="1"/>
  <c r="AM212" i="1"/>
  <c r="AM205" i="1"/>
  <c r="I389" i="1"/>
  <c r="AC389" i="1"/>
  <c r="I384" i="1"/>
  <c r="AC384" i="1"/>
  <c r="C231" i="1"/>
  <c r="C216" i="1"/>
  <c r="C210" i="1"/>
  <c r="C202" i="1"/>
  <c r="C201" i="1"/>
  <c r="C198" i="1"/>
  <c r="H443" i="1"/>
  <c r="F443" i="1"/>
  <c r="H441" i="1"/>
  <c r="F441" i="1"/>
  <c r="Z472" i="1"/>
  <c r="Z471" i="1"/>
  <c r="E448" i="1"/>
  <c r="E449" i="1"/>
  <c r="E447" i="1"/>
  <c r="E445" i="1"/>
  <c r="E444" i="1"/>
  <c r="E443" i="1"/>
  <c r="E442" i="1"/>
  <c r="N446" i="1"/>
  <c r="N441" i="1"/>
  <c r="D449" i="1"/>
  <c r="D448" i="1"/>
  <c r="D447" i="1"/>
  <c r="D445" i="1"/>
  <c r="D444" i="1"/>
  <c r="D443" i="1"/>
  <c r="D442" i="1"/>
  <c r="C445" i="1"/>
  <c r="J446" i="1"/>
  <c r="J441" i="1"/>
  <c r="I441" i="1"/>
  <c r="F388" i="1" l="1"/>
  <c r="C388" i="1"/>
  <c r="C386" i="1" s="1"/>
  <c r="J209" i="1"/>
  <c r="J388" i="1" s="1"/>
  <c r="J386" i="1" s="1"/>
  <c r="H388" i="1"/>
  <c r="L321" i="1"/>
  <c r="L319" i="1" s="1"/>
  <c r="R321" i="1"/>
  <c r="Q321" i="1"/>
  <c r="AM317" i="1"/>
  <c r="AM321" i="1"/>
  <c r="AM322" i="1"/>
  <c r="AL321" i="1"/>
  <c r="AL319" i="1" s="1"/>
  <c r="AL322" i="1"/>
  <c r="AL317" i="1"/>
  <c r="AG317" i="1"/>
  <c r="AG321" i="1"/>
  <c r="AG322" i="1"/>
  <c r="L317" i="1"/>
  <c r="L322" i="1"/>
  <c r="AF321" i="1"/>
  <c r="AF322" i="1"/>
  <c r="AF317" i="1"/>
  <c r="R322" i="1"/>
  <c r="R317" i="1"/>
  <c r="R319" i="1"/>
  <c r="Q317" i="1"/>
  <c r="Q322" i="1"/>
  <c r="M224" i="1"/>
  <c r="M227" i="1"/>
  <c r="M216" i="1"/>
  <c r="AB388" i="1"/>
  <c r="AB386" i="1" s="1"/>
  <c r="W474" i="1"/>
  <c r="AP388" i="1"/>
  <c r="AP386" i="1" s="1"/>
  <c r="AB389" i="1"/>
  <c r="AD384" i="1"/>
  <c r="D389" i="1"/>
  <c r="I387" i="1"/>
  <c r="W384" i="1"/>
  <c r="D384" i="1"/>
  <c r="W389" i="1"/>
  <c r="AD389" i="1"/>
  <c r="X388" i="1"/>
  <c r="X386" i="1" s="1"/>
  <c r="Y473" i="1"/>
  <c r="Y470" i="1"/>
  <c r="W470" i="1"/>
  <c r="W472" i="1"/>
  <c r="AH384" i="1"/>
  <c r="AN389" i="1"/>
  <c r="AP389" i="1"/>
  <c r="Y475" i="1"/>
  <c r="AN388" i="1"/>
  <c r="AN386" i="1" s="1"/>
  <c r="AP384" i="1"/>
  <c r="W473" i="1"/>
  <c r="X472" i="1"/>
  <c r="X384" i="1"/>
  <c r="X475" i="1"/>
  <c r="X474" i="1"/>
  <c r="AD388" i="1"/>
  <c r="AD386" i="1" s="1"/>
  <c r="AB384" i="1"/>
  <c r="Z384" i="1"/>
  <c r="F389" i="1"/>
  <c r="E389" i="1"/>
  <c r="Y384" i="1"/>
  <c r="T389" i="1"/>
  <c r="AO384" i="1"/>
  <c r="Z388" i="1"/>
  <c r="Z386" i="1" s="1"/>
  <c r="AJ384" i="1"/>
  <c r="Q384" i="1"/>
  <c r="Y474" i="1"/>
  <c r="Y472" i="1"/>
  <c r="AO388" i="1"/>
  <c r="AO386" i="1" s="1"/>
  <c r="AH388" i="1"/>
  <c r="AH386" i="1" s="1"/>
  <c r="T388" i="1"/>
  <c r="T386" i="1" s="1"/>
  <c r="X470" i="1"/>
  <c r="F384" i="1"/>
  <c r="Y389" i="1"/>
  <c r="Y388" i="1"/>
  <c r="H386" i="1"/>
  <c r="Y471" i="1"/>
  <c r="E386" i="1"/>
  <c r="X471" i="1"/>
  <c r="AO389" i="1"/>
  <c r="AN384" i="1"/>
  <c r="T384" i="1"/>
  <c r="F386" i="1"/>
  <c r="X473" i="1"/>
  <c r="W475" i="1"/>
  <c r="H384" i="1"/>
  <c r="E384" i="1"/>
  <c r="H389" i="1"/>
  <c r="Z389" i="1"/>
  <c r="X389" i="1"/>
  <c r="W388" i="1"/>
  <c r="D386" i="1"/>
  <c r="AC387" i="1"/>
  <c r="J389" i="1"/>
  <c r="J384" i="1"/>
  <c r="C384" i="1" l="1"/>
  <c r="C389" i="1"/>
  <c r="C387" i="1" s="1"/>
  <c r="W471" i="1"/>
  <c r="AA471" i="1" s="1"/>
  <c r="AG320" i="1"/>
  <c r="M321" i="1"/>
  <c r="AG319" i="1"/>
  <c r="M317" i="1"/>
  <c r="R320" i="1"/>
  <c r="M319" i="1"/>
  <c r="Q320" i="1"/>
  <c r="Q319" i="1"/>
  <c r="L320" i="1"/>
  <c r="AM320" i="1"/>
  <c r="AM319" i="1"/>
  <c r="M322" i="1"/>
  <c r="M320" i="1" s="1"/>
  <c r="AF320" i="1"/>
  <c r="AF319" i="1"/>
  <c r="AL320" i="1"/>
  <c r="AF384" i="1"/>
  <c r="AG384" i="1"/>
  <c r="AI384" i="1"/>
  <c r="U384" i="1"/>
  <c r="S384" i="1"/>
  <c r="R384" i="1"/>
  <c r="AA475" i="1"/>
  <c r="AB387" i="1"/>
  <c r="R389" i="1"/>
  <c r="U388" i="1"/>
  <c r="Q388" i="1"/>
  <c r="Q386" i="1" s="1"/>
  <c r="Z387" i="1"/>
  <c r="AN387" i="1"/>
  <c r="AA473" i="1"/>
  <c r="AA470" i="1"/>
  <c r="AA474" i="1"/>
  <c r="AA472" i="1"/>
  <c r="AP387" i="1"/>
  <c r="W387" i="1"/>
  <c r="AI388" i="1"/>
  <c r="W386" i="1"/>
  <c r="X387" i="1"/>
  <c r="AG389" i="1"/>
  <c r="S389" i="1"/>
  <c r="AD387" i="1"/>
  <c r="AF389" i="1"/>
  <c r="F387" i="1"/>
  <c r="D387" i="1"/>
  <c r="Y386" i="1"/>
  <c r="Y387" i="1"/>
  <c r="E387" i="1"/>
  <c r="AH387" i="1"/>
  <c r="H387" i="1"/>
  <c r="T387" i="1"/>
  <c r="AO387" i="1"/>
  <c r="J387" i="1"/>
  <c r="L384" i="1" l="1"/>
  <c r="L389" i="1"/>
  <c r="L388" i="1"/>
  <c r="L386" i="1" s="1"/>
  <c r="M388" i="1"/>
  <c r="M386" i="1" s="1"/>
  <c r="M389" i="1"/>
  <c r="M384" i="1"/>
  <c r="AI386" i="1"/>
  <c r="U386" i="1"/>
  <c r="U389" i="1"/>
  <c r="U387" i="1" s="1"/>
  <c r="AI389" i="1"/>
  <c r="AI387" i="1" s="1"/>
  <c r="AF388" i="1"/>
  <c r="AG388" i="1"/>
  <c r="AJ388" i="1"/>
  <c r="AJ389" i="1"/>
  <c r="S388" i="1"/>
  <c r="S386" i="1" s="1"/>
  <c r="R388" i="1"/>
  <c r="Q389" i="1"/>
  <c r="Q387" i="1" s="1"/>
  <c r="AL384" i="1"/>
  <c r="AL388" i="1"/>
  <c r="AL386" i="1" s="1"/>
  <c r="AL389" i="1"/>
  <c r="M387" i="1" l="1"/>
  <c r="L387" i="1"/>
  <c r="AG386" i="1"/>
  <c r="AG387" i="1"/>
  <c r="AJ386" i="1"/>
  <c r="AJ387" i="1"/>
  <c r="AF386" i="1"/>
  <c r="AF387" i="1"/>
  <c r="R386" i="1"/>
  <c r="R387" i="1"/>
  <c r="S387" i="1"/>
  <c r="AL387" i="1"/>
</calcChain>
</file>

<file path=xl/sharedStrings.xml><?xml version="1.0" encoding="utf-8"?>
<sst xmlns="http://schemas.openxmlformats.org/spreadsheetml/2006/main" count="660" uniqueCount="274">
  <si>
    <t>　あらめ</t>
  </si>
  <si>
    <t>宮城県</t>
  </si>
  <si>
    <t>採取場所</t>
  </si>
  <si>
    <t>キセノ崎</t>
  </si>
  <si>
    <t>核種名</t>
  </si>
  <si>
    <t>Be-7</t>
  </si>
  <si>
    <t>K-40</t>
  </si>
  <si>
    <t>Cs-137</t>
  </si>
  <si>
    <t>平均値(あらめ)</t>
  </si>
  <si>
    <t>最大値・最小値は表の下部</t>
  </si>
  <si>
    <t>Cs/137</t>
  </si>
  <si>
    <t>採取年月日</t>
  </si>
  <si>
    <t>Bq/kg生</t>
  </si>
  <si>
    <t>mBq/kg生</t>
  </si>
  <si>
    <t>Ca濃度</t>
  </si>
  <si>
    <t>K/Be</t>
  </si>
  <si>
    <t>pCi/kg生</t>
  </si>
  <si>
    <t>小屋取(山王島)</t>
  </si>
  <si>
    <t>-</t>
  </si>
  <si>
    <t>シウリ崎(県)</t>
  </si>
  <si>
    <t>シウリ崎(電力)</t>
  </si>
  <si>
    <t>東防波堤(県)</t>
  </si>
  <si>
    <t>東防波堤(電力)</t>
  </si>
  <si>
    <t>鮎川</t>
  </si>
  <si>
    <t>注) -は最小数値の1/2として平均した</t>
  </si>
  <si>
    <t>東北電力</t>
  </si>
  <si>
    <t>東防波堤</t>
  </si>
  <si>
    <t>山王島(小屋取)</t>
  </si>
  <si>
    <t>Sr-90</t>
  </si>
  <si>
    <t>Sr単位</t>
  </si>
  <si>
    <t>g/kg生</t>
  </si>
  <si>
    <t>最大値</t>
  </si>
  <si>
    <t>平均</t>
  </si>
  <si>
    <t>Sr単位?</t>
    <phoneticPr fontId="1"/>
  </si>
  <si>
    <t>I-131</t>
    <phoneticPr fontId="1"/>
  </si>
  <si>
    <t>I-131は迅速法､外は灰化法で前処理した検体</t>
    <rPh sb="6" eb="8">
      <t>ジンソク</t>
    </rPh>
    <rPh sb="8" eb="9">
      <t>ホウ</t>
    </rPh>
    <rPh sb="10" eb="11">
      <t>ホカ</t>
    </rPh>
    <rPh sb="12" eb="13">
      <t>ハイ</t>
    </rPh>
    <rPh sb="13" eb="14">
      <t>カ</t>
    </rPh>
    <rPh sb="14" eb="15">
      <t>ホウ</t>
    </rPh>
    <rPh sb="16" eb="19">
      <t>マエショリ</t>
    </rPh>
    <rPh sb="21" eb="23">
      <t>ケンタイ</t>
    </rPh>
    <phoneticPr fontId="1"/>
  </si>
  <si>
    <t>pCi/gCa</t>
    <phoneticPr fontId="1"/>
  </si>
  <si>
    <t>Sr単位</t>
    <phoneticPr fontId="1"/>
  </si>
  <si>
    <t>藤丸中崎</t>
    <phoneticPr fontId="1"/>
  </si>
  <si>
    <t>mBq/kg生</t>
    <phoneticPr fontId="1"/>
  </si>
  <si>
    <t>錯誤データ？？</t>
    <rPh sb="0" eb="2">
      <t>サクゴ</t>
    </rPh>
    <phoneticPr fontId="1"/>
  </si>
  <si>
    <t>藤丸中崎</t>
    <phoneticPr fontId="1"/>
  </si>
  <si>
    <t>旧単位(pCi/kg生)の元データ表</t>
    <rPh sb="0" eb="1">
      <t>キュウ</t>
    </rPh>
    <rPh sb="1" eb="3">
      <t>タンイ</t>
    </rPh>
    <rPh sb="13" eb="14">
      <t>モト</t>
    </rPh>
    <rPh sb="17" eb="18">
      <t>ヒョウ</t>
    </rPh>
    <phoneticPr fontId="1"/>
  </si>
  <si>
    <t>あらめ</t>
    <phoneticPr fontId="1"/>
  </si>
  <si>
    <t>H18.5.16/灰試料に含まれるI-131はND</t>
    <rPh sb="9" eb="10">
      <t>ハイ</t>
    </rPh>
    <rPh sb="10" eb="12">
      <t>シリョウ</t>
    </rPh>
    <rPh sb="13" eb="14">
      <t>フク</t>
    </rPh>
    <phoneticPr fontId="1"/>
  </si>
  <si>
    <t>H20.5.7/灰試料に含まれるI-131(灰化法)はND</t>
    <rPh sb="8" eb="9">
      <t>ハイ</t>
    </rPh>
    <rPh sb="9" eb="11">
      <t>シリョウ</t>
    </rPh>
    <rPh sb="12" eb="13">
      <t>フク</t>
    </rPh>
    <rPh sb="22" eb="24">
      <t>ハイカ</t>
    </rPh>
    <rPh sb="24" eb="25">
      <t>ホウ</t>
    </rPh>
    <phoneticPr fontId="1"/>
  </si>
  <si>
    <t>H20./Sr-90は放水口付近の検体</t>
    <rPh sb="11" eb="13">
      <t>ホウスイ</t>
    </rPh>
    <rPh sb="13" eb="14">
      <t>コウ</t>
    </rPh>
    <rPh sb="14" eb="16">
      <t>フキン</t>
    </rPh>
    <rPh sb="17" eb="19">
      <t>ケンタイ</t>
    </rPh>
    <phoneticPr fontId="1"/>
  </si>
  <si>
    <t>H21./Sr-90は放水口付近と前面海域の検体</t>
    <rPh sb="11" eb="13">
      <t>ホウスイ</t>
    </rPh>
    <rPh sb="13" eb="14">
      <t>コウ</t>
    </rPh>
    <rPh sb="14" eb="16">
      <t>フキン</t>
    </rPh>
    <rPh sb="17" eb="19">
      <t>ゼンメン</t>
    </rPh>
    <rPh sb="19" eb="21">
      <t>カイイキ</t>
    </rPh>
    <rPh sb="22" eb="24">
      <t>ケンタイ</t>
    </rPh>
    <phoneticPr fontId="1"/>
  </si>
  <si>
    <t>Ag-110m</t>
    <phoneticPr fontId="1"/>
  </si>
  <si>
    <t>上記以外の検出核種(灰化法 Bq/kg生)</t>
    <rPh sb="0" eb="2">
      <t>ジョウキ</t>
    </rPh>
    <rPh sb="2" eb="4">
      <t>イガイ</t>
    </rPh>
    <rPh sb="5" eb="7">
      <t>ケンシュツ</t>
    </rPh>
    <rPh sb="7" eb="9">
      <t>カクシュ</t>
    </rPh>
    <rPh sb="10" eb="12">
      <t>カイカ</t>
    </rPh>
    <rPh sb="12" eb="13">
      <t>ホウ</t>
    </rPh>
    <rPh sb="19" eb="20">
      <t>ナマ</t>
    </rPh>
    <phoneticPr fontId="1"/>
  </si>
  <si>
    <t>上記以外の検出核種(迅速法 Bq/kg生)</t>
    <rPh sb="0" eb="2">
      <t>ジョウキ</t>
    </rPh>
    <rPh sb="2" eb="4">
      <t>イガイ</t>
    </rPh>
    <rPh sb="5" eb="7">
      <t>ケンシュツ</t>
    </rPh>
    <rPh sb="7" eb="9">
      <t>カクシュ</t>
    </rPh>
    <rPh sb="10" eb="12">
      <t>ジンソク</t>
    </rPh>
    <rPh sb="12" eb="13">
      <t>ホウ</t>
    </rPh>
    <rPh sb="19" eb="20">
      <t>ナマ</t>
    </rPh>
    <phoneticPr fontId="1"/>
  </si>
  <si>
    <t>放水口</t>
    <rPh sb="0" eb="2">
      <t>ホウスイ</t>
    </rPh>
    <rPh sb="2" eb="3">
      <t>コウ</t>
    </rPh>
    <phoneticPr fontId="1"/>
  </si>
  <si>
    <t>前面海域(電力)</t>
    <rPh sb="0" eb="2">
      <t>ゼンメン</t>
    </rPh>
    <rPh sb="2" eb="4">
      <t>カイイキ</t>
    </rPh>
    <rPh sb="5" eb="7">
      <t>デンリョク</t>
    </rPh>
    <phoneticPr fontId="1"/>
  </si>
  <si>
    <t>周辺海域(電力)</t>
    <rPh sb="0" eb="2">
      <t>シュウヘン</t>
    </rPh>
    <rPh sb="2" eb="4">
      <t>カイイキ</t>
    </rPh>
    <rPh sb="5" eb="7">
      <t>デンリョク</t>
    </rPh>
    <phoneticPr fontId="1"/>
  </si>
  <si>
    <t>対照海域(電力)</t>
    <rPh sb="0" eb="2">
      <t>タイショウ</t>
    </rPh>
    <rPh sb="2" eb="4">
      <t>カイイキ</t>
    </rPh>
    <rPh sb="5" eb="7">
      <t>デンリョク</t>
    </rPh>
    <phoneticPr fontId="1"/>
  </si>
  <si>
    <t>周辺海域(10km圏内)</t>
    <rPh sb="0" eb="2">
      <t>シュウヘン</t>
    </rPh>
    <rPh sb="2" eb="4">
      <t>カイイキ</t>
    </rPh>
    <rPh sb="9" eb="11">
      <t>ケンナイ</t>
    </rPh>
    <phoneticPr fontId="1"/>
  </si>
  <si>
    <t>牡鹿半島西側(対照海域10km圏外)</t>
    <rPh sb="0" eb="2">
      <t>オシカ</t>
    </rPh>
    <rPh sb="2" eb="4">
      <t>ハントウ</t>
    </rPh>
    <rPh sb="4" eb="6">
      <t>ニシガワ</t>
    </rPh>
    <rPh sb="15" eb="17">
      <t>ケンガイ</t>
    </rPh>
    <phoneticPr fontId="1"/>
  </si>
  <si>
    <t>牡鹿半島南側(対照海域10km圏外)</t>
    <rPh sb="0" eb="2">
      <t>オシカ</t>
    </rPh>
    <rPh sb="2" eb="4">
      <t>ハントウ</t>
    </rPh>
    <rPh sb="4" eb="6">
      <t>ミナミガワ</t>
    </rPh>
    <phoneticPr fontId="1"/>
  </si>
  <si>
    <t>牡鹿半島北側(対照海域10km圏外)</t>
    <rPh sb="0" eb="2">
      <t>オシカ</t>
    </rPh>
    <rPh sb="2" eb="4">
      <t>ハントウ</t>
    </rPh>
    <rPh sb="4" eb="6">
      <t>キタガワ</t>
    </rPh>
    <rPh sb="7" eb="9">
      <t>タイショウ</t>
    </rPh>
    <rPh sb="9" eb="11">
      <t>カイイキ</t>
    </rPh>
    <phoneticPr fontId="1"/>
  </si>
  <si>
    <t>真の最小値</t>
    <rPh sb="0" eb="1">
      <t>シン</t>
    </rPh>
    <phoneticPr fontId="1"/>
  </si>
  <si>
    <t>個数</t>
    <rPh sb="0" eb="2">
      <t>コスウ</t>
    </rPh>
    <phoneticPr fontId="1"/>
  </si>
  <si>
    <t>放水口付近</t>
  </si>
  <si>
    <t>迅速法におけるその他検出核種Cs-137:(0.11)</t>
  </si>
  <si>
    <t>牡鹿半島北側</t>
  </si>
  <si>
    <t>対照海域迅速法におけるその他検出核種Cs-137:(0.13)</t>
  </si>
  <si>
    <t>対照海域</t>
  </si>
  <si>
    <t>牡鹿半島西側</t>
  </si>
  <si>
    <t>対照海域迅速法におけるその他検出核種Cs-134:0.20土0.04Cs-137:0.35土0.04</t>
  </si>
  <si>
    <t>前面海域</t>
  </si>
  <si>
    <t>迅速法におけるその他接出核種Cs-134:0.086土0.019Cs-137:0.17土0.02</t>
  </si>
  <si>
    <t>迅速法におけるその他検出核種Cs-137:0.12±0.03</t>
  </si>
  <si>
    <t>周辺海域</t>
  </si>
  <si>
    <t>周辺洵域</t>
  </si>
  <si>
    <t>牡鹿半島南側</t>
  </si>
  <si>
    <t>対照海域迅速法におけるその他検出核種Cs-134ニ0.81士0.03Cs-137:1.51土0.04</t>
  </si>
  <si>
    <t>対照海域迅速法におけるその他検出核種Cs-134:(0.082)Cs-137:0.17士0.03</t>
  </si>
  <si>
    <t>対照海域迅速法におけるその他検出核種Cs-137:(0.10)</t>
  </si>
  <si>
    <t>対照海域迅速法におけるその他検出核種Cs-134:(0.090)Cs-137:0.21土0.03</t>
  </si>
  <si>
    <t>対照海域迅速法におけるその他検出核種Cs-137:(0.097)</t>
  </si>
  <si>
    <t>迅速法におけるその他検出核種Cs-137:0.21±0.04</t>
  </si>
  <si>
    <t>対照海域迅速法におけるその他禎出核種Cs-137:0.13士0.04</t>
  </si>
  <si>
    <t>迅速法におけるその他検出核種Cs-137:0.099土0.026</t>
  </si>
  <si>
    <t>迅速法におけるその他検出核種Cs-134:(0.089)Cs-137:0.14土0.03</t>
  </si>
  <si>
    <t>Cs-134</t>
  </si>
  <si>
    <t>迅速法におけるその他検出核種Cs-134:0.30土0.05Cs-137:0.40土0.05</t>
  </si>
  <si>
    <t>対照海域迅速法におけるその他検出核種Cs-134:0.16土0.04Cs-137:0.22±0.04</t>
  </si>
  <si>
    <t>対照海域灰化法におけるその他検出核種Ag-110m:0.15土0.03迅速法におけるその他検出核種Cs-134:0.66±0.05Cs-137:1.05士0.05</t>
  </si>
  <si>
    <t>対照海域迅速法におけるその他検出核種Cs-134:0.11士0.04Cs-137:0.33土0.04</t>
  </si>
  <si>
    <t>迅速法におけるその他検出核種Cs-134:0.14土0.02Cs-137:0.18±0.03</t>
  </si>
  <si>
    <t>対照海域迅速法におけるその他検出核種Cs-134:0.18土0.02Cs-137:0.37士0.03</t>
  </si>
  <si>
    <t>迅速法におけるその他検出核種Cs-134:(0.12)Cs-137:0.22士0.04</t>
    <phoneticPr fontId="1"/>
  </si>
  <si>
    <t>迅速法におけるその他検出核種Cs-134:(0.11)Cs-137:0.19土0.04</t>
    <phoneticPr fontId="1"/>
  </si>
  <si>
    <t>迅速法におけるその他検出核種Cs-137:0.12士0.04</t>
    <phoneticPr fontId="1"/>
  </si>
  <si>
    <t>対照海域迅速法におけるその他検出核種Cs-137:(0.11)</t>
    <phoneticPr fontId="1"/>
  </si>
  <si>
    <t>対照海域迅速法におけるその他検出核種Cs-137:0.10士0.03</t>
    <phoneticPr fontId="1"/>
  </si>
  <si>
    <t>対照海域迅速法におけるその他検出核種Cs-134:0.16±0.04Cs-137:0.26士0.04</t>
    <phoneticPr fontId="1"/>
  </si>
  <si>
    <t>対照海域迅速法におけるその他検出核種Cs-134:(0.11)Cs-137:0.41士0.04</t>
    <phoneticPr fontId="1"/>
  </si>
  <si>
    <t>対照海域迅速法におけるその他検出核種Cs-137:0.23士0.04</t>
    <phoneticPr fontId="1"/>
  </si>
  <si>
    <t>迅速法におけるその他検出核種Cs-134:(0.084)Cs-137:0.14士0.03</t>
    <phoneticPr fontId="1"/>
  </si>
  <si>
    <t>迅速法におけるその他検出核種Cs-137:(0.096)</t>
    <phoneticPr fontId="1"/>
  </si>
  <si>
    <t>迅速法におけるその他検出核種Cs-137:(0.11)</t>
    <phoneticPr fontId="1"/>
  </si>
  <si>
    <t>対照海域灰化法におけるその他検出核種Ag-110m:0.38士0.04迅速法におけるその他検出核種Cs-134:0.59士0.05Cs-137:0.90士0.05</t>
    <phoneticPr fontId="1"/>
  </si>
  <si>
    <t>対照海域灰化法におけるその他検出植種Ag-110m:0.15土0.04迅速法におけるその他検出核種Cs-134:0.31土0.04Cs-137:0.70士0.04</t>
    <phoneticPr fontId="1"/>
  </si>
  <si>
    <t>＊海象事象により採取できなかったため欠測</t>
    <rPh sb="1" eb="3">
      <t>カイショウ</t>
    </rPh>
    <rPh sb="3" eb="5">
      <t>ジショウ</t>
    </rPh>
    <rPh sb="8" eb="10">
      <t>サイシュ</t>
    </rPh>
    <rPh sb="18" eb="20">
      <t>ケッソク</t>
    </rPh>
    <phoneticPr fontId="1"/>
  </si>
  <si>
    <t>迅速法におけるその他検出核種Cs-137:(0.095)</t>
    <rPh sb="10" eb="12">
      <t>ケンシュツ</t>
    </rPh>
    <phoneticPr fontId="1"/>
  </si>
  <si>
    <t>対照海域灰化法におけるその他検出核種Ag-110m:0.11±0.03迅速法におけるその他検出核種Cs-134:0.20士0.02Cs-137:0.38±0.03</t>
    <phoneticPr fontId="1"/>
  </si>
  <si>
    <t>対照洵域迅速法におけるその旭検出核種Cs-134:(0.078)Cs-137:0.19士0.03</t>
    <phoneticPr fontId="1"/>
  </si>
  <si>
    <t>放水口(県)H23.11.14は日本分析センター測定</t>
    <rPh sb="4" eb="5">
      <t>ケン</t>
    </rPh>
    <phoneticPr fontId="1"/>
  </si>
  <si>
    <t>放水口(シウリ崎/県)</t>
    <rPh sb="0" eb="2">
      <t>ホウスイ</t>
    </rPh>
    <rPh sb="2" eb="3">
      <t>コウ</t>
    </rPh>
    <rPh sb="9" eb="10">
      <t>ケン</t>
    </rPh>
    <phoneticPr fontId="1"/>
  </si>
  <si>
    <t>環境放射線監視センター</t>
    <rPh sb="0" eb="2">
      <t>カンキョウ</t>
    </rPh>
    <rPh sb="2" eb="5">
      <t>ホウシャセン</t>
    </rPh>
    <rPh sb="5" eb="7">
      <t>カンシ</t>
    </rPh>
    <phoneticPr fontId="1"/>
  </si>
  <si>
    <t>原子力安全対策課</t>
    <rPh sb="0" eb="3">
      <t>ゲンシリョク</t>
    </rPh>
    <rPh sb="3" eb="5">
      <t>アンゼン</t>
    </rPh>
    <rPh sb="5" eb="7">
      <t>タイサク</t>
    </rPh>
    <rPh sb="7" eb="8">
      <t>カ</t>
    </rPh>
    <phoneticPr fontId="1"/>
  </si>
  <si>
    <t>放射能情報サイトみやぎ</t>
    <rPh sb="0" eb="3">
      <t>ホウシャノウ</t>
    </rPh>
    <rPh sb="3" eb="5">
      <t>ジョウホウ</t>
    </rPh>
    <phoneticPr fontId="1"/>
  </si>
  <si>
    <t>Te-129</t>
  </si>
  <si>
    <t>Te-129m</t>
  </si>
  <si>
    <t>出典：女川原子力発電所環境放射能及び温排水調査結果(四半期報)､同年報(各年度5号)</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9">
      <t>シハンキ</t>
    </rPh>
    <rPh sb="29" eb="30">
      <t>ホウ</t>
    </rPh>
    <rPh sb="32" eb="33">
      <t>ドウ</t>
    </rPh>
    <rPh sb="33" eb="35">
      <t>ネンポウ</t>
    </rPh>
    <rPh sb="36" eb="39">
      <t>カクネンド</t>
    </rPh>
    <rPh sb="40" eb="41">
      <t>ゴウ</t>
    </rPh>
    <phoneticPr fontId="4"/>
  </si>
  <si>
    <t>kmdみやぎ</t>
    <phoneticPr fontId="11"/>
  </si>
  <si>
    <t>迅速法におけるその他検出核種Cs-134:(0.082)Cs-137:0.22±0.03</t>
  </si>
  <si>
    <t>迅速法におけるその他検出核種Cs-134:(0.082)Cs-137:0.26±0.03</t>
  </si>
  <si>
    <t>迅速法におけるその他検出核種Cs-134:(0.11)Cs-137:0.33±0.04</t>
  </si>
  <si>
    <t>迅速法におけるその他検出核種Cs-134:0.10±0.03Cs-137:0.35±0.04</t>
  </si>
  <si>
    <t>迅速法におけるその他検出核種Cs-137:(0.085)</t>
  </si>
  <si>
    <t>迅速法におけるその他検出核種Cs-137:(0.086)</t>
  </si>
  <si>
    <t>迅速法におけるその他検出核種Cs-137:(0.087)</t>
  </si>
  <si>
    <t>迅速法におけるその他検出核種Cs-137:(0.091)</t>
  </si>
  <si>
    <t>迅速法におけるその他検出核種Cs-137:(0.092)</t>
  </si>
  <si>
    <t>迅速法におけるその他検出核種Cs-137:(0.094)</t>
  </si>
  <si>
    <t>迅速法におけるその他検出核種Cs-137:(0.098)</t>
  </si>
  <si>
    <t>迅速法におけるその他検出核種Cs-137:(0.099)</t>
  </si>
  <si>
    <t>迅速法におけるその他検出核種Cs-137:(0.10)</t>
  </si>
  <si>
    <t>迅速法におけるその他検出核種Cs-137:(0.12)</t>
  </si>
  <si>
    <t>迅速法におけるその他検出核種Cs-137:(0;096)</t>
  </si>
  <si>
    <t>迅速法におけるその他検出核種Cs-137:0.093±0.02</t>
  </si>
  <si>
    <t>迅速法におけるその他検出核種Cs-137:0.095±0.026</t>
  </si>
  <si>
    <t>迅速法におけるその他検出核種Cs-137:0.097±0.027</t>
  </si>
  <si>
    <t>迅速法におけるその他検出核種Cs-137:0.12±0.02</t>
  </si>
  <si>
    <t>迅速法におけるその他検出核種Cs-137:0.12±0.04</t>
  </si>
  <si>
    <t>迅速法におけるその他検出核種Cs-137:0.13±0.03</t>
  </si>
  <si>
    <t>迅速法におけるその他検出核種Cs-137:0.13±0.03.</t>
  </si>
  <si>
    <t>迅速法におけるその他検出核種Cs-137:0.13±0.04</t>
  </si>
  <si>
    <t>迅速法におけるその他検出核種Cs-137:0.14±0.02</t>
  </si>
  <si>
    <t>迅速法におけるその他検出核種Cs-137:0.14±0.04</t>
  </si>
  <si>
    <t>迅速法におけるその他検出核種Cs-137:0.15±0.02</t>
  </si>
  <si>
    <t>迅速法におけるその他検出核種Cs-137:0.17±0.03</t>
  </si>
  <si>
    <t>迅速法におけるその他検出核種Cs-137:0.17±0.04</t>
  </si>
  <si>
    <t>迅速法におけるその他検出核種Cs-137:0.18±0.04</t>
  </si>
  <si>
    <t>迅速法におけるその他検出核種Cs-137:0.22±0.04</t>
  </si>
  <si>
    <t>迅速法におけるその他検出核種Cs-137:0.24±0.04</t>
  </si>
  <si>
    <t>迅速法におけるその他検出核種Cs-137:0.37±0.04</t>
  </si>
  <si>
    <t>迅速法におけるその他検出核種Cs-137;(0.090)</t>
  </si>
  <si>
    <t>迅速法におけるその他検出核種Cs-137;(0.10)</t>
  </si>
  <si>
    <t>迅速法におけるその他検出核種Cs-137;0.12±0.02</t>
  </si>
  <si>
    <t>迅速法におけるその他検出核種Cs-137;0.19±0.03</t>
  </si>
  <si>
    <t>迅速法におけるその他検出核種Cs-137:0.23±0.04</t>
    <rPh sb="9" eb="10">
      <t>タ</t>
    </rPh>
    <phoneticPr fontId="1"/>
  </si>
  <si>
    <t>前面海域(シウリ崎/電力)</t>
    <rPh sb="0" eb="2">
      <t>ゼンメン</t>
    </rPh>
    <rPh sb="2" eb="4">
      <t>カイイキ</t>
    </rPh>
    <rPh sb="10" eb="12">
      <t>デンリョク</t>
    </rPh>
    <phoneticPr fontId="1"/>
  </si>
  <si>
    <t>前面海域(大貝崎と早崎の内側)</t>
    <rPh sb="0" eb="2">
      <t>ゼンメン</t>
    </rPh>
    <rPh sb="2" eb="4">
      <t>カイイキ</t>
    </rPh>
    <rPh sb="5" eb="7">
      <t>オオガイ</t>
    </rPh>
    <rPh sb="7" eb="8">
      <t>ザキ</t>
    </rPh>
    <rPh sb="9" eb="11">
      <t>ハヤサキ</t>
    </rPh>
    <rPh sb="12" eb="14">
      <t>ウチガワ</t>
    </rPh>
    <phoneticPr fontId="1"/>
  </si>
  <si>
    <t>前面海域(シウリ崎/県)</t>
    <phoneticPr fontId="1"/>
  </si>
  <si>
    <t>山王島(小屋取/県)</t>
    <phoneticPr fontId="1"/>
  </si>
  <si>
    <t>東防波堤/県)</t>
    <phoneticPr fontId="1"/>
  </si>
  <si>
    <t>シウリ崎/電力</t>
    <rPh sb="4" eb="6">
      <t>デンリョク</t>
    </rPh>
    <phoneticPr fontId="1"/>
  </si>
  <si>
    <t>東防波堤/電力</t>
    <phoneticPr fontId="1"/>
  </si>
  <si>
    <t>鮎川/電力</t>
    <phoneticPr fontId="1"/>
  </si>
  <si>
    <t xml:space="preserve"> ← 調査初期の参考データ</t>
    <rPh sb="3" eb="5">
      <t>チョウサ</t>
    </rPh>
    <rPh sb="5" eb="7">
      <t>ショキ</t>
    </rPh>
    <rPh sb="8" eb="10">
      <t>サンコウ</t>
    </rPh>
    <phoneticPr fontId="1"/>
  </si>
  <si>
    <t>Sr単位</t>
    <phoneticPr fontId="1"/>
  </si>
  <si>
    <t>：ND(検出されず)をグラフ表示するため最小値の1/2を採用</t>
    <rPh sb="4" eb="6">
      <t>ケンシュツ</t>
    </rPh>
    <rPh sb="14" eb="16">
      <t>ヒョウジ</t>
    </rPh>
    <rPh sb="20" eb="23">
      <t>サイショウチ</t>
    </rPh>
    <rPh sb="28" eb="30">
      <t>サイヨウ</t>
    </rPh>
    <phoneticPr fontId="1"/>
  </si>
  <si>
    <t>：検出限界値未満だがスペクトルに光電ピークある場合</t>
    <rPh sb="1" eb="3">
      <t>ケンシュツ</t>
    </rPh>
    <rPh sb="3" eb="6">
      <t>ゲンカイチ</t>
    </rPh>
    <rPh sb="6" eb="8">
      <t>ミマン</t>
    </rPh>
    <rPh sb="16" eb="18">
      <t>コウデン</t>
    </rPh>
    <rPh sb="23" eb="25">
      <t>バアイ</t>
    </rPh>
    <phoneticPr fontId="1"/>
  </si>
  <si>
    <t xml:space="preserve"> S54.3.28／スリーマイル島事故(アメリカ)</t>
  </si>
  <si>
    <t xml:space="preserve"> S55.10／最後の大気圏内核実験(中国)</t>
  </si>
  <si>
    <t xml:space="preserve"> S56.10／測定開始(県原子力センター)</t>
  </si>
  <si>
    <t xml:space="preserve"> S59.6.1／１号機営業運転(女川)</t>
  </si>
  <si>
    <t xml:space="preserve"> S61.4.26／チェルノブイリ事故(旧ソ連)</t>
  </si>
  <si>
    <t xml:space="preserve"> H7.7.28／２号機営業運転(女川)</t>
  </si>
  <si>
    <t xml:space="preserve"> H7.12.8／もんじゅNa漏洩事故(敦賀市)</t>
  </si>
  <si>
    <t xml:space="preserve"> H11.9.30／JCO臨界事故(東海村)</t>
  </si>
  <si>
    <t xml:space="preserve"> H14.1.30／３号機営業運転(女川)</t>
  </si>
  <si>
    <t xml:space="preserve"> H19.7.16／中越沖地震(柏崎刈羽原発事故)</t>
  </si>
  <si>
    <t xml:space="preserve"> H23.3.11~14／東日本大震災･東京電力福島第1原発事故</t>
  </si>
  <si>
    <t>'インストラクターのネタ帳 "http://www.relief.jp/itnote/archives/018407.php"</t>
  </si>
  <si>
    <t>'</t>
  </si>
  <si>
    <t>'選択したセル範囲に含まれる図形を削除するExcelマクロ</t>
  </si>
  <si>
    <t>'対象: Excel2003 , Excel2007, Excel2010, Excel2013</t>
  </si>
  <si>
    <t>'アクティブシート上の､グループ化された図形をグループ解除するマクロをご紹介しました｡</t>
  </si>
  <si>
    <t>'この記事を作成する工程で､英語圏の掲示板を眺めていたら､興味深い別のExcelマクロが紹介されているのに気付きました｡選択されているセル範囲の図形を削除するマクロです｡</t>
  </si>
  <si>
    <t>'ワークシート上の複数の図形を削除するには、［Shift］キーや［Ctrl］キーを押しっぱなしにして図形を一つずつクリックしていくか、［オブジェクトの選択］コマンドからマウスポインタを変更してドラッグする必要があります。</t>
  </si>
  <si>
    <t>'この作業を楽にしてくれるマクロです｡</t>
  </si>
  <si>
    <t>'この掲示板に書かれているマクロは確かに便利なのですが､図形の左上が選択されたセル範囲に含まれているときに削除が行われるという仕様です｡</t>
  </si>
  <si>
    <t>'図形の左上が選択されているセル範囲に含まれるよりも､図形の一部でも選択されたセル範囲に含まれているときに削除できるほうが､より便利だと感じたので､そんなマクロを作ってみました｡</t>
  </si>
  <si>
    <t>Sub 選択されているセル範囲内の図形を削除する()   '先ず削除したい図形のある範囲を指定しておく！</t>
  </si>
  <si>
    <t xml:space="preserve">  Dim shp As Shape</t>
  </si>
  <si>
    <t xml:space="preserve">  Dim rng_shp As Range</t>
  </si>
  <si>
    <t xml:space="preserve">   If TypeName(Selection) &lt;&gt; "Range" Then Exit Sub</t>
  </si>
  <si>
    <t xml:space="preserve">   For Each shp In ActiveSheet.Shapes</t>
  </si>
  <si>
    <t xml:space="preserve">     ''図形の配置されているセル範囲をオブジェクト変数にセット</t>
  </si>
  <si>
    <t xml:space="preserve">    Set rng_shp = Range(shp.TopLeftCell, shp.BottomRightCell)</t>
  </si>
  <si>
    <t xml:space="preserve">     ''図形の配置されているセル範囲と</t>
  </si>
  <si>
    <t xml:space="preserve">    ''選択されているセル範囲が重なっているときに図形を削除</t>
  </si>
  <si>
    <t xml:space="preserve">     If Not (Intersect(rng_shp, Selection) Is Nothing) Then</t>
  </si>
  <si>
    <t xml:space="preserve">      shp.Delete</t>
  </si>
  <si>
    <t xml:space="preserve">    End If</t>
  </si>
  <si>
    <t xml:space="preserve">   Next</t>
  </si>
  <si>
    <t>'End Sub</t>
  </si>
  <si>
    <t>'セル以外が選択されているときはエラーとなってしまうことがあるので､セルが選択されていないときはこのマクロを終了します｡</t>
  </si>
  <si>
    <t>'   If TypeName(Selection) &lt;&gt; "Range" Then Exit Sub</t>
  </si>
  <si>
    <t>'アクティブシート上の､すべての図形にループ処理を開始し､</t>
  </si>
  <si>
    <t>'   For Each shp In ActiveSheet.Shapes</t>
  </si>
  <si>
    <t>'図形の配置されている､セル範囲をオブジェクト変数にセットします｡</t>
  </si>
  <si>
    <t>'     Set rng_shp = Range(shp.TopLeftCell, shp.BottomRightCell)</t>
  </si>
  <si>
    <t>'オブジェクト変数にセットした '図形の配置されているセル範囲と、選択されているセル範囲が重なっているかをApplication.Intersectメソッドで調べ、</t>
  </si>
  <si>
    <t>'     If Not (Intersect(rng_shp, Selection) Is Nothing) Then</t>
  </si>
  <si>
    <t>'重なっているときにその図形を削除しています｡</t>
  </si>
  <si>
    <t>'       shp.Delete</t>
  </si>
  <si>
    <t>End Sub</t>
  </si>
  <si>
    <t>I-131</t>
    <phoneticPr fontId="1"/>
  </si>
  <si>
    <t>核種</t>
    <rPh sb="0" eb="2">
      <t>カクシュ</t>
    </rPh>
    <phoneticPr fontId="1"/>
  </si>
  <si>
    <t>物理崩壊</t>
    <rPh sb="0" eb="2">
      <t>ブツリ</t>
    </rPh>
    <phoneticPr fontId="1"/>
  </si>
  <si>
    <t>Cs137減衰</t>
    <rPh sb="5" eb="7">
      <t>ゲンスイ</t>
    </rPh>
    <phoneticPr fontId="1"/>
  </si>
  <si>
    <t>Cs134減衰</t>
    <rPh sb="5" eb="7">
      <t>ゲンスイ</t>
    </rPh>
    <phoneticPr fontId="1"/>
  </si>
  <si>
    <t>H26~:宮城県実施分は公益財団法人日本分析センターで測定した。</t>
  </si>
  <si>
    <t>Be7崩壊</t>
    <rPh sb="3" eb="5">
      <t>ホウカイ</t>
    </rPh>
    <phoneticPr fontId="1"/>
  </si>
  <si>
    <t>K40崩壊</t>
    <rPh sb="3" eb="5">
      <t>ホウカイ</t>
    </rPh>
    <phoneticPr fontId="1"/>
  </si>
  <si>
    <t>H3崩壊</t>
    <phoneticPr fontId="1"/>
  </si>
  <si>
    <t>Cs137減衰</t>
    <rPh sb="5" eb="7">
      <t>ゲンスイ</t>
    </rPh>
    <phoneticPr fontId="1"/>
  </si>
  <si>
    <t>Sr90崩壊</t>
    <rPh sb="4" eb="6">
      <t>ホウカイ</t>
    </rPh>
    <phoneticPr fontId="1"/>
  </si>
  <si>
    <t>Sr90崩壊</t>
    <phoneticPr fontId="1"/>
  </si>
  <si>
    <t>I131崩壊</t>
    <rPh sb="4" eb="6">
      <t>ホウカイ</t>
    </rPh>
    <phoneticPr fontId="1"/>
  </si>
  <si>
    <t>：ND(検出されず)</t>
    <rPh sb="4" eb="6">
      <t>ケンシュツ</t>
    </rPh>
    <phoneticPr fontId="1"/>
  </si>
  <si>
    <t>注2)</t>
  </si>
  <si>
    <t>注3)</t>
  </si>
  <si>
    <r>
      <t>半減期はH-3/12.33年､Be-7/0.1459年､K-40/1.277x10</t>
    </r>
    <r>
      <rPr>
        <vertAlign val="superscript"/>
        <sz val="8.5"/>
        <color indexed="8"/>
        <rFont val="Meiryo UI"/>
        <family val="3"/>
        <charset val="128"/>
      </rPr>
      <t>9</t>
    </r>
    <r>
      <rPr>
        <sz val="8.5"/>
        <color indexed="8"/>
        <rFont val="Meiryo UI"/>
        <family val="3"/>
        <charset val="128"/>
      </rPr>
      <t>年､Sr-90/28.79年､I-131/0.02218年､Cs-134/2.062年､Cs-137/30.07年</t>
    </r>
    <rPh sb="26" eb="27">
      <t>ネン</t>
    </rPh>
    <rPh sb="70" eb="71">
      <t>ネン</t>
    </rPh>
    <phoneticPr fontId="1"/>
  </si>
  <si>
    <t>注4)</t>
  </si>
  <si>
    <t>(　)は検出限界値未満だがスペクトルに光電ピークあり､NDは"(核種分析行ったが光電ピークなく)検出下限値未満"つまり"検出されず"､"不検出"を意味する｡</t>
    <rPh sb="32" eb="34">
      <t>カクシュ</t>
    </rPh>
    <rPh sb="34" eb="36">
      <t>ブンセキ</t>
    </rPh>
    <rPh sb="36" eb="37">
      <t>オコナ</t>
    </rPh>
    <rPh sb="48" eb="50">
      <t>ケンシュツ</t>
    </rPh>
    <rPh sb="50" eb="52">
      <t>カゲン</t>
    </rPh>
    <rPh sb="52" eb="53">
      <t>チ</t>
    </rPh>
    <rPh sb="53" eb="55">
      <t>ミマン</t>
    </rPh>
    <rPh sb="60" eb="62">
      <t>ケンシュツ</t>
    </rPh>
    <rPh sb="68" eb="69">
      <t>フ</t>
    </rPh>
    <rPh sb="69" eb="71">
      <t>ケンシュツ</t>
    </rPh>
    <rPh sb="73" eb="75">
      <t>イミ</t>
    </rPh>
    <phoneticPr fontId="1"/>
  </si>
  <si>
    <t>注5)</t>
  </si>
  <si>
    <t>NDをグラフ表示する場合､"ND代替値"行に記入された当該列の数値に置き換える｡"ND代替値"の計算法は注6)参照｡</t>
    <rPh sb="6" eb="8">
      <t>ヒョウジ</t>
    </rPh>
    <rPh sb="10" eb="12">
      <t>バアイ</t>
    </rPh>
    <rPh sb="16" eb="18">
      <t>ダイガ</t>
    </rPh>
    <rPh sb="18" eb="19">
      <t>チ</t>
    </rPh>
    <rPh sb="20" eb="21">
      <t>ギョウ</t>
    </rPh>
    <rPh sb="22" eb="24">
      <t>キニュウ</t>
    </rPh>
    <rPh sb="27" eb="29">
      <t>トウガイ</t>
    </rPh>
    <rPh sb="29" eb="30">
      <t>レツ</t>
    </rPh>
    <rPh sb="31" eb="33">
      <t>スウチ</t>
    </rPh>
    <rPh sb="34" eb="35">
      <t>オ</t>
    </rPh>
    <rPh sb="36" eb="37">
      <t>カ</t>
    </rPh>
    <rPh sb="48" eb="51">
      <t>ケイサンホウ</t>
    </rPh>
    <rPh sb="52" eb="53">
      <t>チュウ</t>
    </rPh>
    <rPh sb="55" eb="57">
      <t>サンショウ</t>
    </rPh>
    <phoneticPr fontId="1"/>
  </si>
  <si>
    <t>注6-2)</t>
  </si>
  <si>
    <t>注6-3)</t>
  </si>
  <si>
    <t>注6-4)</t>
  </si>
  <si>
    <t>注6-5)</t>
  </si>
  <si>
    <t>K-40は超長半減期､Be-7は常時生成供給により一定放射能濃度レベルが保持されるので､減衰させない</t>
    <rPh sb="5" eb="6">
      <t>チョウ</t>
    </rPh>
    <rPh sb="6" eb="7">
      <t>チョウ</t>
    </rPh>
    <rPh sb="7" eb="10">
      <t>ハンゲンキ</t>
    </rPh>
    <rPh sb="16" eb="18">
      <t>ジョウジ</t>
    </rPh>
    <rPh sb="18" eb="20">
      <t>セイセイ</t>
    </rPh>
    <rPh sb="20" eb="22">
      <t>キョウキュウ</t>
    </rPh>
    <rPh sb="25" eb="27">
      <t>イッテイ</t>
    </rPh>
    <rPh sb="27" eb="30">
      <t>ホウシャノウ</t>
    </rPh>
    <rPh sb="30" eb="32">
      <t>ノウド</t>
    </rPh>
    <rPh sb="36" eb="38">
      <t>ホジ</t>
    </rPh>
    <rPh sb="44" eb="46">
      <t>ゲンスイ</t>
    </rPh>
    <phoneticPr fontId="1"/>
  </si>
  <si>
    <t>注6-6)</t>
  </si>
  <si>
    <t>Sr-90は核実験由来と見なし､調査開始日から一貫して減衰させる</t>
    <rPh sb="6" eb="7">
      <t>カク</t>
    </rPh>
    <rPh sb="7" eb="9">
      <t>ジッケン</t>
    </rPh>
    <rPh sb="9" eb="11">
      <t>ユライ</t>
    </rPh>
    <rPh sb="12" eb="13">
      <t>ミ</t>
    </rPh>
    <rPh sb="16" eb="18">
      <t>チョウサ</t>
    </rPh>
    <rPh sb="18" eb="20">
      <t>カイシ</t>
    </rPh>
    <rPh sb="20" eb="21">
      <t>ビ</t>
    </rPh>
    <rPh sb="23" eb="25">
      <t>イッカン</t>
    </rPh>
    <rPh sb="27" eb="29">
      <t>ゲンスイ</t>
    </rPh>
    <phoneticPr fontId="1"/>
  </si>
  <si>
    <t>注7)</t>
  </si>
  <si>
    <t>Ge半導体検出器で分析する核種のうち､K-40とI-131は迅速法､それ以外は共沈法(あらめと海水)</t>
    <rPh sb="1" eb="4">
      <t>ハンドウタイ</t>
    </rPh>
    <rPh sb="4" eb="7">
      <t>ケンシュツキ</t>
    </rPh>
    <rPh sb="8" eb="10">
      <t>ブンセキ</t>
    </rPh>
    <rPh sb="12" eb="14">
      <t>カクシュ</t>
    </rPh>
    <rPh sb="29" eb="31">
      <t>ジンソク</t>
    </rPh>
    <rPh sb="31" eb="32">
      <t>ホウ</t>
    </rPh>
    <rPh sb="35" eb="37">
      <t>イガイ</t>
    </rPh>
    <rPh sb="38" eb="39">
      <t>キョウ</t>
    </rPh>
    <rPh sb="39" eb="40">
      <t>チン</t>
    </rPh>
    <rPh sb="40" eb="41">
      <t>ホウ</t>
    </rPh>
    <rPh sb="46" eb="48">
      <t>カイスイ</t>
    </rPh>
    <phoneticPr fontId="1"/>
  </si>
  <si>
    <t>注8)</t>
  </si>
  <si>
    <t>h24.2.14以降､K-40･I-131が検出･未検出に拘らず測定した検体は迅速法､／(未測定)の場合は共沈法(あらめと海水)</t>
    <rPh sb="7" eb="9">
      <t>イコウ</t>
    </rPh>
    <phoneticPr fontId="1"/>
  </si>
  <si>
    <t>注9)</t>
  </si>
  <si>
    <t>Cs以外の対象核種(Mn-54､Co-58､Fe-59､Co-60)は原発事故直後以外､検出されなかったので作図しない｡</t>
    <rPh sb="34" eb="36">
      <t>ゲンパツ</t>
    </rPh>
    <rPh sb="36" eb="38">
      <t>ジコ</t>
    </rPh>
    <rPh sb="38" eb="40">
      <t>チョクゴ</t>
    </rPh>
    <rPh sb="40" eb="42">
      <t>イガイ</t>
    </rPh>
    <rPh sb="53" eb="55">
      <t>サクズ</t>
    </rPh>
    <phoneticPr fontId="1"/>
  </si>
  <si>
    <t>注1)</t>
    <phoneticPr fontId="1"/>
  </si>
  <si>
    <t>S62以前は1pCi/kg生=1/27Bq/kg生で換算｡チェルノブイリ事故(S61.4.26)によりS61.5～6はNb-95､Ru-103､Ru-106､Sb-125､Te-129m､Ce-141､Ce-144を検出｡</t>
    <phoneticPr fontId="1"/>
  </si>
  <si>
    <t>Be-7､K-40は天然核種､H-3は人工・天然核種､Cs-134､Cs-137､Sr-90は人工核種</t>
    <phoneticPr fontId="1"/>
  </si>
  <si>
    <t>注6-1)</t>
    <phoneticPr fontId="1"/>
  </si>
  <si>
    <t>NDのセルは表中で斜線記入し､グラフ表示の都合上､次のルールで作業した｡有意な数値だけの列､即ちNDと記入ない列は ｢ND代替値｣を／(スラッシュでなく斜線)とする</t>
    <rPh sb="6" eb="8">
      <t>ヒョウチュウ</t>
    </rPh>
    <rPh sb="18" eb="20">
      <t>ヒョウジ</t>
    </rPh>
    <rPh sb="21" eb="24">
      <t>ツゴウジョウ</t>
    </rPh>
    <phoneticPr fontId="1"/>
  </si>
  <si>
    <t>NDセル以外の最小値を目視で採取し､その1/2をND代替値と定義｡データ追加するたびに更新｡検出例数が稀なCs-134は､当面Cs-137のND代替値とする。</t>
    <rPh sb="0" eb="2">
      <t>イガイ</t>
    </rPh>
    <rPh sb="3" eb="6">
      <t>サイショウチ</t>
    </rPh>
    <rPh sb="7" eb="9">
      <t>モクシ</t>
    </rPh>
    <rPh sb="10" eb="12">
      <t>サイシュ</t>
    </rPh>
    <rPh sb="32" eb="34">
      <t>ツイカ</t>
    </rPh>
    <rPh sb="39" eb="41">
      <t>コウシン</t>
    </rPh>
    <phoneticPr fontId="1"/>
  </si>
  <si>
    <t>｢真の最小値｣とは､ND代替値を除いた最小値で計算式は=IF(R[-1]C&lt;&gt;"",SMALL(R[-45]C:R[-3]C,R[2]C+1),MIN(R[-45]C:R[-3]C))</t>
    <rPh sb="0" eb="2">
      <t>サイショウチ</t>
    </rPh>
    <rPh sb="15" eb="18">
      <t>サイショウチ</t>
    </rPh>
    <rPh sb="19" eb="21">
      <t>ケイサン</t>
    </rPh>
    <rPh sb="21" eb="22">
      <t>シキ</t>
    </rPh>
    <phoneticPr fontId="1"/>
  </si>
  <si>
    <t>人工核種Cs-134､Cs-137､H-3､I-131は地点ごとND代替値から物理減衰させ､事故後はリセットする(ND代替値に戻って減衰させる)｡</t>
    <rPh sb="0" eb="2">
      <t>ジンコウ</t>
    </rPh>
    <rPh sb="2" eb="4">
      <t>カクシュ</t>
    </rPh>
    <rPh sb="28" eb="30">
      <t>チテン</t>
    </rPh>
    <rPh sb="39" eb="41">
      <t>ブツリ</t>
    </rPh>
    <rPh sb="41" eb="43">
      <t>ゲンスイ</t>
    </rPh>
    <rPh sb="46" eb="49">
      <t>ジコゴ</t>
    </rPh>
    <rPh sb="63" eb="64">
      <t>モド</t>
    </rPh>
    <rPh sb="66" eb="68">
      <t>ゲンスイ</t>
    </rPh>
    <phoneticPr fontId="1"/>
  </si>
  <si>
    <t>ND代替値</t>
    <phoneticPr fontId="1"/>
  </si>
  <si>
    <t>ND代替値の個数</t>
    <rPh sb="6" eb="8">
      <t>コスウ</t>
    </rPh>
    <phoneticPr fontId="1"/>
  </si>
  <si>
    <t>あらめ</t>
    <phoneticPr fontId="1"/>
  </si>
  <si>
    <t>宮城県</t>
    <rPh sb="0" eb="3">
      <t>ミヤギケン</t>
    </rPh>
    <phoneticPr fontId="1"/>
  </si>
  <si>
    <t>←H20.8.20を"調査開始日2"と定義</t>
    <rPh sb="11" eb="13">
      <t>チョウサ</t>
    </rPh>
    <rPh sb="13" eb="15">
      <t>カイシ</t>
    </rPh>
    <rPh sb="15" eb="16">
      <t>ビ</t>
    </rPh>
    <rPh sb="19" eb="21">
      <t>テイギ</t>
    </rPh>
    <phoneticPr fontId="1"/>
  </si>
  <si>
    <t>藤丸中崎S56.12.21か</t>
    <phoneticPr fontId="1"/>
  </si>
  <si>
    <t>ND代替値以下の個数</t>
    <rPh sb="5" eb="7">
      <t>イカ</t>
    </rPh>
    <rPh sb="8" eb="10">
      <t>コスウ</t>
    </rPh>
    <phoneticPr fontId="1"/>
  </si>
  <si>
    <t>ND除く最小値</t>
    <rPh sb="2" eb="3">
      <t>ノゾ</t>
    </rPh>
    <rPh sb="4" eb="7">
      <t>サイショウチ</t>
    </rPh>
    <phoneticPr fontId="1"/>
  </si>
  <si>
    <t>ND除く平均</t>
    <phoneticPr fontId="1"/>
  </si>
  <si>
    <t xml:space="preserve"> S48.7.5／中国15回核実験6/28､全国最高値(蔵王町)</t>
    <phoneticPr fontId="1"/>
  </si>
  <si>
    <t xml:space="preserve"> S38／大気･地下同数に､以降地下が主流に(仏･中は大気圏内を10年超継続)</t>
    <rPh sb="5" eb="7">
      <t>タイキ</t>
    </rPh>
    <rPh sb="8" eb="10">
      <t>チカ</t>
    </rPh>
    <rPh sb="10" eb="12">
      <t>ドウスウ</t>
    </rPh>
    <rPh sb="14" eb="16">
      <t>イコウ</t>
    </rPh>
    <rPh sb="16" eb="18">
      <t>チカ</t>
    </rPh>
    <rPh sb="19" eb="21">
      <t>シュリュウ</t>
    </rPh>
    <rPh sb="34" eb="35">
      <t>ネン</t>
    </rPh>
    <rPh sb="35" eb="36">
      <t>チョウ</t>
    </rPh>
    <phoneticPr fontId="1"/>
  </si>
  <si>
    <t>Cs-137･Cs-134･H-3･I-131は次の重大事故まで物理減衰し､事故の都度リセットされ"ND代替値"に戻ると仮定</t>
  </si>
  <si>
    <t>(注1) Be-7とK-40は天然､Cs-134とCs-137は主に原発事故､I-131は原発事故と医療､Sr-90は核実験 由来</t>
    <rPh sb="1" eb="2">
      <t>チュウ</t>
    </rPh>
    <rPh sb="15" eb="17">
      <t>テンネン</t>
    </rPh>
    <rPh sb="32" eb="33">
      <t>オモ</t>
    </rPh>
    <rPh sb="34" eb="36">
      <t>ゲンパツ</t>
    </rPh>
    <rPh sb="36" eb="38">
      <t>ジコ</t>
    </rPh>
    <rPh sb="50" eb="52">
      <t>イリョウ</t>
    </rPh>
    <rPh sb="59" eb="60">
      <t>カク</t>
    </rPh>
    <rPh sb="60" eb="62">
      <t>ジッケン</t>
    </rPh>
    <rPh sb="63" eb="65">
      <t>ユライ</t>
    </rPh>
    <phoneticPr fontId="1"/>
  </si>
  <si>
    <t>(注2) ND(検出されず)は､核種別･地点別の仮想値(過去最小値の1/2で求める"ND代替値")を設定｡Cs-137･Cs-134･H-3･I-131は次の重大事故まで物理減衰し､事故の都度リセットされ"ND代替値"に戻ると仮定</t>
    <rPh sb="1" eb="2">
      <t>チュウ</t>
    </rPh>
    <rPh sb="8" eb="10">
      <t>ケンシュツ</t>
    </rPh>
    <rPh sb="16" eb="18">
      <t>カクシュ</t>
    </rPh>
    <rPh sb="18" eb="19">
      <t>ベツ</t>
    </rPh>
    <rPh sb="20" eb="22">
      <t>チテン</t>
    </rPh>
    <rPh sb="22" eb="23">
      <t>ベツ</t>
    </rPh>
    <rPh sb="24" eb="26">
      <t>カソウ</t>
    </rPh>
    <rPh sb="26" eb="27">
      <t>チ</t>
    </rPh>
    <rPh sb="50" eb="52">
      <t>セッテイ</t>
    </rPh>
    <phoneticPr fontId="1"/>
  </si>
  <si>
    <t>(注3) K-40･Sr-90は全期間物理減衰し事故の都度リセットされない､Be-7は短半減期だが常時新生供給され全期間一定レベル保持</t>
    <rPh sb="1" eb="2">
      <t>チュウ</t>
    </rPh>
    <rPh sb="16" eb="19">
      <t>ゼンキカン</t>
    </rPh>
    <rPh sb="19" eb="21">
      <t>ブツリ</t>
    </rPh>
    <rPh sb="21" eb="23">
      <t>ゲンスイ</t>
    </rPh>
    <rPh sb="24" eb="26">
      <t>ジコ</t>
    </rPh>
    <rPh sb="27" eb="29">
      <t>ツド</t>
    </rPh>
    <rPh sb="43" eb="44">
      <t>タン</t>
    </rPh>
    <rPh sb="44" eb="47">
      <t>ハンゲンキ</t>
    </rPh>
    <rPh sb="49" eb="51">
      <t>ジョウジ</t>
    </rPh>
    <rPh sb="51" eb="53">
      <t>シンセイ</t>
    </rPh>
    <rPh sb="53" eb="55">
      <t>キョウキュウ</t>
    </rPh>
    <rPh sb="57" eb="60">
      <t>ゼンキカン</t>
    </rPh>
    <rPh sb="60" eb="62">
      <t>イッテイ</t>
    </rPh>
    <rPh sb="65" eb="67">
      <t>ホジ</t>
    </rPh>
    <phoneticPr fontId="1"/>
  </si>
  <si>
    <t>単位：Bq/kg生､Ca濃度はg/kg/生､Sr単位はBq/g･Ca</t>
    <rPh sb="0" eb="2">
      <t>タンイ</t>
    </rPh>
    <rPh sb="8" eb="9">
      <t>ナマ</t>
    </rPh>
    <rPh sb="12" eb="14">
      <t>ノウド</t>
    </rPh>
    <rPh sb="20" eb="21">
      <t>ナマ</t>
    </rPh>
    <rPh sb="24" eb="26">
      <t>タンイ</t>
    </rPh>
    <phoneticPr fontId="1"/>
  </si>
  <si>
    <t>H3崩壊</t>
    <phoneticPr fontId="1"/>
  </si>
  <si>
    <t>：エクセルの表示限界(2.E-308)以下で計算式も記入できず</t>
    <rPh sb="6" eb="8">
      <t>ヒョウジ</t>
    </rPh>
    <rPh sb="8" eb="10">
      <t>ゲンカイ</t>
    </rPh>
    <rPh sb="19" eb="21">
      <t>イカ</t>
    </rPh>
    <rPh sb="22" eb="25">
      <t>ケイサンシキ</t>
    </rPh>
    <rPh sb="26" eb="28">
      <t>キニュウ</t>
    </rPh>
    <phoneticPr fontId="1"/>
  </si>
  <si>
    <t>：チェルノ事故日(事故日Cb)s61.4.26</t>
    <rPh sb="5" eb="7">
      <t>ジコ</t>
    </rPh>
    <rPh sb="7" eb="8">
      <t>ビ</t>
    </rPh>
    <rPh sb="9" eb="11">
      <t>ジコ</t>
    </rPh>
    <rPh sb="11" eb="12">
      <t>ビ</t>
    </rPh>
    <phoneticPr fontId="22"/>
  </si>
  <si>
    <t>：福一事故日(事故日Fk)h23.3.11</t>
    <rPh sb="1" eb="2">
      <t>フク</t>
    </rPh>
    <rPh sb="2" eb="3">
      <t>イチ</t>
    </rPh>
    <rPh sb="3" eb="5">
      <t>ジコ</t>
    </rPh>
    <rPh sb="5" eb="6">
      <t>ビ</t>
    </rPh>
    <phoneticPr fontId="22"/>
  </si>
  <si>
    <t>：調査開始日s56.11.12</t>
    <rPh sb="1" eb="3">
      <t>チョウサ</t>
    </rPh>
    <rPh sb="3" eb="5">
      <t>カイシ</t>
    </rPh>
    <rPh sb="5" eb="6">
      <t>ビ</t>
    </rPh>
    <phoneticPr fontId="22"/>
  </si>
</sst>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76" formatCode="yy/mm/dd"/>
    <numFmt numFmtId="177" formatCode="yy/mm"/>
    <numFmt numFmtId="178" formatCode="0.0"/>
    <numFmt numFmtId="179" formatCode="0_);[Red]\(0\)"/>
    <numFmt numFmtId="180" formatCode="[$-411]ge"/>
    <numFmt numFmtId="181" formatCode="0.0_);[Red]\(0.0\)"/>
    <numFmt numFmtId="182" formatCode="0.00_);[Red]\(0.00\)"/>
    <numFmt numFmtId="183" formatCode="0.00_ "/>
    <numFmt numFmtId="184" formatCode="&quot;(&quot;0&quot;)&quot;"/>
    <numFmt numFmtId="185" formatCode="&quot;(&quot;0.0&quot;)&quot;"/>
    <numFmt numFmtId="186" formatCode="&quot;(&quot;0.00&quot;)&quot;"/>
    <numFmt numFmtId="187" formatCode="0.000_);[Red]\(0.000\)"/>
    <numFmt numFmtId="188" formatCode="0_ "/>
    <numFmt numFmtId="189" formatCode="0;&quot;△ &quot;0"/>
    <numFmt numFmtId="190" formatCode="0.000;&quot;△ &quot;0.000"/>
    <numFmt numFmtId="191" formatCode="&quot;(&quot;0.000&quot;)&quot;"/>
    <numFmt numFmtId="192" formatCode="0.000"/>
    <numFmt numFmtId="193" formatCode="0.0;&quot;△ &quot;0.0"/>
    <numFmt numFmtId="194" formatCode="[$-411]ge\.m\.d;@"/>
    <numFmt numFmtId="195" formatCode=".00"/>
    <numFmt numFmtId="196" formatCode=".00000"/>
    <numFmt numFmtId="197" formatCode="0.E+00"/>
    <numFmt numFmtId="198" formatCode="0.000000000000000000000000000000E+00"/>
  </numFmts>
  <fonts count="23" x14ac:knownFonts="1">
    <font>
      <sz val="14"/>
      <name val="ＭＳ 明朝"/>
      <family val="1"/>
      <charset val="128"/>
    </font>
    <font>
      <sz val="7"/>
      <name val="ＭＳ 明朝"/>
      <family val="1"/>
      <charset val="128"/>
    </font>
    <font>
      <u/>
      <sz val="14"/>
      <color indexed="12"/>
      <name val="ＭＳ 明朝"/>
      <family val="1"/>
      <charset val="128"/>
    </font>
    <font>
      <b/>
      <sz val="11"/>
      <name val="Meiryo UI"/>
      <family val="3"/>
      <charset val="128"/>
    </font>
    <font>
      <sz val="14"/>
      <name val="Meiryo UI"/>
      <family val="3"/>
      <charset val="128"/>
    </font>
    <font>
      <sz val="9"/>
      <name val="Meiryo UI"/>
      <family val="3"/>
      <charset val="128"/>
    </font>
    <font>
      <sz val="8"/>
      <name val="Meiryo UI"/>
      <family val="3"/>
      <charset val="128"/>
    </font>
    <font>
      <b/>
      <sz val="10"/>
      <name val="Meiryo UI"/>
      <family val="3"/>
      <charset val="128"/>
    </font>
    <font>
      <sz val="10"/>
      <name val="Meiryo UI"/>
      <family val="3"/>
      <charset val="128"/>
    </font>
    <font>
      <sz val="7"/>
      <name val="Meiryo UI"/>
      <family val="3"/>
      <charset val="128"/>
    </font>
    <font>
      <sz val="20"/>
      <name val="Meiryo UI"/>
      <family val="3"/>
      <charset val="128"/>
    </font>
    <font>
      <sz val="7"/>
      <name val="ＭＳ Ｐゴシック"/>
      <family val="3"/>
      <charset val="128"/>
    </font>
    <font>
      <u/>
      <sz val="10"/>
      <name val="Meiryo UI"/>
      <family val="3"/>
      <charset val="128"/>
    </font>
    <font>
      <u/>
      <sz val="9"/>
      <name val="Meiryo UI"/>
      <family val="3"/>
      <charset val="128"/>
    </font>
    <font>
      <sz val="8.5"/>
      <name val="Meiryo UI"/>
      <family val="3"/>
      <charset val="128"/>
    </font>
    <font>
      <b/>
      <sz val="9"/>
      <name val="Meiryo UI"/>
      <family val="3"/>
      <charset val="128"/>
    </font>
    <font>
      <vertAlign val="superscript"/>
      <sz val="8.5"/>
      <color indexed="8"/>
      <name val="Meiryo UI"/>
      <family val="3"/>
      <charset val="128"/>
    </font>
    <font>
      <sz val="8.5"/>
      <color indexed="8"/>
      <name val="Meiryo UI"/>
      <family val="3"/>
      <charset val="128"/>
    </font>
    <font>
      <sz val="8"/>
      <name val="ＭＳ 明朝"/>
      <family val="1"/>
      <charset val="128"/>
    </font>
    <font>
      <sz val="9"/>
      <color rgb="FFFF0000"/>
      <name val="Meiryo UI"/>
      <family val="3"/>
      <charset val="128"/>
    </font>
    <font>
      <b/>
      <sz val="9"/>
      <color rgb="FF0070C0"/>
      <name val="Meiryo UI"/>
      <family val="3"/>
      <charset val="128"/>
    </font>
    <font>
      <sz val="14"/>
      <color rgb="FF0070C0"/>
      <name val="ＭＳ 明朝"/>
      <family val="1"/>
      <charset val="128"/>
    </font>
    <font>
      <sz val="7"/>
      <name val="ＭＳ Ｐ明朝"/>
      <family val="1"/>
      <charset val="128"/>
    </font>
  </fonts>
  <fills count="19">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31"/>
        <bgColor indexed="64"/>
      </patternFill>
    </fill>
    <fill>
      <patternFill patternType="solid">
        <fgColor indexed="43"/>
        <bgColor indexed="64"/>
      </patternFill>
    </fill>
    <fill>
      <patternFill patternType="solid">
        <fgColor indexed="22"/>
        <bgColor indexed="64"/>
      </patternFill>
    </fill>
    <fill>
      <patternFill patternType="solid">
        <fgColor rgb="FFFFFFCC"/>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FFFF00"/>
        <bgColor indexed="64"/>
      </patternFill>
    </fill>
    <fill>
      <patternFill patternType="solid">
        <fgColor theme="6" tint="0.59996337778862885"/>
        <bgColor indexed="64"/>
      </patternFill>
    </fill>
    <fill>
      <patternFill patternType="solid">
        <fgColor rgb="FFCCFFFF"/>
        <bgColor indexed="64"/>
      </patternFill>
    </fill>
    <fill>
      <patternFill patternType="solid">
        <fgColor rgb="FFCCFFCC"/>
        <bgColor indexed="64"/>
      </patternFill>
    </fill>
    <fill>
      <patternFill patternType="solid">
        <fgColor theme="7" tint="0.59996337778862885"/>
        <bgColor indexed="64"/>
      </patternFill>
    </fill>
    <fill>
      <patternFill patternType="solid">
        <fgColor theme="0" tint="-0.14999847407452621"/>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bottom style="double">
        <color indexed="64"/>
      </bottom>
      <diagonal/>
    </border>
    <border>
      <left style="hair">
        <color indexed="64"/>
      </left>
      <right style="hair">
        <color indexed="64"/>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thin">
        <color indexed="64"/>
      </diagonal>
    </border>
    <border>
      <left/>
      <right style="thin">
        <color indexed="64"/>
      </right>
      <top style="hair">
        <color indexed="64"/>
      </top>
      <bottom style="hair">
        <color indexed="64"/>
      </bottom>
      <diagonal/>
    </border>
    <border diagonalUp="1">
      <left style="thin">
        <color indexed="64"/>
      </left>
      <right style="hair">
        <color indexed="64"/>
      </right>
      <top style="hair">
        <color indexed="64"/>
      </top>
      <bottom style="hair">
        <color indexed="64"/>
      </bottom>
      <diagonal style="thin">
        <color indexed="64"/>
      </diagonal>
    </border>
    <border>
      <left style="thin">
        <color indexed="64"/>
      </left>
      <right style="hair">
        <color indexed="64"/>
      </right>
      <top style="hair">
        <color indexed="64"/>
      </top>
      <bottom style="hair">
        <color indexed="64"/>
      </bottom>
      <diagonal/>
    </border>
    <border>
      <left/>
      <right/>
      <top style="thin">
        <color indexed="64"/>
      </top>
      <bottom/>
      <diagonal/>
    </border>
    <border>
      <left/>
      <right/>
      <top/>
      <bottom style="thin">
        <color indexed="64"/>
      </bottom>
      <diagonal/>
    </border>
    <border>
      <left/>
      <right style="thin">
        <color auto="1"/>
      </right>
      <top style="thin">
        <color auto="1"/>
      </top>
      <bottom/>
      <diagonal/>
    </border>
    <border>
      <left style="thin">
        <color indexed="64"/>
      </left>
      <right style="hair">
        <color indexed="64"/>
      </right>
      <top style="thin">
        <color indexed="64"/>
      </top>
      <bottom style="hair">
        <color indexed="64"/>
      </bottom>
      <diagonal/>
    </border>
    <border>
      <left/>
      <right/>
      <top/>
      <bottom style="hair">
        <color auto="1"/>
      </bottom>
      <diagonal/>
    </border>
    <border>
      <left style="thin">
        <color indexed="64"/>
      </left>
      <right style="hair">
        <color indexed="64"/>
      </right>
      <top/>
      <bottom style="hair">
        <color auto="1"/>
      </bottom>
      <diagonal/>
    </border>
    <border>
      <left style="hair">
        <color indexed="64"/>
      </left>
      <right style="hair">
        <color indexed="64"/>
      </right>
      <top/>
      <bottom style="hair">
        <color auto="1"/>
      </bottom>
      <diagonal/>
    </border>
    <border>
      <left/>
      <right style="thin">
        <color indexed="64"/>
      </right>
      <top/>
      <bottom style="hair">
        <color auto="1"/>
      </bottom>
      <diagonal/>
    </border>
    <border>
      <left/>
      <right style="hair">
        <color indexed="64"/>
      </right>
      <top/>
      <bottom style="hair">
        <color auto="1"/>
      </bottom>
      <diagonal/>
    </border>
    <border>
      <left/>
      <right style="hair">
        <color indexed="64"/>
      </right>
      <top style="double">
        <color indexed="64"/>
      </top>
      <bottom style="hair">
        <color auto="1"/>
      </bottom>
      <diagonal/>
    </border>
    <border>
      <left style="hair">
        <color indexed="64"/>
      </left>
      <right style="hair">
        <color indexed="64"/>
      </right>
      <top style="double">
        <color indexed="64"/>
      </top>
      <bottom style="hair">
        <color auto="1"/>
      </bottom>
      <diagonal/>
    </border>
    <border>
      <left/>
      <right style="thin">
        <color indexed="64"/>
      </right>
      <top style="double">
        <color indexed="64"/>
      </top>
      <bottom style="hair">
        <color auto="1"/>
      </bottom>
      <diagonal/>
    </border>
    <border>
      <left style="hair">
        <color indexed="64"/>
      </left>
      <right style="thin">
        <color indexed="64"/>
      </right>
      <top style="hair">
        <color auto="1"/>
      </top>
      <bottom style="hair">
        <color auto="1"/>
      </bottom>
      <diagonal/>
    </border>
    <border>
      <left style="thin">
        <color indexed="64"/>
      </left>
      <right style="thin">
        <color indexed="64"/>
      </right>
      <top style="double">
        <color indexed="64"/>
      </top>
      <bottom style="hair">
        <color auto="1"/>
      </bottom>
      <diagonal/>
    </border>
    <border>
      <left style="thin">
        <color indexed="64"/>
      </left>
      <right style="hair">
        <color indexed="64"/>
      </right>
      <top style="double">
        <color indexed="64"/>
      </top>
      <bottom style="hair">
        <color auto="1"/>
      </bottom>
      <diagonal/>
    </border>
    <border>
      <left style="thin">
        <color indexed="64"/>
      </left>
      <right style="hair">
        <color indexed="64"/>
      </right>
      <top/>
      <bottom style="double">
        <color indexed="64"/>
      </bottom>
      <diagonal/>
    </border>
    <border diagonalUp="1">
      <left/>
      <right style="hair">
        <color indexed="64"/>
      </right>
      <top style="hair">
        <color indexed="64"/>
      </top>
      <bottom style="hair">
        <color indexed="64"/>
      </bottom>
      <diagonal style="thin">
        <color indexed="64"/>
      </diagonal>
    </border>
    <border>
      <left style="hair">
        <color indexed="64"/>
      </left>
      <right style="thin">
        <color indexed="64"/>
      </right>
      <top style="thin">
        <color indexed="64"/>
      </top>
      <bottom style="hair">
        <color indexed="64"/>
      </bottom>
      <diagonal/>
    </border>
    <border>
      <left/>
      <right/>
      <top/>
      <bottom style="slantDashDot">
        <color auto="1"/>
      </bottom>
      <diagonal/>
    </border>
    <border>
      <left style="hair">
        <color indexed="64"/>
      </left>
      <right style="thin">
        <color indexed="64"/>
      </right>
      <top/>
      <bottom style="hair">
        <color auto="1"/>
      </bottom>
      <diagonal/>
    </border>
    <border diagonalUp="1">
      <left style="thin">
        <color indexed="64"/>
      </left>
      <right style="hair">
        <color indexed="64"/>
      </right>
      <top/>
      <bottom style="hair">
        <color indexed="64"/>
      </bottom>
      <diagonal style="thin">
        <color indexed="64"/>
      </diagonal>
    </border>
    <border>
      <left/>
      <right style="hair">
        <color indexed="64"/>
      </right>
      <top style="hair">
        <color indexed="64"/>
      </top>
      <bottom style="slantDashDot">
        <color auto="1"/>
      </bottom>
      <diagonal/>
    </border>
    <border>
      <left style="hair">
        <color indexed="64"/>
      </left>
      <right style="hair">
        <color indexed="64"/>
      </right>
      <top style="hair">
        <color indexed="64"/>
      </top>
      <bottom style="slantDashDot">
        <color auto="1"/>
      </bottom>
      <diagonal/>
    </border>
    <border>
      <left style="hair">
        <color indexed="64"/>
      </left>
      <right style="thin">
        <color indexed="64"/>
      </right>
      <top style="hair">
        <color auto="1"/>
      </top>
      <bottom style="slantDashDot">
        <color auto="1"/>
      </bottom>
      <diagonal/>
    </border>
    <border>
      <left/>
      <right style="thin">
        <color indexed="64"/>
      </right>
      <top style="hair">
        <color indexed="64"/>
      </top>
      <bottom style="slantDashDot">
        <color auto="1"/>
      </bottom>
      <diagonal/>
    </border>
    <border diagonalUp="1">
      <left style="thin">
        <color indexed="64"/>
      </left>
      <right style="hair">
        <color indexed="64"/>
      </right>
      <top style="hair">
        <color indexed="64"/>
      </top>
      <bottom style="slantDashDot">
        <color auto="1"/>
      </bottom>
      <diagonal style="thin">
        <color indexed="64"/>
      </diagonal>
    </border>
    <border>
      <left/>
      <right style="hair">
        <color indexed="64"/>
      </right>
      <top/>
      <bottom style="slantDashDot">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diagonalUp="1">
      <left style="hair">
        <color indexed="64"/>
      </left>
      <right style="hair">
        <color indexed="64"/>
      </right>
      <top style="hair">
        <color indexed="64"/>
      </top>
      <bottom style="hair">
        <color indexed="64"/>
      </bottom>
      <diagonal style="hair">
        <color indexed="64"/>
      </diagonal>
    </border>
    <border diagonalUp="1">
      <left style="thin">
        <color indexed="64"/>
      </left>
      <right style="hair">
        <color indexed="64"/>
      </right>
      <top style="thin">
        <color indexed="64"/>
      </top>
      <bottom style="hair">
        <color indexed="64"/>
      </bottom>
      <diagonal style="thin">
        <color indexed="64"/>
      </diagonal>
    </border>
    <border diagonalUp="1">
      <left style="hair">
        <color indexed="64"/>
      </left>
      <right style="hair">
        <color indexed="64"/>
      </right>
      <top style="thin">
        <color indexed="64"/>
      </top>
      <bottom style="hair">
        <color indexed="64"/>
      </bottom>
      <diagonal style="thin">
        <color indexed="64"/>
      </diagonal>
    </border>
    <border>
      <left/>
      <right/>
      <top style="double">
        <color indexed="64"/>
      </top>
      <bottom/>
      <diagonal/>
    </border>
    <border>
      <left style="thin">
        <color indexed="64"/>
      </left>
      <right style="thin">
        <color indexed="64"/>
      </right>
      <top/>
      <bottom style="slantDashDot">
        <color auto="1"/>
      </bottom>
      <diagonal/>
    </border>
    <border>
      <left style="thin">
        <color indexed="64"/>
      </left>
      <right style="hair">
        <color indexed="64"/>
      </right>
      <top/>
      <bottom style="slantDashDot">
        <color auto="1"/>
      </bottom>
      <diagonal/>
    </border>
    <border>
      <left style="hair">
        <color indexed="64"/>
      </left>
      <right style="hair">
        <color indexed="64"/>
      </right>
      <top/>
      <bottom style="slantDashDot">
        <color auto="1"/>
      </bottom>
      <diagonal/>
    </border>
    <border diagonalUp="1">
      <left style="hair">
        <color indexed="64"/>
      </left>
      <right style="hair">
        <color indexed="64"/>
      </right>
      <top/>
      <bottom style="hair">
        <color indexed="64"/>
      </bottom>
      <diagonal style="thin">
        <color indexed="64"/>
      </diagonal>
    </border>
    <border diagonalUp="1">
      <left style="hair">
        <color indexed="64"/>
      </left>
      <right style="hair">
        <color indexed="64"/>
      </right>
      <top/>
      <bottom style="hair">
        <color indexed="64"/>
      </bottom>
      <diagonal style="hair">
        <color indexed="64"/>
      </diagonal>
    </border>
    <border>
      <left/>
      <right style="thin">
        <color indexed="64"/>
      </right>
      <top/>
      <bottom style="slantDashDot">
        <color auto="1"/>
      </bottom>
      <diagonal/>
    </border>
    <border diagonalUp="1">
      <left/>
      <right style="hair">
        <color indexed="64"/>
      </right>
      <top style="hair">
        <color indexed="64"/>
      </top>
      <bottom style="hair">
        <color indexed="64"/>
      </bottom>
      <diagonal style="hair">
        <color indexed="64"/>
      </diagonal>
    </border>
    <border>
      <left/>
      <right style="hair">
        <color indexed="64"/>
      </right>
      <top style="double">
        <color indexed="64"/>
      </top>
      <bottom/>
      <diagonal/>
    </border>
    <border>
      <left style="hair">
        <color indexed="64"/>
      </left>
      <right style="hair">
        <color indexed="64"/>
      </right>
      <top style="double">
        <color indexed="64"/>
      </top>
      <bottom/>
      <diagonal/>
    </border>
    <border>
      <left/>
      <right style="hair">
        <color indexed="64"/>
      </right>
      <top/>
      <bottom/>
      <diagonal/>
    </border>
    <border diagonalUp="1">
      <left style="hair">
        <color indexed="64"/>
      </left>
      <right style="hair">
        <color indexed="64"/>
      </right>
      <top/>
      <bottom style="slantDashDot">
        <color auto="1"/>
      </bottom>
      <diagonal style="thin">
        <color indexed="64"/>
      </diagonal>
    </border>
    <border diagonalUp="1">
      <left style="thin">
        <color indexed="64"/>
      </left>
      <right style="hair">
        <color indexed="64"/>
      </right>
      <top/>
      <bottom style="slantDashDot">
        <color auto="1"/>
      </bottom>
      <diagonal style="thin">
        <color indexed="64"/>
      </diagonal>
    </border>
    <border diagonalUp="1">
      <left/>
      <right style="thin">
        <color indexed="64"/>
      </right>
      <top style="hair">
        <color indexed="64"/>
      </top>
      <bottom style="hair">
        <color indexed="64"/>
      </bottom>
      <diagonal style="thin">
        <color indexed="64"/>
      </diagonal>
    </border>
    <border diagonalUp="1">
      <left style="thin">
        <color indexed="64"/>
      </left>
      <right style="hair">
        <color indexed="64"/>
      </right>
      <top/>
      <bottom style="thin">
        <color indexed="64"/>
      </bottom>
      <diagonal style="thin">
        <color indexed="64"/>
      </diagonal>
    </border>
    <border diagonalUp="1">
      <left/>
      <right style="hair">
        <color indexed="64"/>
      </right>
      <top style="hair">
        <color indexed="64"/>
      </top>
      <bottom style="slantDashDot">
        <color auto="1"/>
      </bottom>
      <diagonal style="hair">
        <color indexed="64"/>
      </diagonal>
    </border>
    <border diagonalUp="1">
      <left/>
      <right style="hair">
        <color indexed="64"/>
      </right>
      <top style="hair">
        <color indexed="64"/>
      </top>
      <bottom style="thin">
        <color indexed="64"/>
      </bottom>
      <diagonal style="hair">
        <color indexed="64"/>
      </diagonal>
    </border>
    <border diagonalUp="1">
      <left/>
      <right style="hair">
        <color indexed="64"/>
      </right>
      <top/>
      <bottom style="thin">
        <color indexed="64"/>
      </bottom>
      <diagonal style="hair">
        <color indexed="64"/>
      </diagonal>
    </border>
    <border diagonalUp="1">
      <left style="hair">
        <color indexed="64"/>
      </left>
      <right style="hair">
        <color indexed="64"/>
      </right>
      <top style="hair">
        <color indexed="64"/>
      </top>
      <bottom style="thin">
        <color indexed="64"/>
      </bottom>
      <diagonal style="hair">
        <color indexed="64"/>
      </diagonal>
    </border>
    <border diagonalUp="1">
      <left/>
      <right style="thin">
        <color indexed="64"/>
      </right>
      <top style="hair">
        <color indexed="64"/>
      </top>
      <bottom style="hair">
        <color indexed="64"/>
      </bottom>
      <diagonal style="hair">
        <color indexed="64"/>
      </diagonal>
    </border>
    <border diagonalUp="1">
      <left/>
      <right style="thin">
        <color indexed="64"/>
      </right>
      <top style="hair">
        <color indexed="64"/>
      </top>
      <bottom style="slantDashDot">
        <color auto="1"/>
      </bottom>
      <diagonal style="hair">
        <color indexed="64"/>
      </diagonal>
    </border>
    <border>
      <left style="thin">
        <color indexed="64"/>
      </left>
      <right style="hair">
        <color indexed="64"/>
      </right>
      <top style="slantDashDot">
        <color auto="1"/>
      </top>
      <bottom style="hair">
        <color indexed="64"/>
      </bottom>
      <diagonal/>
    </border>
    <border>
      <left style="thin">
        <color indexed="64"/>
      </left>
      <right/>
      <top/>
      <bottom style="thin">
        <color indexed="64"/>
      </bottom>
      <diagonal/>
    </border>
    <border>
      <left style="thin">
        <color indexed="64"/>
      </left>
      <right/>
      <top style="hair">
        <color indexed="64"/>
      </top>
      <bottom style="hair">
        <color indexed="64"/>
      </bottom>
      <diagonal/>
    </border>
    <border diagonalUp="1">
      <left style="hair">
        <color indexed="64"/>
      </left>
      <right style="thin">
        <color indexed="64"/>
      </right>
      <top style="hair">
        <color indexed="64"/>
      </top>
      <bottom style="hair">
        <color indexed="64"/>
      </bottom>
      <diagonal style="hair">
        <color indexed="64"/>
      </diagonal>
    </border>
    <border>
      <left style="hair">
        <color indexed="64"/>
      </left>
      <right style="thin">
        <color indexed="64"/>
      </right>
      <top/>
      <bottom style="slantDashDot">
        <color auto="1"/>
      </bottom>
      <diagonal/>
    </border>
    <border>
      <left style="thin">
        <color indexed="64"/>
      </left>
      <right style="hair">
        <color indexed="64"/>
      </right>
      <top style="hair">
        <color indexed="64"/>
      </top>
      <bottom style="slantDashDot">
        <color auto="1"/>
      </bottom>
      <diagonal/>
    </border>
    <border>
      <left style="hair">
        <color indexed="64"/>
      </left>
      <right/>
      <top/>
      <bottom/>
      <diagonal/>
    </border>
    <border>
      <left/>
      <right/>
      <top style="hair">
        <color indexed="64"/>
      </top>
      <bottom style="hair">
        <color indexed="64"/>
      </bottom>
      <diagonal/>
    </border>
    <border diagonalUp="1">
      <left/>
      <right/>
      <top style="hair">
        <color indexed="64"/>
      </top>
      <bottom style="hair">
        <color indexed="64"/>
      </bottom>
      <diagonal style="thin">
        <color indexed="64"/>
      </diagonal>
    </border>
    <border>
      <left style="hair">
        <color indexed="64"/>
      </left>
      <right/>
      <top style="thin">
        <color indexed="64"/>
      </top>
      <bottom style="thin">
        <color indexed="64"/>
      </bottom>
      <diagonal/>
    </border>
    <border>
      <left style="hair">
        <color indexed="64"/>
      </left>
      <right style="thin">
        <color indexed="64"/>
      </right>
      <top style="double">
        <color indexed="64"/>
      </top>
      <bottom style="hair">
        <color auto="1"/>
      </bottom>
      <diagonal/>
    </border>
    <border>
      <left style="hair">
        <color indexed="64"/>
      </left>
      <right style="thin">
        <color indexed="64"/>
      </right>
      <top/>
      <bottom style="double">
        <color indexed="64"/>
      </bottom>
      <diagonal/>
    </border>
    <border diagonalUp="1">
      <left/>
      <right/>
      <top/>
      <bottom style="slantDashDot">
        <color auto="1"/>
      </bottom>
      <diagonal style="thin">
        <color indexed="64"/>
      </diagonal>
    </border>
    <border diagonalUp="1">
      <left/>
      <right/>
      <top/>
      <bottom style="hair">
        <color indexed="64"/>
      </bottom>
      <diagonal style="thin">
        <color indexed="64"/>
      </diagonal>
    </border>
    <border>
      <left style="hair">
        <color indexed="64"/>
      </left>
      <right/>
      <top/>
      <bottom style="slantDashDot">
        <color auto="1"/>
      </bottom>
      <diagonal/>
    </border>
    <border diagonalUp="1" diagonalDown="1">
      <left style="hair">
        <color indexed="64"/>
      </left>
      <right style="hair">
        <color indexed="64"/>
      </right>
      <top style="hair">
        <color indexed="64"/>
      </top>
      <bottom style="hair">
        <color indexed="64"/>
      </bottom>
      <diagonal style="hair">
        <color indexed="64"/>
      </diagonal>
    </border>
    <border diagonalUp="1" diagonalDown="1">
      <left style="hair">
        <color indexed="64"/>
      </left>
      <right style="hair">
        <color indexed="64"/>
      </right>
      <top/>
      <bottom style="hair">
        <color indexed="64"/>
      </bottom>
      <diagonal style="hair">
        <color indexed="64"/>
      </diagonal>
    </border>
  </borders>
  <cellStyleXfs count="2">
    <xf numFmtId="0" fontId="0" fillId="0" borderId="0"/>
    <xf numFmtId="0" fontId="2" fillId="0" borderId="0" applyNumberFormat="0" applyFill="0" applyBorder="0" applyAlignment="0" applyProtection="0">
      <alignment vertical="top"/>
      <protection locked="0"/>
    </xf>
  </cellStyleXfs>
  <cellXfs count="829">
    <xf numFmtId="0" fontId="0" fillId="0" borderId="0" xfId="0"/>
    <xf numFmtId="0" fontId="4" fillId="0" borderId="0" xfId="0" applyFont="1"/>
    <xf numFmtId="0" fontId="5" fillId="0" borderId="0" xfId="0" applyFont="1" applyAlignment="1" applyProtection="1">
      <alignment horizontal="left" vertical="center"/>
    </xf>
    <xf numFmtId="0" fontId="5" fillId="0" borderId="0" xfId="0" applyFont="1" applyAlignment="1">
      <alignment vertical="center"/>
    </xf>
    <xf numFmtId="187" fontId="5" fillId="0" borderId="0" xfId="0" applyNumberFormat="1" applyFont="1" applyAlignment="1">
      <alignment vertical="center"/>
    </xf>
    <xf numFmtId="0" fontId="5" fillId="0" borderId="0" xfId="0" applyNumberFormat="1" applyFont="1" applyAlignment="1">
      <alignment vertical="center"/>
    </xf>
    <xf numFmtId="57" fontId="5" fillId="0" borderId="0" xfId="0" applyNumberFormat="1" applyFont="1" applyAlignment="1">
      <alignment horizontal="left" vertical="center"/>
    </xf>
    <xf numFmtId="179" fontId="5" fillId="0" borderId="0" xfId="0" applyNumberFormat="1" applyFont="1" applyAlignment="1">
      <alignment vertical="center"/>
    </xf>
    <xf numFmtId="176" fontId="5" fillId="0" borderId="0" xfId="0" applyNumberFormat="1" applyFont="1" applyAlignment="1" applyProtection="1">
      <alignment vertical="center"/>
    </xf>
    <xf numFmtId="57" fontId="5" fillId="2" borderId="1" xfId="0" applyNumberFormat="1" applyFont="1" applyFill="1" applyBorder="1" applyAlignment="1" applyProtection="1">
      <alignment horizontal="left" vertical="center"/>
    </xf>
    <xf numFmtId="0" fontId="5" fillId="2" borderId="3" xfId="0" applyFont="1" applyFill="1" applyBorder="1" applyAlignment="1" applyProtection="1">
      <alignment horizontal="left" vertical="center"/>
    </xf>
    <xf numFmtId="0" fontId="5" fillId="2" borderId="3" xfId="0" applyFont="1" applyFill="1" applyBorder="1" applyAlignment="1">
      <alignment vertical="center"/>
    </xf>
    <xf numFmtId="0" fontId="5" fillId="2" borderId="2" xfId="0" applyFont="1" applyFill="1" applyBorder="1" applyAlignment="1">
      <alignment vertical="center"/>
    </xf>
    <xf numFmtId="179" fontId="5" fillId="0" borderId="0" xfId="0" applyNumberFormat="1" applyFont="1" applyFill="1" applyAlignment="1">
      <alignment vertical="center"/>
    </xf>
    <xf numFmtId="187" fontId="5" fillId="0" borderId="0" xfId="0" applyNumberFormat="1" applyFont="1" applyFill="1" applyAlignment="1">
      <alignment vertical="center"/>
    </xf>
    <xf numFmtId="0" fontId="5" fillId="0" borderId="0" xfId="0" applyNumberFormat="1" applyFont="1" applyFill="1" applyAlignment="1">
      <alignment vertical="center"/>
    </xf>
    <xf numFmtId="0" fontId="5" fillId="0" borderId="4" xfId="0" applyFont="1" applyBorder="1" applyAlignment="1" applyProtection="1">
      <alignment horizontal="left" vertical="center"/>
    </xf>
    <xf numFmtId="0" fontId="5" fillId="0" borderId="3" xfId="0" applyFont="1" applyBorder="1" applyAlignment="1">
      <alignment vertical="center"/>
    </xf>
    <xf numFmtId="0" fontId="5" fillId="0" borderId="2" xfId="0" applyFont="1" applyBorder="1" applyAlignment="1">
      <alignment vertical="center"/>
    </xf>
    <xf numFmtId="0" fontId="5" fillId="0" borderId="2" xfId="0" applyFont="1" applyFill="1" applyBorder="1" applyAlignment="1">
      <alignment vertical="center"/>
    </xf>
    <xf numFmtId="57" fontId="5" fillId="2" borderId="5" xfId="0" applyNumberFormat="1" applyFont="1" applyFill="1" applyBorder="1" applyAlignment="1" applyProtection="1">
      <alignment horizontal="left" vertical="center"/>
    </xf>
    <xf numFmtId="57" fontId="5" fillId="2" borderId="5" xfId="0" applyNumberFormat="1" applyFont="1" applyFill="1" applyBorder="1" applyAlignment="1" applyProtection="1">
      <alignment horizontal="left" vertical="center" shrinkToFit="1"/>
    </xf>
    <xf numFmtId="179" fontId="5" fillId="2" borderId="4" xfId="0" applyNumberFormat="1" applyFont="1" applyFill="1" applyBorder="1" applyAlignment="1">
      <alignment vertical="center"/>
    </xf>
    <xf numFmtId="179" fontId="5" fillId="2" borderId="3" xfId="0" applyNumberFormat="1" applyFont="1" applyFill="1" applyBorder="1" applyAlignment="1">
      <alignment vertical="center"/>
    </xf>
    <xf numFmtId="0" fontId="5" fillId="0" borderId="6" xfId="0" applyFont="1" applyBorder="1" applyAlignment="1">
      <alignment vertical="center" shrinkToFit="1"/>
    </xf>
    <xf numFmtId="57" fontId="5" fillId="2" borderId="5" xfId="0" applyNumberFormat="1" applyFont="1" applyFill="1" applyBorder="1" applyAlignment="1">
      <alignment horizontal="left" vertical="center" shrinkToFit="1"/>
    </xf>
    <xf numFmtId="179" fontId="5" fillId="0" borderId="0" xfId="0" quotePrefix="1" applyNumberFormat="1" applyFont="1" applyFill="1" applyAlignment="1">
      <alignment horizontal="left" vertical="center"/>
    </xf>
    <xf numFmtId="0" fontId="3" fillId="0" borderId="0" xfId="0" quotePrefix="1" applyFont="1" applyAlignment="1" applyProtection="1">
      <alignment horizontal="left" vertical="center"/>
    </xf>
    <xf numFmtId="57" fontId="3" fillId="0" borderId="0" xfId="0" quotePrefix="1" applyNumberFormat="1" applyFont="1" applyAlignment="1" applyProtection="1">
      <alignment horizontal="left" vertical="center"/>
    </xf>
    <xf numFmtId="0" fontId="5" fillId="0" borderId="0" xfId="0" applyNumberFormat="1" applyFont="1" applyAlignment="1" applyProtection="1">
      <alignment horizontal="left" vertical="center"/>
    </xf>
    <xf numFmtId="0" fontId="5" fillId="0" borderId="0" xfId="0" applyFont="1" applyBorder="1" applyAlignment="1">
      <alignment vertical="center"/>
    </xf>
    <xf numFmtId="179" fontId="5" fillId="2" borderId="2" xfId="0" applyNumberFormat="1" applyFont="1" applyFill="1" applyBorder="1" applyAlignment="1">
      <alignment vertical="center"/>
    </xf>
    <xf numFmtId="0" fontId="5" fillId="0" borderId="0" xfId="0" applyFont="1" applyBorder="1" applyAlignment="1">
      <alignment horizontal="left" vertical="center"/>
    </xf>
    <xf numFmtId="0" fontId="5" fillId="0" borderId="0" xfId="0" applyFont="1" applyAlignment="1">
      <alignment horizontal="left" vertical="center"/>
    </xf>
    <xf numFmtId="57" fontId="5" fillId="2" borderId="6" xfId="0" applyNumberFormat="1" applyFont="1" applyFill="1" applyBorder="1" applyAlignment="1">
      <alignment horizontal="left" vertical="center" shrinkToFit="1"/>
    </xf>
    <xf numFmtId="179" fontId="5" fillId="0" borderId="6" xfId="0" applyNumberFormat="1" applyFont="1" applyFill="1" applyBorder="1" applyAlignment="1" applyProtection="1">
      <alignment horizontal="center" vertical="center" shrinkToFit="1"/>
    </xf>
    <xf numFmtId="1" fontId="5" fillId="0" borderId="6" xfId="0" applyNumberFormat="1" applyFont="1" applyFill="1" applyBorder="1" applyAlignment="1" applyProtection="1">
      <alignment vertical="center" shrinkToFit="1"/>
    </xf>
    <xf numFmtId="181" fontId="5" fillId="0" borderId="6" xfId="0" applyNumberFormat="1" applyFont="1" applyFill="1" applyBorder="1" applyAlignment="1">
      <alignment horizontal="center" vertical="center" shrinkToFit="1"/>
    </xf>
    <xf numFmtId="190" fontId="6" fillId="0" borderId="6" xfId="0" applyNumberFormat="1" applyFont="1" applyFill="1" applyBorder="1" applyAlignment="1">
      <alignment vertical="center" shrinkToFit="1"/>
    </xf>
    <xf numFmtId="0" fontId="7" fillId="0" borderId="0" xfId="0" applyFont="1" applyAlignment="1">
      <alignment horizontal="left" vertical="center"/>
    </xf>
    <xf numFmtId="2" fontId="5" fillId="0" borderId="0" xfId="0" applyNumberFormat="1" applyFont="1" applyAlignment="1" applyProtection="1">
      <alignment vertical="center"/>
    </xf>
    <xf numFmtId="181" fontId="5" fillId="0" borderId="0" xfId="0" applyNumberFormat="1" applyFont="1" applyAlignment="1" applyProtection="1">
      <alignment vertical="center"/>
    </xf>
    <xf numFmtId="182" fontId="5" fillId="0" borderId="0" xfId="0" applyNumberFormat="1" applyFont="1" applyAlignment="1" applyProtection="1">
      <alignment vertical="center"/>
    </xf>
    <xf numFmtId="187" fontId="5" fillId="0" borderId="0" xfId="0" applyNumberFormat="1" applyFont="1" applyAlignment="1" applyProtection="1">
      <alignment vertical="center"/>
    </xf>
    <xf numFmtId="0" fontId="5" fillId="0" borderId="0" xfId="0" applyNumberFormat="1" applyFont="1" applyAlignment="1" applyProtection="1">
      <alignment vertical="center"/>
    </xf>
    <xf numFmtId="179" fontId="5" fillId="0" borderId="0" xfId="0" applyNumberFormat="1" applyFont="1" applyAlignment="1" applyProtection="1">
      <alignment vertical="center"/>
    </xf>
    <xf numFmtId="0" fontId="5" fillId="0" borderId="0" xfId="0" applyFont="1" applyAlignment="1" applyProtection="1">
      <alignment vertical="center"/>
    </xf>
    <xf numFmtId="57" fontId="5" fillId="0" borderId="0" xfId="0" quotePrefix="1" applyNumberFormat="1" applyFont="1" applyAlignment="1">
      <alignment horizontal="left" vertical="center"/>
    </xf>
    <xf numFmtId="181" fontId="5" fillId="0" borderId="0" xfId="0" applyNumberFormat="1" applyFont="1" applyAlignment="1">
      <alignment vertical="center"/>
    </xf>
    <xf numFmtId="57" fontId="5" fillId="0" borderId="0" xfId="0" applyNumberFormat="1" applyFont="1" applyAlignment="1" applyProtection="1">
      <alignment horizontal="left" vertical="center"/>
    </xf>
    <xf numFmtId="178" fontId="5" fillId="0" borderId="0" xfId="0" applyNumberFormat="1" applyFont="1" applyAlignment="1" applyProtection="1">
      <alignment vertical="center"/>
    </xf>
    <xf numFmtId="177" fontId="5" fillId="0" borderId="0" xfId="0" applyNumberFormat="1" applyFont="1" applyAlignment="1" applyProtection="1">
      <alignment vertical="center"/>
    </xf>
    <xf numFmtId="0" fontId="5" fillId="0" borderId="6" xfId="0" applyFont="1" applyBorder="1" applyAlignment="1" applyProtection="1">
      <alignment vertical="center" shrinkToFit="1"/>
    </xf>
    <xf numFmtId="185" fontId="5" fillId="4" borderId="6" xfId="0" applyNumberFormat="1" applyFont="1" applyFill="1" applyBorder="1" applyAlignment="1">
      <alignment horizontal="center" vertical="center" shrinkToFit="1"/>
    </xf>
    <xf numFmtId="181" fontId="5" fillId="0" borderId="0" xfId="0" quotePrefix="1" applyNumberFormat="1" applyFont="1" applyAlignment="1">
      <alignment horizontal="left" vertical="center"/>
    </xf>
    <xf numFmtId="57" fontId="4" fillId="0" borderId="0" xfId="0" applyNumberFormat="1" applyFont="1" applyAlignment="1" applyProtection="1">
      <alignment horizontal="left" vertical="center"/>
    </xf>
    <xf numFmtId="0" fontId="8" fillId="0" borderId="0" xfId="0" applyFont="1" applyAlignment="1">
      <alignment vertical="center"/>
    </xf>
    <xf numFmtId="0" fontId="5" fillId="0" borderId="0" xfId="0" applyFont="1" applyFill="1" applyAlignment="1">
      <alignment horizontal="right" vertical="center"/>
    </xf>
    <xf numFmtId="181" fontId="5" fillId="0" borderId="0" xfId="0" applyNumberFormat="1" applyFont="1" applyFill="1" applyBorder="1" applyAlignment="1" applyProtection="1">
      <alignment vertical="center"/>
    </xf>
    <xf numFmtId="188" fontId="5" fillId="0" borderId="0" xfId="0" applyNumberFormat="1" applyFont="1" applyFill="1" applyBorder="1" applyAlignment="1">
      <alignment vertical="center"/>
    </xf>
    <xf numFmtId="181" fontId="5" fillId="0" borderId="9" xfId="0" applyNumberFormat="1" applyFont="1" applyBorder="1" applyAlignment="1">
      <alignment vertical="center"/>
    </xf>
    <xf numFmtId="0" fontId="6" fillId="0" borderId="10" xfId="0" applyFont="1" applyBorder="1" applyAlignment="1">
      <alignment vertical="center"/>
    </xf>
    <xf numFmtId="181" fontId="5" fillId="0" borderId="11" xfId="0" applyNumberFormat="1" applyFont="1" applyBorder="1" applyAlignment="1">
      <alignment vertical="center"/>
    </xf>
    <xf numFmtId="0" fontId="5" fillId="0" borderId="12" xfId="0" applyFont="1" applyBorder="1" applyAlignment="1">
      <alignment vertical="center"/>
    </xf>
    <xf numFmtId="0" fontId="6" fillId="0" borderId="13" xfId="0" applyFont="1" applyBorder="1" applyAlignment="1">
      <alignment vertical="center"/>
    </xf>
    <xf numFmtId="0" fontId="6" fillId="0" borderId="14" xfId="0" applyFont="1" applyBorder="1" applyAlignment="1">
      <alignment vertical="center"/>
    </xf>
    <xf numFmtId="0" fontId="6" fillId="0" borderId="12" xfId="0" applyFont="1" applyBorder="1" applyAlignment="1">
      <alignment vertical="center"/>
    </xf>
    <xf numFmtId="0" fontId="5" fillId="2" borderId="3" xfId="0" quotePrefix="1" applyNumberFormat="1" applyFont="1" applyFill="1" applyBorder="1" applyAlignment="1" applyProtection="1">
      <alignment horizontal="left" vertical="center"/>
    </xf>
    <xf numFmtId="0" fontId="5" fillId="3" borderId="7" xfId="0" applyNumberFormat="1" applyFont="1" applyFill="1" applyBorder="1" applyAlignment="1" applyProtection="1">
      <alignment horizontal="right" vertical="center" shrinkToFit="1"/>
    </xf>
    <xf numFmtId="0" fontId="5" fillId="0" borderId="0" xfId="0" applyFont="1" applyAlignment="1">
      <alignment vertical="center" shrinkToFit="1"/>
    </xf>
    <xf numFmtId="57" fontId="6" fillId="0" borderId="21" xfId="0" applyNumberFormat="1" applyFont="1" applyBorder="1" applyAlignment="1">
      <alignment vertical="center" shrinkToFit="1"/>
    </xf>
    <xf numFmtId="57" fontId="6" fillId="0" borderId="22" xfId="0" applyNumberFormat="1" applyFont="1" applyBorder="1" applyAlignment="1">
      <alignment vertical="center" shrinkToFit="1"/>
    </xf>
    <xf numFmtId="57" fontId="6" fillId="0" borderId="23" xfId="0" applyNumberFormat="1" applyFont="1" applyBorder="1" applyAlignment="1">
      <alignment vertical="center" shrinkToFit="1"/>
    </xf>
    <xf numFmtId="57" fontId="6" fillId="0" borderId="24" xfId="0" applyNumberFormat="1" applyFont="1" applyBorder="1" applyAlignment="1">
      <alignment vertical="center" shrinkToFit="1"/>
    </xf>
    <xf numFmtId="0" fontId="5" fillId="2" borderId="6" xfId="0" applyFont="1" applyFill="1" applyBorder="1" applyAlignment="1" applyProtection="1">
      <alignment horizontal="right" vertical="center"/>
    </xf>
    <xf numFmtId="187" fontId="5" fillId="2" borderId="6" xfId="0" quotePrefix="1" applyNumberFormat="1" applyFont="1" applyFill="1" applyBorder="1" applyAlignment="1" applyProtection="1">
      <alignment horizontal="right" vertical="center"/>
    </xf>
    <xf numFmtId="57" fontId="5" fillId="2" borderId="5" xfId="0" applyNumberFormat="1" applyFont="1" applyFill="1" applyBorder="1" applyAlignment="1" applyProtection="1">
      <alignment horizontal="right" vertical="center"/>
    </xf>
    <xf numFmtId="57" fontId="10" fillId="0" borderId="0" xfId="0" applyNumberFormat="1" applyFont="1" applyAlignment="1" applyProtection="1">
      <alignment horizontal="left" vertical="center"/>
    </xf>
    <xf numFmtId="0" fontId="5" fillId="7" borderId="3" xfId="0" applyFont="1" applyFill="1" applyBorder="1" applyAlignment="1">
      <alignment vertical="center"/>
    </xf>
    <xf numFmtId="0" fontId="5" fillId="7" borderId="2" xfId="0" applyFont="1" applyFill="1" applyBorder="1" applyAlignment="1">
      <alignment vertical="center"/>
    </xf>
    <xf numFmtId="0" fontId="5" fillId="7" borderId="4" xfId="0" applyFont="1" applyFill="1" applyBorder="1" applyAlignment="1" applyProtection="1">
      <alignment horizontal="left" vertical="center"/>
    </xf>
    <xf numFmtId="0" fontId="5" fillId="7" borderId="6" xfId="0" applyFont="1" applyFill="1" applyBorder="1" applyAlignment="1" applyProtection="1">
      <alignment horizontal="left" vertical="center" wrapText="1"/>
    </xf>
    <xf numFmtId="0" fontId="5" fillId="7" borderId="6" xfId="0" applyFont="1" applyFill="1" applyBorder="1" applyAlignment="1" applyProtection="1">
      <alignment vertical="center" shrinkToFit="1"/>
    </xf>
    <xf numFmtId="0" fontId="5" fillId="7" borderId="6" xfId="0" applyFont="1" applyFill="1" applyBorder="1" applyAlignment="1">
      <alignment vertical="center" shrinkToFit="1"/>
    </xf>
    <xf numFmtId="0" fontId="5" fillId="7" borderId="3" xfId="0" applyFont="1" applyFill="1" applyBorder="1" applyAlignment="1" applyProtection="1">
      <alignment horizontal="left" vertical="center"/>
    </xf>
    <xf numFmtId="1" fontId="5" fillId="7" borderId="6" xfId="0" applyNumberFormat="1" applyFont="1" applyFill="1" applyBorder="1" applyAlignment="1">
      <alignment vertical="center" shrinkToFit="1"/>
    </xf>
    <xf numFmtId="182" fontId="6" fillId="0" borderId="0" xfId="0" applyNumberFormat="1" applyFont="1" applyAlignment="1">
      <alignment vertical="center"/>
    </xf>
    <xf numFmtId="0" fontId="6" fillId="0" borderId="0" xfId="0" applyFont="1" applyAlignment="1">
      <alignment vertical="center"/>
    </xf>
    <xf numFmtId="0" fontId="6" fillId="0" borderId="0" xfId="0" applyFont="1" applyBorder="1" applyAlignment="1">
      <alignment horizontal="left" vertical="center"/>
    </xf>
    <xf numFmtId="0" fontId="12" fillId="0" borderId="0" xfId="1" applyFont="1" applyAlignment="1" applyProtection="1">
      <alignment horizontal="left" vertical="center"/>
    </xf>
    <xf numFmtId="0" fontId="5" fillId="0" borderId="0" xfId="0" quotePrefix="1" applyFont="1" applyAlignment="1" applyProtection="1">
      <alignment horizontal="left"/>
      <protection locked="0"/>
    </xf>
    <xf numFmtId="182" fontId="5" fillId="0" borderId="0" xfId="0" quotePrefix="1" applyNumberFormat="1" applyFont="1" applyAlignment="1" applyProtection="1">
      <alignment horizontal="left"/>
      <protection locked="0"/>
    </xf>
    <xf numFmtId="57" fontId="5" fillId="0" borderId="0" xfId="0" quotePrefix="1" applyNumberFormat="1" applyFont="1" applyAlignment="1" applyProtection="1">
      <alignment horizontal="left" vertical="center"/>
      <protection locked="0"/>
    </xf>
    <xf numFmtId="0" fontId="5" fillId="0" borderId="0" xfId="0" quotePrefix="1" applyFont="1" applyAlignment="1" applyProtection="1">
      <alignment horizontal="left" vertical="center"/>
      <protection locked="0"/>
    </xf>
    <xf numFmtId="0" fontId="6" fillId="0" borderId="0" xfId="0" quotePrefix="1" applyFont="1" applyAlignment="1" applyProtection="1">
      <alignment horizontal="left" vertical="center"/>
      <protection locked="0"/>
    </xf>
    <xf numFmtId="0" fontId="13" fillId="0" borderId="0" xfId="1" applyFont="1" applyAlignment="1" applyProtection="1">
      <alignment horizontal="left" vertical="center"/>
    </xf>
    <xf numFmtId="0" fontId="13" fillId="0" borderId="0" xfId="1" applyFont="1" applyAlignment="1" applyProtection="1">
      <alignment vertical="center"/>
    </xf>
    <xf numFmtId="0" fontId="5" fillId="0" borderId="0" xfId="0" applyFont="1" applyFill="1" applyAlignment="1">
      <alignment vertical="center"/>
    </xf>
    <xf numFmtId="0" fontId="13" fillId="0" borderId="0" xfId="1" applyFont="1" applyBorder="1" applyAlignment="1" applyProtection="1">
      <alignment horizontal="left" vertical="center"/>
    </xf>
    <xf numFmtId="0" fontId="6" fillId="2" borderId="6" xfId="0" applyFont="1" applyFill="1" applyBorder="1" applyAlignment="1" applyProtection="1">
      <alignment horizontal="right" vertical="center"/>
    </xf>
    <xf numFmtId="187" fontId="6" fillId="2" borderId="6" xfId="0" quotePrefix="1" applyNumberFormat="1" applyFont="1" applyFill="1" applyBorder="1" applyAlignment="1" applyProtection="1">
      <alignment horizontal="right" vertical="center"/>
    </xf>
    <xf numFmtId="0" fontId="6" fillId="0" borderId="6" xfId="0" applyFont="1" applyBorder="1" applyAlignment="1" applyProtection="1">
      <alignment horizontal="right" vertical="center"/>
    </xf>
    <xf numFmtId="187" fontId="6" fillId="0" borderId="6" xfId="0" quotePrefix="1" applyNumberFormat="1" applyFont="1" applyFill="1" applyBorder="1" applyAlignment="1" applyProtection="1">
      <alignment horizontal="right" vertical="center"/>
    </xf>
    <xf numFmtId="182" fontId="5" fillId="0" borderId="0" xfId="0" applyNumberFormat="1" applyFont="1" applyAlignment="1">
      <alignment vertical="center"/>
    </xf>
    <xf numFmtId="0" fontId="5" fillId="7" borderId="4" xfId="0" applyFont="1" applyFill="1" applyBorder="1" applyAlignment="1">
      <alignment vertical="center"/>
    </xf>
    <xf numFmtId="0" fontId="15" fillId="0" borderId="0" xfId="0" applyFont="1" applyFill="1" applyAlignment="1">
      <alignment vertical="center"/>
    </xf>
    <xf numFmtId="0" fontId="5" fillId="2" borderId="4" xfId="0" applyFont="1" applyFill="1" applyBorder="1" applyAlignment="1" applyProtection="1">
      <alignment horizontal="center" vertical="center" shrinkToFit="1"/>
    </xf>
    <xf numFmtId="187" fontId="5" fillId="2" borderId="4" xfId="0" quotePrefix="1" applyNumberFormat="1" applyFont="1" applyFill="1" applyBorder="1" applyAlignment="1" applyProtection="1">
      <alignment horizontal="center" vertical="center" shrinkToFit="1"/>
    </xf>
    <xf numFmtId="0" fontId="5" fillId="2" borderId="25" xfId="0" applyFont="1" applyFill="1" applyBorder="1" applyAlignment="1" applyProtection="1">
      <alignment horizontal="right" vertical="center"/>
    </xf>
    <xf numFmtId="0" fontId="5" fillId="2" borderId="19" xfId="0" applyFont="1" applyFill="1" applyBorder="1" applyAlignment="1" applyProtection="1">
      <alignment horizontal="right" vertical="center"/>
    </xf>
    <xf numFmtId="0" fontId="5" fillId="2" borderId="19" xfId="0" quotePrefix="1" applyFont="1" applyFill="1" applyBorder="1" applyAlignment="1" applyProtection="1">
      <alignment horizontal="right" vertical="center"/>
    </xf>
    <xf numFmtId="187" fontId="5" fillId="2" borderId="19" xfId="0" applyNumberFormat="1" applyFont="1" applyFill="1" applyBorder="1" applyAlignment="1" applyProtection="1">
      <alignment horizontal="right" vertical="center"/>
    </xf>
    <xf numFmtId="2" fontId="5" fillId="0" borderId="26" xfId="0" applyNumberFormat="1" applyFont="1" applyFill="1" applyBorder="1" applyAlignment="1" applyProtection="1">
      <alignment vertical="center" shrinkToFit="1"/>
    </xf>
    <xf numFmtId="1" fontId="5" fillId="0" borderId="16" xfId="0" applyNumberFormat="1" applyFont="1" applyFill="1" applyBorder="1" applyAlignment="1" applyProtection="1">
      <alignment vertical="center" shrinkToFit="1"/>
    </xf>
    <xf numFmtId="192" fontId="5" fillId="0" borderId="16" xfId="0" applyNumberFormat="1" applyFont="1" applyFill="1" applyBorder="1" applyAlignment="1" applyProtection="1">
      <alignment vertical="center" shrinkToFit="1"/>
    </xf>
    <xf numFmtId="192" fontId="6" fillId="0" borderId="26" xfId="0" applyNumberFormat="1" applyFont="1" applyFill="1" applyBorder="1" applyAlignment="1" applyProtection="1">
      <alignment horizontal="center" vertical="center" shrinkToFit="1"/>
    </xf>
    <xf numFmtId="179" fontId="5" fillId="0" borderId="16" xfId="0" applyNumberFormat="1" applyFont="1" applyFill="1" applyBorder="1" applyAlignment="1" applyProtection="1">
      <alignment vertical="center" shrinkToFit="1"/>
    </xf>
    <xf numFmtId="192" fontId="6" fillId="0" borderId="16" xfId="0" applyNumberFormat="1" applyFont="1" applyFill="1" applyBorder="1" applyAlignment="1" applyProtection="1">
      <alignment horizontal="center" vertical="center" shrinkToFit="1"/>
    </xf>
    <xf numFmtId="2" fontId="5" fillId="0" borderId="16" xfId="0" applyNumberFormat="1" applyFont="1" applyFill="1" applyBorder="1" applyAlignment="1" applyProtection="1">
      <alignment horizontal="center" vertical="center" shrinkToFit="1"/>
    </xf>
    <xf numFmtId="2" fontId="5" fillId="0" borderId="26" xfId="0" applyNumberFormat="1" applyFont="1" applyFill="1" applyBorder="1" applyAlignment="1" applyProtection="1">
      <alignment horizontal="center" vertical="center" shrinkToFit="1"/>
    </xf>
    <xf numFmtId="192" fontId="5" fillId="0" borderId="16" xfId="0" applyNumberFormat="1" applyFont="1" applyFill="1" applyBorder="1" applyAlignment="1" applyProtection="1">
      <alignment horizontal="right" vertical="center" shrinkToFit="1"/>
    </xf>
    <xf numFmtId="0" fontId="5" fillId="0" borderId="26" xfId="0" applyNumberFormat="1" applyFont="1" applyFill="1" applyBorder="1" applyAlignment="1" applyProtection="1">
      <alignment vertical="center" shrinkToFit="1"/>
    </xf>
    <xf numFmtId="0" fontId="5" fillId="3" borderId="27" xfId="0" applyNumberFormat="1" applyFont="1" applyFill="1" applyBorder="1" applyAlignment="1" applyProtection="1">
      <alignment horizontal="right" vertical="center" shrinkToFit="1"/>
    </xf>
    <xf numFmtId="0" fontId="5" fillId="3" borderId="28" xfId="0" applyNumberFormat="1" applyFont="1" applyFill="1" applyBorder="1" applyAlignment="1" applyProtection="1">
      <alignment horizontal="right" vertical="center" shrinkToFit="1"/>
    </xf>
    <xf numFmtId="0" fontId="5" fillId="2" borderId="25" xfId="0" applyFont="1" applyFill="1" applyBorder="1" applyAlignment="1" applyProtection="1">
      <alignment horizontal="left" vertical="center"/>
    </xf>
    <xf numFmtId="0" fontId="5" fillId="2" borderId="19" xfId="0" applyFont="1" applyFill="1" applyBorder="1" applyAlignment="1">
      <alignment vertical="center"/>
    </xf>
    <xf numFmtId="0" fontId="6" fillId="2" borderId="26" xfId="0" applyFont="1" applyFill="1" applyBorder="1" applyAlignment="1" applyProtection="1">
      <alignment horizontal="right" vertical="center"/>
    </xf>
    <xf numFmtId="0" fontId="6" fillId="2" borderId="16" xfId="0" applyFont="1" applyFill="1" applyBorder="1" applyAlignment="1" applyProtection="1">
      <alignment horizontal="right" vertical="center"/>
    </xf>
    <xf numFmtId="187" fontId="6" fillId="2" borderId="16" xfId="0" applyNumberFormat="1" applyFont="1" applyFill="1" applyBorder="1" applyAlignment="1" applyProtection="1">
      <alignment horizontal="right" vertical="center"/>
    </xf>
    <xf numFmtId="187" fontId="6" fillId="2" borderId="16" xfId="0" quotePrefix="1" applyNumberFormat="1" applyFont="1" applyFill="1" applyBorder="1" applyAlignment="1" applyProtection="1">
      <alignment horizontal="right" vertical="center"/>
    </xf>
    <xf numFmtId="181" fontId="5" fillId="0" borderId="16" xfId="0" applyNumberFormat="1" applyFont="1" applyFill="1" applyBorder="1" applyAlignment="1">
      <alignment vertical="center" shrinkToFit="1"/>
    </xf>
    <xf numFmtId="179" fontId="5" fillId="2" borderId="19" xfId="0" applyNumberFormat="1" applyFont="1" applyFill="1" applyBorder="1" applyAlignment="1" applyProtection="1">
      <alignment horizontal="right" vertical="center"/>
    </xf>
    <xf numFmtId="187" fontId="5" fillId="2" borderId="19" xfId="0" quotePrefix="1" applyNumberFormat="1" applyFont="1" applyFill="1" applyBorder="1" applyAlignment="1" applyProtection="1">
      <alignment horizontal="right" vertical="center"/>
    </xf>
    <xf numFmtId="192" fontId="5" fillId="0" borderId="16" xfId="0" applyNumberFormat="1" applyFont="1" applyFill="1" applyBorder="1" applyAlignment="1">
      <alignment vertical="center" shrinkToFit="1"/>
    </xf>
    <xf numFmtId="190" fontId="6" fillId="0" borderId="16" xfId="0" applyNumberFormat="1" applyFont="1" applyFill="1" applyBorder="1" applyAlignment="1">
      <alignment vertical="center" shrinkToFit="1"/>
    </xf>
    <xf numFmtId="181" fontId="5" fillId="0" borderId="16" xfId="0" applyNumberFormat="1" applyFont="1" applyFill="1" applyBorder="1" applyAlignment="1">
      <alignment horizontal="center" vertical="center" shrinkToFit="1"/>
    </xf>
    <xf numFmtId="192" fontId="5" fillId="0" borderId="16" xfId="0" applyNumberFormat="1" applyFont="1" applyFill="1" applyBorder="1" applyAlignment="1">
      <alignment horizontal="center" vertical="center" shrinkToFit="1"/>
    </xf>
    <xf numFmtId="0" fontId="5" fillId="2" borderId="25" xfId="0" applyNumberFormat="1" applyFont="1" applyFill="1" applyBorder="1" applyAlignment="1" applyProtection="1">
      <alignment horizontal="right" vertical="center"/>
    </xf>
    <xf numFmtId="0" fontId="5" fillId="7" borderId="16" xfId="0" applyFont="1" applyFill="1" applyBorder="1" applyAlignment="1" applyProtection="1">
      <alignment horizontal="left" vertical="center" wrapText="1"/>
    </xf>
    <xf numFmtId="0" fontId="5" fillId="0" borderId="16" xfId="0" applyFont="1" applyBorder="1" applyAlignment="1">
      <alignment vertical="center" shrinkToFit="1"/>
    </xf>
    <xf numFmtId="0" fontId="5" fillId="7" borderId="16" xfId="0" applyFont="1" applyFill="1" applyBorder="1" applyAlignment="1" applyProtection="1">
      <alignment vertical="center" shrinkToFit="1"/>
    </xf>
    <xf numFmtId="0" fontId="5" fillId="0" borderId="16" xfId="0" applyFont="1" applyBorder="1" applyAlignment="1" applyProtection="1">
      <alignment vertical="center" shrinkToFit="1"/>
    </xf>
    <xf numFmtId="0" fontId="5" fillId="7" borderId="16" xfId="0" applyFont="1" applyFill="1" applyBorder="1" applyAlignment="1">
      <alignment vertical="center" shrinkToFit="1"/>
    </xf>
    <xf numFmtId="179" fontId="5" fillId="2" borderId="19" xfId="0" applyNumberFormat="1" applyFont="1" applyFill="1" applyBorder="1" applyAlignment="1">
      <alignment vertical="center"/>
    </xf>
    <xf numFmtId="0" fontId="5" fillId="7" borderId="18" xfId="0" applyFont="1" applyFill="1" applyBorder="1" applyAlignment="1" applyProtection="1">
      <alignment horizontal="left" vertical="center" shrinkToFit="1"/>
    </xf>
    <xf numFmtId="0" fontId="5" fillId="7" borderId="19" xfId="0" applyFont="1" applyFill="1" applyBorder="1" applyAlignment="1" applyProtection="1">
      <alignment horizontal="left" vertical="center" shrinkToFit="1"/>
    </xf>
    <xf numFmtId="0" fontId="5" fillId="7" borderId="15" xfId="0" applyFont="1" applyFill="1" applyBorder="1" applyAlignment="1" applyProtection="1">
      <alignment horizontal="left" vertical="center" wrapText="1"/>
    </xf>
    <xf numFmtId="0" fontId="5" fillId="7" borderId="15" xfId="0" applyFont="1" applyFill="1" applyBorder="1" applyAlignment="1">
      <alignment vertical="center" shrinkToFit="1"/>
    </xf>
    <xf numFmtId="0" fontId="5" fillId="0" borderId="26" xfId="0" applyFont="1" applyBorder="1" applyAlignment="1">
      <alignment vertical="center" shrinkToFit="1"/>
    </xf>
    <xf numFmtId="0" fontId="6" fillId="2" borderId="25" xfId="0" applyFont="1" applyFill="1" applyBorder="1" applyAlignment="1" applyProtection="1">
      <alignment horizontal="right" vertical="center"/>
    </xf>
    <xf numFmtId="0" fontId="6" fillId="2" borderId="19" xfId="0" applyFont="1" applyFill="1" applyBorder="1" applyAlignment="1" applyProtection="1">
      <alignment horizontal="right" vertical="center"/>
    </xf>
    <xf numFmtId="0" fontId="6" fillId="0" borderId="18" xfId="0" applyFont="1" applyBorder="1" applyAlignment="1" applyProtection="1">
      <alignment horizontal="right" vertical="center"/>
    </xf>
    <xf numFmtId="0" fontId="6" fillId="0" borderId="19" xfId="0" applyFont="1" applyBorder="1" applyAlignment="1" applyProtection="1">
      <alignment horizontal="right" vertical="center"/>
    </xf>
    <xf numFmtId="0" fontId="5" fillId="0" borderId="15" xfId="0" applyFont="1" applyBorder="1" applyAlignment="1">
      <alignment vertical="center" shrinkToFit="1"/>
    </xf>
    <xf numFmtId="0" fontId="5" fillId="0" borderId="15" xfId="0" applyFont="1" applyBorder="1" applyAlignment="1" applyProtection="1">
      <alignment horizontal="right" vertical="center" shrinkToFit="1"/>
    </xf>
    <xf numFmtId="0" fontId="6" fillId="0" borderId="25" xfId="0" applyFont="1" applyBorder="1" applyAlignment="1" applyProtection="1">
      <alignment horizontal="right" vertical="center"/>
    </xf>
    <xf numFmtId="187" fontId="6" fillId="0" borderId="19" xfId="0" applyNumberFormat="1" applyFont="1" applyFill="1" applyBorder="1" applyAlignment="1" applyProtection="1">
      <alignment horizontal="right" vertical="center"/>
    </xf>
    <xf numFmtId="0" fontId="5" fillId="0" borderId="26" xfId="0" applyFont="1" applyBorder="1" applyAlignment="1" applyProtection="1">
      <alignment vertical="center" shrinkToFit="1"/>
    </xf>
    <xf numFmtId="0" fontId="5" fillId="3" borderId="29" xfId="0" applyNumberFormat="1" applyFont="1" applyFill="1" applyBorder="1" applyAlignment="1" applyProtection="1">
      <alignment horizontal="right" vertical="center" shrinkToFit="1"/>
    </xf>
    <xf numFmtId="0" fontId="5" fillId="2" borderId="5" xfId="0" applyFont="1" applyFill="1" applyBorder="1" applyAlignment="1" applyProtection="1">
      <alignment horizontal="left" vertical="center" shrinkToFit="1"/>
    </xf>
    <xf numFmtId="180" fontId="5" fillId="3" borderId="30" xfId="0" applyNumberFormat="1" applyFont="1" applyFill="1" applyBorder="1" applyAlignment="1">
      <alignment horizontal="right" vertical="center"/>
    </xf>
    <xf numFmtId="57" fontId="5" fillId="2" borderId="10" xfId="0" applyNumberFormat="1" applyFont="1" applyFill="1" applyBorder="1" applyAlignment="1">
      <alignment horizontal="left" vertical="center" shrinkToFit="1"/>
    </xf>
    <xf numFmtId="2" fontId="5" fillId="0" borderId="31" xfId="0" applyNumberFormat="1" applyFont="1" applyFill="1" applyBorder="1" applyAlignment="1" applyProtection="1">
      <alignment vertical="center" shrinkToFit="1"/>
    </xf>
    <xf numFmtId="1" fontId="5" fillId="0" borderId="32" xfId="0" applyNumberFormat="1" applyFont="1" applyFill="1" applyBorder="1" applyAlignment="1" applyProtection="1">
      <alignment vertical="center" shrinkToFit="1"/>
    </xf>
    <xf numFmtId="192" fontId="5" fillId="0" borderId="32" xfId="0" applyNumberFormat="1" applyFont="1" applyFill="1" applyBorder="1" applyAlignment="1" applyProtection="1">
      <alignment vertical="center" shrinkToFit="1"/>
    </xf>
    <xf numFmtId="187" fontId="5" fillId="0" borderId="32" xfId="0" applyNumberFormat="1" applyFont="1" applyFill="1" applyBorder="1" applyAlignment="1">
      <alignment vertical="center" shrinkToFit="1"/>
    </xf>
    <xf numFmtId="181" fontId="5" fillId="0" borderId="12" xfId="0" applyNumberFormat="1" applyFont="1" applyFill="1" applyBorder="1" applyAlignment="1">
      <alignment vertical="center" shrinkToFit="1"/>
    </xf>
    <xf numFmtId="192" fontId="5" fillId="0" borderId="12" xfId="0" applyNumberFormat="1" applyFont="1" applyFill="1" applyBorder="1" applyAlignment="1" applyProtection="1">
      <alignment vertical="center" shrinkToFit="1"/>
    </xf>
    <xf numFmtId="179" fontId="5" fillId="0" borderId="32" xfId="0" applyNumberFormat="1" applyFont="1" applyFill="1" applyBorder="1" applyAlignment="1">
      <alignment vertical="center" shrinkToFit="1"/>
    </xf>
    <xf numFmtId="192" fontId="5" fillId="0" borderId="32" xfId="0" applyNumberFormat="1" applyFont="1" applyFill="1" applyBorder="1" applyAlignment="1">
      <alignment vertical="center" shrinkToFit="1"/>
    </xf>
    <xf numFmtId="190" fontId="6" fillId="0" borderId="32" xfId="0" applyNumberFormat="1" applyFont="1" applyFill="1" applyBorder="1" applyAlignment="1">
      <alignment vertical="center" shrinkToFit="1"/>
    </xf>
    <xf numFmtId="181" fontId="5" fillId="0" borderId="32" xfId="0" applyNumberFormat="1" applyFont="1" applyFill="1" applyBorder="1" applyAlignment="1">
      <alignment vertical="center" shrinkToFit="1"/>
    </xf>
    <xf numFmtId="190" fontId="6" fillId="0" borderId="12" xfId="0" applyNumberFormat="1" applyFont="1" applyFill="1" applyBorder="1" applyAlignment="1">
      <alignment vertical="center" shrinkToFit="1"/>
    </xf>
    <xf numFmtId="0" fontId="5" fillId="0" borderId="31" xfId="0" applyNumberFormat="1" applyFont="1" applyFill="1" applyBorder="1" applyAlignment="1" applyProtection="1">
      <alignment vertical="center" shrinkToFit="1"/>
    </xf>
    <xf numFmtId="0" fontId="5" fillId="0" borderId="31" xfId="0" applyNumberFormat="1" applyFont="1" applyFill="1" applyBorder="1" applyAlignment="1">
      <alignment vertical="center" shrinkToFit="1"/>
    </xf>
    <xf numFmtId="57" fontId="5" fillId="2" borderId="33" xfId="0" applyNumberFormat="1" applyFont="1" applyFill="1" applyBorder="1" applyAlignment="1" applyProtection="1">
      <alignment horizontal="left" vertical="center" shrinkToFit="1"/>
    </xf>
    <xf numFmtId="182" fontId="5" fillId="0" borderId="34" xfId="0" applyNumberFormat="1" applyFont="1" applyFill="1" applyBorder="1" applyAlignment="1" applyProtection="1">
      <alignment vertical="center" shrinkToFit="1"/>
    </xf>
    <xf numFmtId="1" fontId="5" fillId="0" borderId="8" xfId="0" applyNumberFormat="1" applyFont="1" applyFill="1" applyBorder="1" applyAlignment="1" applyProtection="1">
      <alignment vertical="center" shrinkToFit="1"/>
    </xf>
    <xf numFmtId="192" fontId="5" fillId="0" borderId="8" xfId="0" applyNumberFormat="1" applyFont="1" applyFill="1" applyBorder="1" applyAlignment="1" applyProtection="1">
      <alignment vertical="center" shrinkToFit="1"/>
    </xf>
    <xf numFmtId="187" fontId="5" fillId="0" borderId="8" xfId="0" applyNumberFormat="1" applyFont="1" applyFill="1" applyBorder="1" applyAlignment="1" applyProtection="1">
      <alignment vertical="center" shrinkToFit="1"/>
    </xf>
    <xf numFmtId="2" fontId="5" fillId="0" borderId="8" xfId="0" applyNumberFormat="1" applyFont="1" applyFill="1" applyBorder="1" applyAlignment="1" applyProtection="1">
      <alignment vertical="center" shrinkToFit="1"/>
    </xf>
    <xf numFmtId="192" fontId="5" fillId="0" borderId="36" xfId="0" applyNumberFormat="1" applyFont="1" applyFill="1" applyBorder="1" applyAlignment="1" applyProtection="1">
      <alignment vertical="center" shrinkToFit="1"/>
    </xf>
    <xf numFmtId="57" fontId="5" fillId="2" borderId="33" xfId="0" applyNumberFormat="1" applyFont="1" applyFill="1" applyBorder="1" applyAlignment="1">
      <alignment horizontal="left" vertical="center" shrinkToFit="1"/>
    </xf>
    <xf numFmtId="2" fontId="5" fillId="0" borderId="34" xfId="0" applyNumberFormat="1" applyFont="1" applyFill="1" applyBorder="1" applyAlignment="1" applyProtection="1">
      <alignment vertical="center" shrinkToFit="1"/>
    </xf>
    <xf numFmtId="179" fontId="5" fillId="0" borderId="8" xfId="0" applyNumberFormat="1" applyFont="1" applyFill="1" applyBorder="1" applyAlignment="1" applyProtection="1">
      <alignment vertical="center" shrinkToFit="1"/>
    </xf>
    <xf numFmtId="190" fontId="6" fillId="0" borderId="8" xfId="0" applyNumberFormat="1" applyFont="1" applyFill="1" applyBorder="1" applyAlignment="1" applyProtection="1">
      <alignment vertical="center" shrinkToFit="1"/>
    </xf>
    <xf numFmtId="181" fontId="5" fillId="0" borderId="8" xfId="0" applyNumberFormat="1" applyFont="1" applyFill="1" applyBorder="1" applyAlignment="1" applyProtection="1">
      <alignment vertical="center" shrinkToFit="1"/>
    </xf>
    <xf numFmtId="190" fontId="6" fillId="0" borderId="36" xfId="0" applyNumberFormat="1" applyFont="1" applyFill="1" applyBorder="1" applyAlignment="1" applyProtection="1">
      <alignment vertical="center" shrinkToFit="1"/>
    </xf>
    <xf numFmtId="0" fontId="5" fillId="0" borderId="34" xfId="0" applyNumberFormat="1" applyFont="1" applyFill="1" applyBorder="1" applyAlignment="1" applyProtection="1">
      <alignment vertical="center" shrinkToFit="1"/>
    </xf>
    <xf numFmtId="57" fontId="5" fillId="2" borderId="36" xfId="0" applyNumberFormat="1" applyFont="1" applyFill="1" applyBorder="1" applyAlignment="1">
      <alignment horizontal="left" vertical="center" shrinkToFit="1"/>
    </xf>
    <xf numFmtId="0" fontId="5" fillId="0" borderId="34" xfId="0" applyNumberFormat="1" applyFont="1" applyFill="1" applyBorder="1" applyAlignment="1">
      <alignment vertical="center" shrinkToFit="1"/>
    </xf>
    <xf numFmtId="179" fontId="5" fillId="0" borderId="8" xfId="0" applyNumberFormat="1" applyFont="1" applyFill="1" applyBorder="1" applyAlignment="1">
      <alignment vertical="center" shrinkToFit="1"/>
    </xf>
    <xf numFmtId="192" fontId="5" fillId="0" borderId="8" xfId="0" applyNumberFormat="1" applyFont="1" applyFill="1" applyBorder="1" applyAlignment="1">
      <alignment vertical="center" shrinkToFit="1"/>
    </xf>
    <xf numFmtId="192" fontId="5" fillId="0" borderId="36" xfId="0" applyNumberFormat="1" applyFont="1" applyFill="1" applyBorder="1" applyAlignment="1">
      <alignment vertical="center" shrinkToFit="1"/>
    </xf>
    <xf numFmtId="0" fontId="5" fillId="0" borderId="34" xfId="0" applyNumberFormat="1" applyFont="1" applyFill="1" applyBorder="1" applyAlignment="1" applyProtection="1">
      <alignment horizontal="right" vertical="center" shrinkToFit="1"/>
    </xf>
    <xf numFmtId="186" fontId="5" fillId="9" borderId="8" xfId="0" applyNumberFormat="1" applyFont="1" applyFill="1" applyBorder="1" applyAlignment="1" applyProtection="1">
      <alignment horizontal="center" vertical="center" shrinkToFit="1"/>
    </xf>
    <xf numFmtId="183" fontId="5" fillId="0" borderId="34" xfId="0" applyNumberFormat="1" applyFont="1" applyFill="1" applyBorder="1" applyAlignment="1" applyProtection="1">
      <alignment vertical="center" shrinkToFit="1"/>
    </xf>
    <xf numFmtId="192" fontId="6" fillId="0" borderId="8" xfId="0" applyNumberFormat="1" applyFont="1" applyFill="1" applyBorder="1" applyAlignment="1" applyProtection="1">
      <alignment horizontal="center" vertical="center" shrinkToFit="1"/>
    </xf>
    <xf numFmtId="192" fontId="6" fillId="0" borderId="34" xfId="0" applyNumberFormat="1" applyFont="1" applyFill="1" applyBorder="1" applyAlignment="1" applyProtection="1">
      <alignment horizontal="center" vertical="center" shrinkToFit="1"/>
    </xf>
    <xf numFmtId="190" fontId="6" fillId="0" borderId="8" xfId="0" applyNumberFormat="1" applyFont="1" applyFill="1" applyBorder="1" applyAlignment="1" applyProtection="1">
      <alignment horizontal="center" vertical="center" shrinkToFit="1"/>
    </xf>
    <xf numFmtId="181" fontId="5" fillId="0" borderId="8" xfId="0" applyNumberFormat="1" applyFont="1" applyFill="1" applyBorder="1" applyAlignment="1" applyProtection="1">
      <alignment horizontal="center" vertical="center" shrinkToFit="1"/>
    </xf>
    <xf numFmtId="190" fontId="6" fillId="0" borderId="36" xfId="0" applyNumberFormat="1" applyFont="1" applyFill="1" applyBorder="1" applyAlignment="1" applyProtection="1">
      <alignment horizontal="center" vertical="center" shrinkToFit="1"/>
    </xf>
    <xf numFmtId="179" fontId="5" fillId="0" borderId="34" xfId="0" applyNumberFormat="1" applyFont="1" applyFill="1" applyBorder="1" applyAlignment="1" applyProtection="1">
      <alignment vertical="center" shrinkToFit="1"/>
    </xf>
    <xf numFmtId="192" fontId="6" fillId="0" borderId="36" xfId="0" applyNumberFormat="1" applyFont="1" applyFill="1" applyBorder="1" applyAlignment="1" applyProtection="1">
      <alignment horizontal="center" vertical="center" shrinkToFit="1"/>
    </xf>
    <xf numFmtId="186" fontId="5" fillId="9" borderId="34" xfId="0" applyNumberFormat="1" applyFont="1" applyFill="1" applyBorder="1" applyAlignment="1" applyProtection="1">
      <alignment vertical="center" shrinkToFit="1"/>
    </xf>
    <xf numFmtId="186" fontId="5" fillId="0" borderId="34" xfId="0" applyNumberFormat="1" applyFont="1" applyFill="1" applyBorder="1" applyAlignment="1" applyProtection="1">
      <alignment vertical="center" shrinkToFit="1"/>
    </xf>
    <xf numFmtId="2" fontId="5" fillId="0" borderId="34" xfId="0" applyNumberFormat="1" applyFont="1" applyFill="1" applyBorder="1" applyAlignment="1" applyProtection="1">
      <alignment horizontal="center" vertical="center" shrinkToFit="1"/>
    </xf>
    <xf numFmtId="190" fontId="6" fillId="0" borderId="8" xfId="0" applyNumberFormat="1" applyFont="1" applyFill="1" applyBorder="1" applyAlignment="1">
      <alignment horizontal="center" vertical="center" shrinkToFit="1"/>
    </xf>
    <xf numFmtId="181" fontId="5" fillId="0" borderId="8" xfId="0" applyNumberFormat="1" applyFont="1" applyFill="1" applyBorder="1" applyAlignment="1">
      <alignment horizontal="center" vertical="center" shrinkToFit="1"/>
    </xf>
    <xf numFmtId="190" fontId="6" fillId="0" borderId="36" xfId="0" applyNumberFormat="1" applyFont="1" applyFill="1" applyBorder="1" applyAlignment="1">
      <alignment horizontal="center" vertical="center" shrinkToFit="1"/>
    </xf>
    <xf numFmtId="186" fontId="5" fillId="0" borderId="34" xfId="0" applyNumberFormat="1" applyFont="1" applyFill="1" applyBorder="1" applyAlignment="1" applyProtection="1">
      <alignment horizontal="center" vertical="center" shrinkToFit="1"/>
    </xf>
    <xf numFmtId="0" fontId="5" fillId="0" borderId="8" xfId="0" applyNumberFormat="1" applyFont="1" applyFill="1" applyBorder="1" applyAlignment="1" applyProtection="1">
      <alignment horizontal="center" vertical="center" shrinkToFit="1"/>
    </xf>
    <xf numFmtId="187" fontId="5" fillId="0" borderId="8" xfId="0" applyNumberFormat="1" applyFont="1" applyFill="1" applyBorder="1" applyAlignment="1">
      <alignment vertical="center" shrinkToFit="1"/>
    </xf>
    <xf numFmtId="181" fontId="5" fillId="0" borderId="36" xfId="0" applyNumberFormat="1" applyFont="1" applyFill="1" applyBorder="1" applyAlignment="1">
      <alignment vertical="center" shrinkToFit="1"/>
    </xf>
    <xf numFmtId="190" fontId="6" fillId="0" borderId="8" xfId="0" applyNumberFormat="1" applyFont="1" applyFill="1" applyBorder="1" applyAlignment="1">
      <alignment vertical="center" shrinkToFit="1"/>
    </xf>
    <xf numFmtId="181" fontId="5" fillId="0" borderId="8" xfId="0" applyNumberFormat="1" applyFont="1" applyFill="1" applyBorder="1" applyAlignment="1">
      <alignment vertical="center" shrinkToFit="1"/>
    </xf>
    <xf numFmtId="190" fontId="6" fillId="0" borderId="36" xfId="0" applyNumberFormat="1" applyFont="1" applyFill="1" applyBorder="1" applyAlignment="1">
      <alignment vertical="center" shrinkToFit="1"/>
    </xf>
    <xf numFmtId="2" fontId="5" fillId="0" borderId="34" xfId="0" applyNumberFormat="1" applyFont="1" applyFill="1" applyBorder="1" applyAlignment="1">
      <alignment vertical="center" shrinkToFit="1"/>
    </xf>
    <xf numFmtId="187" fontId="5" fillId="0" borderId="8" xfId="0" applyNumberFormat="1" applyFont="1" applyFill="1" applyBorder="1" applyAlignment="1" applyProtection="1">
      <alignment horizontal="center" vertical="center" shrinkToFit="1"/>
    </xf>
    <xf numFmtId="2" fontId="5" fillId="0" borderId="8" xfId="0" applyNumberFormat="1" applyFont="1" applyFill="1" applyBorder="1" applyAlignment="1" applyProtection="1">
      <alignment horizontal="center" vertical="center" shrinkToFit="1"/>
    </xf>
    <xf numFmtId="0" fontId="5" fillId="0" borderId="34" xfId="0" applyNumberFormat="1" applyFont="1" applyFill="1" applyBorder="1" applyAlignment="1">
      <alignment horizontal="center" vertical="center" shrinkToFit="1"/>
    </xf>
    <xf numFmtId="2" fontId="5" fillId="0" borderId="34" xfId="0" applyNumberFormat="1" applyFont="1" applyFill="1" applyBorder="1" applyAlignment="1">
      <alignment horizontal="center" vertical="center" shrinkToFit="1"/>
    </xf>
    <xf numFmtId="192" fontId="5" fillId="0" borderId="8" xfId="0" applyNumberFormat="1" applyFont="1" applyFill="1" applyBorder="1" applyAlignment="1" applyProtection="1">
      <alignment horizontal="right" vertical="center" shrinkToFit="1"/>
    </xf>
    <xf numFmtId="190" fontId="5" fillId="0" borderId="8" xfId="0" applyNumberFormat="1" applyFont="1" applyFill="1" applyBorder="1" applyAlignment="1" applyProtection="1">
      <alignment horizontal="center" vertical="center" shrinkToFit="1"/>
    </xf>
    <xf numFmtId="186" fontId="5" fillId="9" borderId="8" xfId="0" applyNumberFormat="1" applyFont="1" applyFill="1" applyBorder="1" applyAlignment="1" applyProtection="1">
      <alignment vertical="center" shrinkToFit="1"/>
    </xf>
    <xf numFmtId="2" fontId="5" fillId="0" borderId="38" xfId="0" applyNumberFormat="1" applyFont="1" applyFill="1" applyBorder="1" applyAlignment="1" applyProtection="1">
      <alignment horizontal="center" vertical="center" shrinkToFit="1"/>
    </xf>
    <xf numFmtId="57" fontId="5" fillId="7" borderId="33" xfId="0" applyNumberFormat="1" applyFont="1" applyFill="1" applyBorder="1" applyAlignment="1">
      <alignment horizontal="left" vertical="center" shrinkToFit="1"/>
    </xf>
    <xf numFmtId="0" fontId="5" fillId="0" borderId="38" xfId="0" applyFont="1" applyBorder="1" applyAlignment="1">
      <alignment vertical="center"/>
    </xf>
    <xf numFmtId="0" fontId="5" fillId="0" borderId="8" xfId="0" applyFont="1" applyBorder="1" applyAlignment="1">
      <alignment vertical="center"/>
    </xf>
    <xf numFmtId="192" fontId="5" fillId="0" borderId="8" xfId="0" applyNumberFormat="1" applyFont="1" applyBorder="1" applyAlignment="1">
      <alignment vertical="center"/>
    </xf>
    <xf numFmtId="179" fontId="5" fillId="0" borderId="8" xfId="0" applyNumberFormat="1" applyFont="1" applyFill="1" applyBorder="1" applyAlignment="1" applyProtection="1">
      <alignment horizontal="center" vertical="center" shrinkToFit="1"/>
    </xf>
    <xf numFmtId="183" fontId="5" fillId="0" borderId="8" xfId="0" applyNumberFormat="1" applyFont="1" applyFill="1" applyBorder="1" applyAlignment="1" applyProtection="1">
      <alignment vertical="center" shrinkToFit="1"/>
    </xf>
    <xf numFmtId="178" fontId="6" fillId="0" borderId="38" xfId="0" applyNumberFormat="1" applyFont="1" applyFill="1" applyBorder="1" applyAlignment="1" applyProtection="1">
      <alignment horizontal="center" vertical="center" shrinkToFit="1"/>
    </xf>
    <xf numFmtId="2" fontId="6" fillId="0" borderId="8" xfId="0" applyNumberFormat="1" applyFont="1" applyFill="1" applyBorder="1" applyAlignment="1" applyProtection="1">
      <alignment horizontal="center" vertical="center" shrinkToFit="1"/>
    </xf>
    <xf numFmtId="178" fontId="5" fillId="0" borderId="34" xfId="0" applyNumberFormat="1" applyFont="1" applyFill="1" applyBorder="1" applyAlignment="1" applyProtection="1">
      <alignment horizontal="center" vertical="center" shrinkToFit="1"/>
    </xf>
    <xf numFmtId="2" fontId="6" fillId="0" borderId="38" xfId="0" applyNumberFormat="1" applyFont="1" applyFill="1" applyBorder="1" applyAlignment="1" applyProtection="1">
      <alignment horizontal="center" vertical="center" shrinkToFit="1"/>
    </xf>
    <xf numFmtId="179" fontId="5" fillId="0" borderId="34" xfId="0" applyNumberFormat="1" applyFont="1" applyFill="1" applyBorder="1" applyAlignment="1">
      <alignment vertical="center" shrinkToFit="1"/>
    </xf>
    <xf numFmtId="57" fontId="3" fillId="0" borderId="0" xfId="0" applyNumberFormat="1" applyFont="1" applyBorder="1" applyAlignment="1" applyProtection="1">
      <alignment horizontal="left" vertical="center"/>
    </xf>
    <xf numFmtId="0" fontId="5" fillId="0" borderId="40" xfId="0" applyFont="1" applyBorder="1" applyAlignment="1">
      <alignment vertical="center"/>
    </xf>
    <xf numFmtId="0" fontId="5" fillId="0" borderId="40" xfId="0" applyNumberFormat="1" applyFont="1" applyBorder="1" applyAlignment="1" applyProtection="1">
      <alignment horizontal="left" vertical="center"/>
    </xf>
    <xf numFmtId="0" fontId="5" fillId="7" borderId="9" xfId="0" applyFont="1" applyFill="1" applyBorder="1" applyAlignment="1">
      <alignment vertical="center"/>
    </xf>
    <xf numFmtId="0" fontId="5" fillId="7" borderId="39" xfId="0" applyFont="1" applyFill="1" applyBorder="1" applyAlignment="1">
      <alignment vertical="center"/>
    </xf>
    <xf numFmtId="176" fontId="5" fillId="7" borderId="39" xfId="0" applyNumberFormat="1" applyFont="1" applyFill="1" applyBorder="1" applyAlignment="1" applyProtection="1">
      <alignment vertical="center"/>
    </xf>
    <xf numFmtId="0" fontId="5" fillId="7" borderId="41" xfId="0" applyFont="1" applyFill="1" applyBorder="1" applyAlignment="1">
      <alignment vertical="center"/>
    </xf>
    <xf numFmtId="187" fontId="5" fillId="7" borderId="18" xfId="0" applyNumberFormat="1" applyFont="1" applyFill="1" applyBorder="1" applyAlignment="1" applyProtection="1">
      <alignment horizontal="left" vertical="center" shrinkToFit="1"/>
    </xf>
    <xf numFmtId="187" fontId="5" fillId="7" borderId="2" xfId="0" quotePrefix="1" applyNumberFormat="1" applyFont="1" applyFill="1" applyBorder="1" applyAlignment="1" applyProtection="1">
      <alignment horizontal="left" vertical="center" shrinkToFit="1"/>
    </xf>
    <xf numFmtId="0" fontId="5" fillId="7" borderId="2" xfId="0" applyFont="1" applyFill="1" applyBorder="1" applyAlignment="1" applyProtection="1">
      <alignment horizontal="left" vertical="center" shrinkToFit="1"/>
    </xf>
    <xf numFmtId="0" fontId="5" fillId="7" borderId="18" xfId="0" applyFont="1" applyFill="1" applyBorder="1" applyAlignment="1" applyProtection="1">
      <alignment horizontal="left" vertical="center" wrapText="1"/>
    </xf>
    <xf numFmtId="0" fontId="5" fillId="7" borderId="2" xfId="0" applyFont="1" applyFill="1" applyBorder="1" applyAlignment="1" applyProtection="1">
      <alignment horizontal="left" vertical="center" wrapText="1"/>
    </xf>
    <xf numFmtId="0" fontId="5" fillId="7" borderId="19" xfId="0" applyFont="1" applyFill="1" applyBorder="1" applyAlignment="1" applyProtection="1">
      <alignment horizontal="left" vertical="center" wrapText="1"/>
    </xf>
    <xf numFmtId="0" fontId="5" fillId="7" borderId="42" xfId="0" applyFont="1" applyFill="1" applyBorder="1" applyAlignment="1" applyProtection="1">
      <alignment vertical="center" shrinkToFit="1"/>
    </xf>
    <xf numFmtId="0" fontId="5" fillId="7" borderId="12" xfId="0" applyFont="1" applyFill="1" applyBorder="1" applyAlignment="1" applyProtection="1">
      <alignment vertical="center" shrinkToFit="1"/>
    </xf>
    <xf numFmtId="0" fontId="5" fillId="7" borderId="32" xfId="0" applyFont="1" applyFill="1" applyBorder="1" applyAlignment="1" applyProtection="1">
      <alignment vertical="center" shrinkToFit="1"/>
    </xf>
    <xf numFmtId="0" fontId="5" fillId="7" borderId="38" xfId="0" applyFont="1" applyFill="1" applyBorder="1" applyAlignment="1" applyProtection="1">
      <alignment vertical="center" shrinkToFit="1"/>
    </xf>
    <xf numFmtId="1" fontId="5" fillId="7" borderId="36" xfId="0" applyNumberFormat="1" applyFont="1" applyFill="1" applyBorder="1" applyAlignment="1" applyProtection="1">
      <alignment vertical="center" shrinkToFit="1"/>
    </xf>
    <xf numFmtId="0" fontId="5" fillId="7" borderId="8" xfId="0" applyFont="1" applyFill="1" applyBorder="1" applyAlignment="1" applyProtection="1">
      <alignment vertical="center" shrinkToFit="1"/>
    </xf>
    <xf numFmtId="0" fontId="5" fillId="7" borderId="36" xfId="0" applyFont="1" applyFill="1" applyBorder="1" applyAlignment="1" applyProtection="1">
      <alignment vertical="center" shrinkToFit="1"/>
    </xf>
    <xf numFmtId="0" fontId="5" fillId="7" borderId="38" xfId="0" applyFont="1" applyFill="1" applyBorder="1" applyAlignment="1">
      <alignment vertical="center" shrinkToFit="1"/>
    </xf>
    <xf numFmtId="0" fontId="5" fillId="7" borderId="36" xfId="0" applyFont="1" applyFill="1" applyBorder="1" applyAlignment="1">
      <alignment vertical="center" shrinkToFit="1"/>
    </xf>
    <xf numFmtId="0" fontId="5" fillId="7" borderId="8" xfId="0" applyFont="1" applyFill="1" applyBorder="1" applyAlignment="1">
      <alignment vertical="center" shrinkToFit="1"/>
    </xf>
    <xf numFmtId="184" fontId="5" fillId="7" borderId="38" xfId="0" applyNumberFormat="1" applyFont="1" applyFill="1" applyBorder="1" applyAlignment="1">
      <alignment vertical="center" shrinkToFit="1"/>
    </xf>
    <xf numFmtId="2" fontId="5" fillId="7" borderId="36" xfId="0" applyNumberFormat="1" applyFont="1" applyFill="1" applyBorder="1" applyAlignment="1">
      <alignment vertical="center" shrinkToFit="1"/>
    </xf>
    <xf numFmtId="0" fontId="5" fillId="0" borderId="42" xfId="0" applyFont="1" applyBorder="1" applyAlignment="1">
      <alignment vertical="center"/>
    </xf>
    <xf numFmtId="0" fontId="5" fillId="0" borderId="32" xfId="0" applyFont="1" applyBorder="1" applyAlignment="1">
      <alignment vertical="center" shrinkToFit="1"/>
    </xf>
    <xf numFmtId="0" fontId="5" fillId="0" borderId="12" xfId="0" applyFont="1" applyBorder="1" applyAlignment="1">
      <alignment vertical="center" shrinkToFit="1"/>
    </xf>
    <xf numFmtId="0" fontId="5" fillId="0" borderId="31" xfId="0" applyFont="1" applyBorder="1" applyAlignment="1">
      <alignment vertical="center" shrinkToFit="1"/>
    </xf>
    <xf numFmtId="0" fontId="5" fillId="0" borderId="38" xfId="0" applyFont="1" applyBorder="1" applyAlignment="1" applyProtection="1">
      <alignment vertical="center"/>
    </xf>
    <xf numFmtId="0" fontId="5" fillId="0" borderId="8" xfId="0" applyFont="1" applyBorder="1" applyAlignment="1" applyProtection="1">
      <alignment vertical="center" shrinkToFit="1"/>
    </xf>
    <xf numFmtId="0" fontId="5" fillId="7" borderId="38" xfId="0" applyFont="1" applyFill="1" applyBorder="1" applyAlignment="1" applyProtection="1">
      <alignment horizontal="center" vertical="center" shrinkToFit="1"/>
    </xf>
    <xf numFmtId="0" fontId="5" fillId="0" borderId="8" xfId="0" applyFont="1" applyBorder="1" applyAlignment="1">
      <alignment vertical="center" shrinkToFit="1"/>
    </xf>
    <xf numFmtId="0" fontId="5" fillId="0" borderId="36" xfId="0" applyFont="1" applyBorder="1" applyAlignment="1">
      <alignment vertical="center" shrinkToFit="1"/>
    </xf>
    <xf numFmtId="0" fontId="5" fillId="0" borderId="34" xfId="0" applyFont="1" applyBorder="1" applyAlignment="1">
      <alignment vertical="center" shrinkToFit="1"/>
    </xf>
    <xf numFmtId="0" fontId="5" fillId="0" borderId="34" xfId="0" applyFont="1" applyBorder="1" applyAlignment="1">
      <alignment horizontal="center" vertical="center" shrinkToFit="1"/>
    </xf>
    <xf numFmtId="0" fontId="5" fillId="0" borderId="36" xfId="0" applyFont="1" applyBorder="1" applyAlignment="1">
      <alignment horizontal="center" vertical="center" shrinkToFit="1"/>
    </xf>
    <xf numFmtId="185" fontId="5" fillId="4" borderId="8" xfId="0" applyNumberFormat="1" applyFont="1" applyFill="1" applyBorder="1" applyAlignment="1">
      <alignment vertical="center" shrinkToFit="1"/>
    </xf>
    <xf numFmtId="0" fontId="5" fillId="0" borderId="36" xfId="0" applyFont="1" applyBorder="1" applyAlignment="1" applyProtection="1">
      <alignment vertical="center" shrinkToFit="1"/>
    </xf>
    <xf numFmtId="0" fontId="5" fillId="7" borderId="8" xfId="0" applyFont="1" applyFill="1" applyBorder="1" applyAlignment="1" applyProtection="1">
      <alignment horizontal="center" vertical="center" shrinkToFit="1"/>
    </xf>
    <xf numFmtId="181" fontId="5" fillId="0" borderId="36" xfId="0" applyNumberFormat="1" applyFont="1" applyFill="1" applyBorder="1" applyAlignment="1">
      <alignment horizontal="center" vertical="center" shrinkToFit="1"/>
    </xf>
    <xf numFmtId="184" fontId="5" fillId="7" borderId="8" xfId="0" applyNumberFormat="1" applyFont="1" applyFill="1" applyBorder="1" applyAlignment="1">
      <alignment vertical="center" shrinkToFit="1"/>
    </xf>
    <xf numFmtId="0" fontId="5" fillId="7" borderId="34" xfId="0" applyFont="1" applyFill="1" applyBorder="1" applyAlignment="1" applyProtection="1">
      <alignment vertical="center" shrinkToFit="1"/>
    </xf>
    <xf numFmtId="0" fontId="5" fillId="0" borderId="38" xfId="0" applyFont="1" applyBorder="1" applyAlignment="1" applyProtection="1">
      <alignment horizontal="right" vertical="center"/>
    </xf>
    <xf numFmtId="0" fontId="5" fillId="7" borderId="34" xfId="0" applyFont="1" applyFill="1" applyBorder="1" applyAlignment="1">
      <alignment vertical="center" shrinkToFit="1"/>
    </xf>
    <xf numFmtId="184" fontId="5" fillId="4" borderId="34" xfId="0" applyNumberFormat="1" applyFont="1" applyFill="1" applyBorder="1" applyAlignment="1">
      <alignment horizontal="center" vertical="center" shrinkToFit="1"/>
    </xf>
    <xf numFmtId="185" fontId="5" fillId="4" borderId="36" xfId="0" applyNumberFormat="1" applyFont="1" applyFill="1" applyBorder="1" applyAlignment="1" applyProtection="1">
      <alignment horizontal="right" vertical="center" shrinkToFit="1"/>
    </xf>
    <xf numFmtId="184" fontId="5" fillId="4" borderId="34" xfId="0" applyNumberFormat="1" applyFont="1" applyFill="1" applyBorder="1" applyAlignment="1">
      <alignment vertical="center" shrinkToFit="1"/>
    </xf>
    <xf numFmtId="185" fontId="5" fillId="4" borderId="36" xfId="0" applyNumberFormat="1" applyFont="1" applyFill="1" applyBorder="1" applyAlignment="1">
      <alignment horizontal="center" vertical="center" shrinkToFit="1"/>
    </xf>
    <xf numFmtId="184" fontId="5" fillId="7" borderId="8" xfId="0" applyNumberFormat="1" applyFont="1" applyFill="1" applyBorder="1" applyAlignment="1" applyProtection="1">
      <alignment horizontal="right" vertical="center" shrinkToFit="1"/>
    </xf>
    <xf numFmtId="184" fontId="5" fillId="7" borderId="34" xfId="0" applyNumberFormat="1" applyFont="1" applyFill="1" applyBorder="1" applyAlignment="1" applyProtection="1">
      <alignment vertical="center" shrinkToFit="1"/>
    </xf>
    <xf numFmtId="57" fontId="5" fillId="2" borderId="21" xfId="0" applyNumberFormat="1" applyFont="1" applyFill="1" applyBorder="1" applyAlignment="1">
      <alignment horizontal="left" vertical="center" shrinkToFit="1"/>
    </xf>
    <xf numFmtId="0" fontId="5" fillId="0" borderId="8" xfId="0" applyNumberFormat="1" applyFont="1" applyFill="1" applyBorder="1" applyAlignment="1" applyProtection="1">
      <alignment vertical="center" shrinkToFit="1"/>
    </xf>
    <xf numFmtId="179" fontId="5" fillId="0" borderId="36" xfId="0" applyNumberFormat="1" applyFont="1" applyFill="1" applyBorder="1" applyAlignment="1" applyProtection="1">
      <alignment horizontal="center" vertical="center" shrinkToFit="1"/>
    </xf>
    <xf numFmtId="186" fontId="5" fillId="0" borderId="8" xfId="0" applyNumberFormat="1" applyFont="1" applyFill="1" applyBorder="1" applyAlignment="1" applyProtection="1">
      <alignment vertical="center" shrinkToFit="1"/>
    </xf>
    <xf numFmtId="57" fontId="5" fillId="5" borderId="33" xfId="0" applyNumberFormat="1" applyFont="1" applyFill="1" applyBorder="1" applyAlignment="1">
      <alignment horizontal="left" vertical="center" shrinkToFit="1"/>
    </xf>
    <xf numFmtId="192" fontId="6" fillId="0" borderId="38" xfId="0" applyNumberFormat="1" applyFont="1" applyFill="1" applyBorder="1" applyAlignment="1" applyProtection="1">
      <alignment horizontal="center" vertical="center" shrinkToFit="1"/>
    </xf>
    <xf numFmtId="0" fontId="5" fillId="3" borderId="49" xfId="0" applyNumberFormat="1" applyFont="1" applyFill="1" applyBorder="1" applyAlignment="1" applyProtection="1">
      <alignment horizontal="right" vertical="center" shrinkToFit="1"/>
    </xf>
    <xf numFmtId="0" fontId="5" fillId="3" borderId="50" xfId="0" applyNumberFormat="1" applyFont="1" applyFill="1" applyBorder="1" applyAlignment="1" applyProtection="1">
      <alignment horizontal="right" vertical="center" shrinkToFit="1"/>
    </xf>
    <xf numFmtId="193" fontId="5" fillId="6" borderId="8" xfId="0" applyNumberFormat="1" applyFont="1" applyFill="1" applyBorder="1" applyAlignment="1" applyProtection="1">
      <alignment horizontal="right" vertical="center" shrinkToFit="1"/>
    </xf>
    <xf numFmtId="0" fontId="5" fillId="3" borderId="8" xfId="0" applyNumberFormat="1" applyFont="1" applyFill="1" applyBorder="1" applyAlignment="1" applyProtection="1">
      <alignment horizontal="right" vertical="center" shrinkToFit="1"/>
    </xf>
    <xf numFmtId="0" fontId="5" fillId="3" borderId="36" xfId="0" applyNumberFormat="1" applyFont="1" applyFill="1" applyBorder="1" applyAlignment="1" applyProtection="1">
      <alignment horizontal="right" vertical="center" shrinkToFit="1"/>
    </xf>
    <xf numFmtId="1" fontId="5" fillId="3" borderId="8" xfId="0" quotePrefix="1" applyNumberFormat="1" applyFont="1" applyFill="1" applyBorder="1" applyAlignment="1">
      <alignment horizontal="right" vertical="center" shrinkToFit="1"/>
    </xf>
    <xf numFmtId="1" fontId="5" fillId="3" borderId="36" xfId="0" quotePrefix="1" applyNumberFormat="1" applyFont="1" applyFill="1" applyBorder="1" applyAlignment="1">
      <alignment horizontal="right" vertical="center" shrinkToFit="1"/>
    </xf>
    <xf numFmtId="0" fontId="5" fillId="3" borderId="34" xfId="0" quotePrefix="1" applyNumberFormat="1" applyFont="1" applyFill="1" applyBorder="1" applyAlignment="1">
      <alignment horizontal="right" vertical="center" shrinkToFit="1"/>
    </xf>
    <xf numFmtId="0" fontId="5" fillId="3" borderId="8" xfId="0" quotePrefix="1" applyNumberFormat="1" applyFont="1" applyFill="1" applyBorder="1" applyAlignment="1">
      <alignment horizontal="right" vertical="center" shrinkToFit="1"/>
    </xf>
    <xf numFmtId="0" fontId="5" fillId="3" borderId="36" xfId="0" quotePrefix="1" applyNumberFormat="1" applyFont="1" applyFill="1" applyBorder="1" applyAlignment="1">
      <alignment horizontal="right" vertical="center" shrinkToFit="1"/>
    </xf>
    <xf numFmtId="180" fontId="5" fillId="3" borderId="52" xfId="0" applyNumberFormat="1" applyFont="1" applyFill="1" applyBorder="1" applyAlignment="1">
      <alignment horizontal="right" vertical="center"/>
    </xf>
    <xf numFmtId="193" fontId="5" fillId="3" borderId="48" xfId="0" applyNumberFormat="1" applyFont="1" applyFill="1" applyBorder="1" applyAlignment="1" applyProtection="1">
      <alignment horizontal="right" vertical="center" shrinkToFit="1"/>
    </xf>
    <xf numFmtId="193" fontId="5" fillId="3" borderId="49" xfId="0" applyNumberFormat="1" applyFont="1" applyFill="1" applyBorder="1" applyAlignment="1" applyProtection="1">
      <alignment horizontal="right" vertical="center" shrinkToFit="1"/>
    </xf>
    <xf numFmtId="193" fontId="5" fillId="3" borderId="50" xfId="0" applyNumberFormat="1" applyFont="1" applyFill="1" applyBorder="1" applyAlignment="1" applyProtection="1">
      <alignment horizontal="right" vertical="center" shrinkToFit="1"/>
    </xf>
    <xf numFmtId="180" fontId="5" fillId="6" borderId="33" xfId="0" applyNumberFormat="1" applyFont="1" applyFill="1" applyBorder="1" applyAlignment="1">
      <alignment horizontal="right" vertical="center"/>
    </xf>
    <xf numFmtId="192" fontId="5" fillId="6" borderId="34" xfId="0" applyNumberFormat="1" applyFont="1" applyFill="1" applyBorder="1" applyAlignment="1" applyProtection="1">
      <alignment horizontal="right" vertical="center" shrinkToFit="1"/>
    </xf>
    <xf numFmtId="192" fontId="5" fillId="6" borderId="8" xfId="0" applyNumberFormat="1" applyFont="1" applyFill="1" applyBorder="1" applyAlignment="1" applyProtection="1">
      <alignment horizontal="right" vertical="center" shrinkToFit="1"/>
    </xf>
    <xf numFmtId="180" fontId="5" fillId="3" borderId="33" xfId="0" applyNumberFormat="1" applyFont="1" applyFill="1" applyBorder="1" applyAlignment="1">
      <alignment horizontal="right" vertical="center"/>
    </xf>
    <xf numFmtId="193" fontId="5" fillId="3" borderId="34" xfId="0" applyNumberFormat="1" applyFont="1" applyFill="1" applyBorder="1" applyAlignment="1" applyProtection="1">
      <alignment horizontal="right" vertical="center" shrinkToFit="1"/>
    </xf>
    <xf numFmtId="1" fontId="5" fillId="3" borderId="8" xfId="0" applyNumberFormat="1" applyFont="1" applyFill="1" applyBorder="1" applyAlignment="1" applyProtection="1">
      <alignment horizontal="right" vertical="center" shrinkToFit="1"/>
    </xf>
    <xf numFmtId="193" fontId="5" fillId="3" borderId="8" xfId="0" applyNumberFormat="1" applyFont="1" applyFill="1" applyBorder="1" applyAlignment="1" applyProtection="1">
      <alignment horizontal="right" vertical="center" shrinkToFit="1"/>
    </xf>
    <xf numFmtId="193" fontId="5" fillId="3" borderId="36" xfId="0" applyNumberFormat="1" applyFont="1" applyFill="1" applyBorder="1" applyAlignment="1" applyProtection="1">
      <alignment horizontal="right" vertical="center" shrinkToFit="1"/>
    </xf>
    <xf numFmtId="193" fontId="5" fillId="3" borderId="34" xfId="0" quotePrefix="1" applyNumberFormat="1" applyFont="1" applyFill="1" applyBorder="1" applyAlignment="1">
      <alignment horizontal="right" vertical="center" shrinkToFit="1"/>
    </xf>
    <xf numFmtId="193" fontId="5" fillId="3" borderId="8" xfId="0" quotePrefix="1" applyNumberFormat="1" applyFont="1" applyFill="1" applyBorder="1" applyAlignment="1">
      <alignment horizontal="right" vertical="center" shrinkToFit="1"/>
    </xf>
    <xf numFmtId="193" fontId="5" fillId="3" borderId="36" xfId="0" quotePrefix="1" applyNumberFormat="1" applyFont="1" applyFill="1" applyBorder="1" applyAlignment="1">
      <alignment horizontal="right" vertical="center" shrinkToFit="1"/>
    </xf>
    <xf numFmtId="0" fontId="5" fillId="3" borderId="38" xfId="0" quotePrefix="1" applyNumberFormat="1" applyFont="1" applyFill="1" applyBorder="1" applyAlignment="1">
      <alignment horizontal="right" vertical="center" shrinkToFit="1"/>
    </xf>
    <xf numFmtId="0" fontId="5" fillId="3" borderId="54" xfId="0" applyNumberFormat="1" applyFont="1" applyFill="1" applyBorder="1" applyAlignment="1" applyProtection="1">
      <alignment horizontal="right" vertical="center" shrinkToFit="1"/>
    </xf>
    <xf numFmtId="0" fontId="5" fillId="2" borderId="4" xfId="0" quotePrefix="1" applyNumberFormat="1" applyFont="1" applyFill="1" applyBorder="1" applyAlignment="1" applyProtection="1">
      <alignment horizontal="left" vertical="center"/>
    </xf>
    <xf numFmtId="2" fontId="5" fillId="3" borderId="48" xfId="0" applyNumberFormat="1" applyFont="1" applyFill="1" applyBorder="1" applyAlignment="1" applyProtection="1">
      <alignment horizontal="right" vertical="center" shrinkToFit="1"/>
    </xf>
    <xf numFmtId="2" fontId="5" fillId="3" borderId="34" xfId="0" applyNumberFormat="1" applyFont="1" applyFill="1" applyBorder="1" applyAlignment="1" applyProtection="1">
      <alignment horizontal="right" vertical="center" shrinkToFit="1"/>
    </xf>
    <xf numFmtId="2" fontId="5" fillId="3" borderId="34" xfId="0" quotePrefix="1" applyNumberFormat="1" applyFont="1" applyFill="1" applyBorder="1" applyAlignment="1">
      <alignment horizontal="right" vertical="center" shrinkToFit="1"/>
    </xf>
    <xf numFmtId="0" fontId="5" fillId="2" borderId="25" xfId="0" quotePrefix="1" applyNumberFormat="1" applyFont="1" applyFill="1" applyBorder="1" applyAlignment="1" applyProtection="1">
      <alignment horizontal="left" vertical="center"/>
    </xf>
    <xf numFmtId="57" fontId="5" fillId="2" borderId="2" xfId="0" applyNumberFormat="1" applyFont="1" applyFill="1" applyBorder="1" applyAlignment="1" applyProtection="1">
      <alignment horizontal="right" vertical="center"/>
    </xf>
    <xf numFmtId="57" fontId="5" fillId="2" borderId="2" xfId="0" applyNumberFormat="1" applyFont="1" applyFill="1" applyBorder="1" applyAlignment="1" applyProtection="1">
      <alignment horizontal="left" vertical="center"/>
    </xf>
    <xf numFmtId="57" fontId="5" fillId="5" borderId="36" xfId="0" applyNumberFormat="1" applyFont="1" applyFill="1" applyBorder="1" applyAlignment="1">
      <alignment horizontal="left" vertical="center" shrinkToFit="1"/>
    </xf>
    <xf numFmtId="0" fontId="5" fillId="3" borderId="52" xfId="0" applyNumberFormat="1" applyFont="1" applyFill="1" applyBorder="1" applyAlignment="1" applyProtection="1">
      <alignment horizontal="right" vertical="center" shrinkToFit="1"/>
    </xf>
    <xf numFmtId="0" fontId="5" fillId="3" borderId="33" xfId="0" applyNumberFormat="1" applyFont="1" applyFill="1" applyBorder="1" applyAlignment="1" applyProtection="1">
      <alignment horizontal="right" vertical="center" shrinkToFit="1"/>
    </xf>
    <xf numFmtId="1" fontId="5" fillId="3" borderId="33" xfId="0" quotePrefix="1" applyNumberFormat="1" applyFont="1" applyFill="1" applyBorder="1" applyAlignment="1">
      <alignment horizontal="right" vertical="center" shrinkToFit="1"/>
    </xf>
    <xf numFmtId="0" fontId="5" fillId="3" borderId="33" xfId="0" quotePrefix="1" applyNumberFormat="1" applyFont="1" applyFill="1" applyBorder="1" applyAlignment="1">
      <alignment horizontal="right" vertical="center" shrinkToFit="1"/>
    </xf>
    <xf numFmtId="0" fontId="5" fillId="3" borderId="30" xfId="0" applyNumberFormat="1" applyFont="1" applyFill="1" applyBorder="1" applyAlignment="1" applyProtection="1">
      <alignment horizontal="right" vertical="center" shrinkToFit="1"/>
    </xf>
    <xf numFmtId="0" fontId="5" fillId="2" borderId="2" xfId="0" applyFont="1" applyFill="1" applyBorder="1" applyAlignment="1" applyProtection="1">
      <alignment horizontal="right" vertical="center"/>
    </xf>
    <xf numFmtId="0" fontId="5" fillId="0" borderId="38" xfId="0" applyNumberFormat="1" applyFont="1" applyFill="1" applyBorder="1" applyAlignment="1" applyProtection="1">
      <alignment vertical="center" shrinkToFit="1"/>
    </xf>
    <xf numFmtId="0" fontId="5" fillId="0" borderId="38" xfId="0" applyNumberFormat="1" applyFont="1" applyFill="1" applyBorder="1" applyAlignment="1" applyProtection="1">
      <alignment horizontal="right" vertical="center" shrinkToFit="1"/>
    </xf>
    <xf numFmtId="0" fontId="5" fillId="0" borderId="15" xfId="0" applyNumberFormat="1" applyFont="1" applyFill="1" applyBorder="1" applyAlignment="1" applyProtection="1">
      <alignment vertical="center" shrinkToFit="1"/>
    </xf>
    <xf numFmtId="2" fontId="5" fillId="3" borderId="53" xfId="0" applyNumberFormat="1" applyFont="1" applyFill="1" applyBorder="1" applyAlignment="1" applyProtection="1">
      <alignment horizontal="right" vertical="center" shrinkToFit="1"/>
    </xf>
    <xf numFmtId="2" fontId="5" fillId="3" borderId="38" xfId="0" applyNumberFormat="1" applyFont="1" applyFill="1" applyBorder="1" applyAlignment="1" applyProtection="1">
      <alignment horizontal="right" vertical="center" shrinkToFit="1"/>
    </xf>
    <xf numFmtId="2" fontId="5" fillId="3" borderId="38" xfId="0" quotePrefix="1" applyNumberFormat="1" applyFont="1" applyFill="1" applyBorder="1" applyAlignment="1">
      <alignment horizontal="right" vertical="center" shrinkToFit="1"/>
    </xf>
    <xf numFmtId="0" fontId="5" fillId="2" borderId="15" xfId="0" applyNumberFormat="1" applyFont="1" applyFill="1" applyBorder="1" applyAlignment="1" applyProtection="1">
      <alignment horizontal="right" vertical="center"/>
    </xf>
    <xf numFmtId="0" fontId="5" fillId="2" borderId="16" xfId="0" applyFont="1" applyFill="1" applyBorder="1" applyAlignment="1" applyProtection="1">
      <alignment horizontal="right" vertical="center"/>
    </xf>
    <xf numFmtId="186" fontId="5" fillId="0" borderId="38" xfId="0" applyNumberFormat="1" applyFont="1" applyFill="1" applyBorder="1" applyAlignment="1" applyProtection="1">
      <alignment vertical="center" shrinkToFit="1"/>
    </xf>
    <xf numFmtId="0" fontId="5" fillId="2" borderId="18" xfId="0" applyNumberFormat="1" applyFont="1" applyFill="1" applyBorder="1" applyAlignment="1" applyProtection="1">
      <alignment horizontal="right" vertical="center"/>
    </xf>
    <xf numFmtId="185" fontId="5" fillId="9" borderId="38" xfId="0" applyNumberFormat="1" applyFont="1" applyFill="1" applyBorder="1" applyAlignment="1" applyProtection="1">
      <alignment horizontal="center" vertical="center" shrinkToFit="1"/>
    </xf>
    <xf numFmtId="57" fontId="5" fillId="2" borderId="1" xfId="0" applyNumberFormat="1" applyFont="1" applyFill="1" applyBorder="1" applyAlignment="1" applyProtection="1">
      <alignment vertical="center"/>
    </xf>
    <xf numFmtId="0" fontId="5" fillId="7" borderId="4" xfId="0" applyFont="1" applyFill="1" applyBorder="1" applyAlignment="1" applyProtection="1">
      <alignment vertical="center"/>
    </xf>
    <xf numFmtId="0" fontId="0" fillId="7" borderId="3" xfId="0" applyFont="1" applyFill="1" applyBorder="1" applyAlignment="1">
      <alignment vertical="center"/>
    </xf>
    <xf numFmtId="0" fontId="0" fillId="7" borderId="2" xfId="0" applyFont="1" applyFill="1" applyBorder="1" applyAlignment="1">
      <alignment vertical="center"/>
    </xf>
    <xf numFmtId="57" fontId="5" fillId="7" borderId="1" xfId="0" applyNumberFormat="1" applyFont="1" applyFill="1" applyBorder="1" applyAlignment="1" applyProtection="1">
      <alignment vertical="center"/>
    </xf>
    <xf numFmtId="0" fontId="5" fillId="7" borderId="4" xfId="0" applyNumberFormat="1" applyFont="1" applyFill="1" applyBorder="1" applyAlignment="1" applyProtection="1">
      <alignment vertical="center"/>
    </xf>
    <xf numFmtId="0" fontId="5" fillId="7" borderId="3" xfId="0" quotePrefix="1" applyFont="1" applyFill="1" applyBorder="1" applyAlignment="1" applyProtection="1">
      <alignment horizontal="left" vertical="center"/>
    </xf>
    <xf numFmtId="0" fontId="0" fillId="7" borderId="20" xfId="0" applyFont="1" applyFill="1" applyBorder="1" applyAlignment="1">
      <alignment vertical="center"/>
    </xf>
    <xf numFmtId="0" fontId="5" fillId="7" borderId="3" xfId="0" applyFont="1" applyFill="1" applyBorder="1" applyAlignment="1" applyProtection="1">
      <alignment vertical="center"/>
    </xf>
    <xf numFmtId="0" fontId="5" fillId="7" borderId="4" xfId="0" quotePrefix="1" applyFont="1" applyFill="1" applyBorder="1" applyAlignment="1" applyProtection="1">
      <alignment vertical="center"/>
    </xf>
    <xf numFmtId="0" fontId="9" fillId="2" borderId="26" xfId="0" applyFont="1" applyFill="1" applyBorder="1" applyAlignment="1" applyProtection="1">
      <alignment horizontal="center" vertical="center" wrapText="1"/>
    </xf>
    <xf numFmtId="0" fontId="9" fillId="2" borderId="16" xfId="0" applyFont="1" applyFill="1" applyBorder="1" applyAlignment="1" applyProtection="1">
      <alignment horizontal="center" vertical="center" wrapText="1"/>
    </xf>
    <xf numFmtId="187" fontId="6" fillId="2" borderId="16" xfId="0" applyNumberFormat="1" applyFont="1" applyFill="1" applyBorder="1" applyAlignment="1" applyProtection="1">
      <alignment horizontal="center" vertical="center" wrapText="1"/>
    </xf>
    <xf numFmtId="187" fontId="6" fillId="2" borderId="16" xfId="0" quotePrefix="1" applyNumberFormat="1" applyFont="1" applyFill="1" applyBorder="1" applyAlignment="1" applyProtection="1">
      <alignment horizontal="center" vertical="center" wrapText="1"/>
    </xf>
    <xf numFmtId="187" fontId="6" fillId="2" borderId="6" xfId="0" applyNumberFormat="1" applyFont="1" applyFill="1" applyBorder="1" applyAlignment="1" applyProtection="1">
      <alignment horizontal="center" vertical="center" wrapText="1"/>
    </xf>
    <xf numFmtId="0" fontId="5" fillId="2" borderId="26" xfId="0" applyFont="1" applyFill="1" applyBorder="1" applyAlignment="1" applyProtection="1">
      <alignment horizontal="center" vertical="center"/>
    </xf>
    <xf numFmtId="0" fontId="5" fillId="2" borderId="16"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0" fontId="9" fillId="0" borderId="15" xfId="0" applyFont="1" applyBorder="1" applyAlignment="1" applyProtection="1">
      <alignment horizontal="center" vertical="center" wrapText="1"/>
    </xf>
    <xf numFmtId="0" fontId="9" fillId="0" borderId="16" xfId="0" applyFont="1" applyBorder="1" applyAlignment="1" applyProtection="1">
      <alignment horizontal="center" vertical="center" wrapText="1"/>
    </xf>
    <xf numFmtId="0" fontId="9" fillId="0" borderId="26" xfId="0" applyFont="1" applyBorder="1" applyAlignment="1" applyProtection="1">
      <alignment horizontal="center" vertical="center" wrapText="1"/>
    </xf>
    <xf numFmtId="0" fontId="9" fillId="0" borderId="6" xfId="0" applyFont="1" applyBorder="1" applyAlignment="1" applyProtection="1">
      <alignment horizontal="center" vertical="center" wrapText="1"/>
    </xf>
    <xf numFmtId="57" fontId="15" fillId="7" borderId="21" xfId="0" applyNumberFormat="1" applyFont="1" applyFill="1" applyBorder="1" applyAlignment="1">
      <alignment horizontal="left" vertical="center" shrinkToFit="1"/>
    </xf>
    <xf numFmtId="2" fontId="5" fillId="0" borderId="47" xfId="0" applyNumberFormat="1" applyFont="1" applyFill="1" applyBorder="1" applyAlignment="1" applyProtection="1">
      <alignment horizontal="center" vertical="center" shrinkToFit="1"/>
    </xf>
    <xf numFmtId="1" fontId="5" fillId="0" borderId="45" xfId="0" applyNumberFormat="1" applyFont="1" applyFill="1" applyBorder="1" applyAlignment="1" applyProtection="1">
      <alignment vertical="center" shrinkToFit="1"/>
    </xf>
    <xf numFmtId="192" fontId="5" fillId="0" borderId="45" xfId="0" applyNumberFormat="1" applyFont="1" applyFill="1" applyBorder="1" applyAlignment="1" applyProtection="1">
      <alignment vertical="center" shrinkToFit="1"/>
    </xf>
    <xf numFmtId="179" fontId="5" fillId="0" borderId="45" xfId="0" applyNumberFormat="1" applyFont="1" applyFill="1" applyBorder="1" applyAlignment="1" applyProtection="1">
      <alignment horizontal="center" vertical="center" shrinkToFit="1"/>
    </xf>
    <xf numFmtId="187" fontId="5" fillId="0" borderId="45" xfId="0" applyNumberFormat="1" applyFont="1" applyFill="1" applyBorder="1" applyAlignment="1">
      <alignment vertical="center" shrinkToFit="1"/>
    </xf>
    <xf numFmtId="179" fontId="5" fillId="0" borderId="45" xfId="0" applyNumberFormat="1" applyFont="1" applyFill="1" applyBorder="1" applyAlignment="1" applyProtection="1">
      <alignment vertical="center" shrinkToFit="1"/>
    </xf>
    <xf numFmtId="192" fontId="6" fillId="0" borderId="45" xfId="0" applyNumberFormat="1" applyFont="1" applyFill="1" applyBorder="1" applyAlignment="1" applyProtection="1">
      <alignment horizontal="center" vertical="center" shrinkToFit="1"/>
    </xf>
    <xf numFmtId="190" fontId="6" fillId="0" borderId="45" xfId="0" applyNumberFormat="1" applyFont="1" applyFill="1" applyBorder="1" applyAlignment="1" applyProtection="1">
      <alignment horizontal="center" vertical="center" shrinkToFit="1"/>
    </xf>
    <xf numFmtId="190" fontId="6" fillId="0" borderId="45" xfId="0" applyNumberFormat="1" applyFont="1" applyFill="1" applyBorder="1" applyAlignment="1">
      <alignment vertical="center" shrinkToFit="1"/>
    </xf>
    <xf numFmtId="181" fontId="5" fillId="0" borderId="45" xfId="0" applyNumberFormat="1" applyFont="1" applyFill="1" applyBorder="1" applyAlignment="1">
      <alignment vertical="center" shrinkToFit="1"/>
    </xf>
    <xf numFmtId="190" fontId="6" fillId="0" borderId="46" xfId="0" applyNumberFormat="1" applyFont="1" applyFill="1" applyBorder="1" applyAlignment="1">
      <alignment vertical="center" shrinkToFit="1"/>
    </xf>
    <xf numFmtId="0" fontId="5" fillId="0" borderId="47" xfId="0" applyNumberFormat="1" applyFont="1" applyFill="1" applyBorder="1" applyAlignment="1" applyProtection="1">
      <alignment vertical="center" shrinkToFit="1"/>
    </xf>
    <xf numFmtId="179" fontId="5" fillId="0" borderId="45" xfId="0" applyNumberFormat="1" applyFont="1" applyFill="1" applyBorder="1" applyAlignment="1">
      <alignment vertical="center" shrinkToFit="1"/>
    </xf>
    <xf numFmtId="0" fontId="5" fillId="0" borderId="47" xfId="0" applyNumberFormat="1" applyFont="1" applyFill="1" applyBorder="1" applyAlignment="1">
      <alignment horizontal="center" vertical="center" shrinkToFit="1"/>
    </xf>
    <xf numFmtId="0" fontId="5" fillId="0" borderId="44" xfId="0" applyNumberFormat="1" applyFont="1" applyFill="1" applyBorder="1" applyAlignment="1" applyProtection="1">
      <alignment vertical="center" shrinkToFit="1"/>
    </xf>
    <xf numFmtId="192" fontId="6" fillId="0" borderId="44" xfId="0" applyNumberFormat="1" applyFont="1" applyFill="1" applyBorder="1" applyAlignment="1" applyProtection="1">
      <alignment horizontal="center" vertical="center" shrinkToFit="1"/>
    </xf>
    <xf numFmtId="192" fontId="6" fillId="0" borderId="46" xfId="0" applyNumberFormat="1" applyFont="1" applyFill="1" applyBorder="1" applyAlignment="1" applyProtection="1">
      <alignment horizontal="center" vertical="center" shrinkToFit="1"/>
    </xf>
    <xf numFmtId="0" fontId="5" fillId="0" borderId="57" xfId="0" applyFont="1" applyBorder="1" applyAlignment="1">
      <alignment vertical="center"/>
    </xf>
    <xf numFmtId="181" fontId="5" fillId="0" borderId="61" xfId="0" applyNumberFormat="1" applyFont="1" applyFill="1" applyBorder="1" applyAlignment="1">
      <alignment vertical="center" shrinkToFit="1"/>
    </xf>
    <xf numFmtId="0" fontId="5" fillId="0" borderId="43" xfId="0" applyFont="1" applyBorder="1" applyAlignment="1">
      <alignment horizontal="left" vertical="center"/>
    </xf>
    <xf numFmtId="0" fontId="5" fillId="0" borderId="34" xfId="0" applyNumberFormat="1" applyFont="1" applyFill="1" applyBorder="1" applyAlignment="1" applyProtection="1">
      <alignment horizontal="center" vertical="center" shrinkToFit="1"/>
    </xf>
    <xf numFmtId="179" fontId="5" fillId="2" borderId="20" xfId="0" applyNumberFormat="1" applyFont="1" applyFill="1" applyBorder="1" applyAlignment="1">
      <alignment vertical="center"/>
    </xf>
    <xf numFmtId="57" fontId="15" fillId="2" borderId="33" xfId="0" applyNumberFormat="1" applyFont="1" applyFill="1" applyBorder="1" applyAlignment="1" applyProtection="1">
      <alignment horizontal="left" vertical="center" shrinkToFit="1"/>
    </xf>
    <xf numFmtId="57" fontId="15" fillId="2" borderId="21" xfId="0" applyNumberFormat="1" applyFont="1" applyFill="1" applyBorder="1" applyAlignment="1" applyProtection="1">
      <alignment horizontal="left" vertical="center" shrinkToFit="1"/>
    </xf>
    <xf numFmtId="192" fontId="6" fillId="0" borderId="47" xfId="0" applyNumberFormat="1" applyFont="1" applyFill="1" applyBorder="1" applyAlignment="1" applyProtection="1">
      <alignment horizontal="center" vertical="center" shrinkToFit="1"/>
    </xf>
    <xf numFmtId="2" fontId="5" fillId="0" borderId="47" xfId="0" applyNumberFormat="1" applyFont="1" applyFill="1" applyBorder="1" applyAlignment="1" applyProtection="1">
      <alignment vertical="center" shrinkToFit="1"/>
    </xf>
    <xf numFmtId="190" fontId="6" fillId="0" borderId="45" xfId="0" applyNumberFormat="1" applyFont="1" applyFill="1" applyBorder="1" applyAlignment="1" applyProtection="1">
      <alignment vertical="center" shrinkToFit="1"/>
    </xf>
    <xf numFmtId="181" fontId="5" fillId="0" borderId="45" xfId="0" applyNumberFormat="1" applyFont="1" applyFill="1" applyBorder="1" applyAlignment="1" applyProtection="1">
      <alignment vertical="center" shrinkToFit="1"/>
    </xf>
    <xf numFmtId="190" fontId="6" fillId="0" borderId="46" xfId="0" applyNumberFormat="1" applyFont="1" applyFill="1" applyBorder="1" applyAlignment="1" applyProtection="1">
      <alignment vertical="center" shrinkToFit="1"/>
    </xf>
    <xf numFmtId="0" fontId="5" fillId="0" borderId="47" xfId="0" applyNumberFormat="1" applyFont="1" applyFill="1" applyBorder="1" applyAlignment="1" applyProtection="1">
      <alignment horizontal="right" vertical="center" shrinkToFit="1"/>
    </xf>
    <xf numFmtId="0" fontId="5" fillId="0" borderId="45" xfId="0" applyFont="1" applyBorder="1" applyAlignment="1" applyProtection="1">
      <alignment vertical="center" shrinkToFit="1"/>
    </xf>
    <xf numFmtId="0" fontId="5" fillId="7" borderId="45" xfId="0" applyFont="1" applyFill="1" applyBorder="1" applyAlignment="1" applyProtection="1">
      <alignment horizontal="center" vertical="center" shrinkToFit="1"/>
    </xf>
    <xf numFmtId="1" fontId="5" fillId="7" borderId="46" xfId="0" applyNumberFormat="1" applyFont="1" applyFill="1" applyBorder="1" applyAlignment="1" applyProtection="1">
      <alignment vertical="center" shrinkToFit="1"/>
    </xf>
    <xf numFmtId="0" fontId="5" fillId="7" borderId="47" xfId="0" applyFont="1" applyFill="1" applyBorder="1" applyAlignment="1" applyProtection="1">
      <alignment vertical="center" shrinkToFit="1"/>
    </xf>
    <xf numFmtId="0" fontId="5" fillId="7" borderId="45" xfId="0" applyFont="1" applyFill="1" applyBorder="1" applyAlignment="1" applyProtection="1">
      <alignment vertical="center" shrinkToFit="1"/>
    </xf>
    <xf numFmtId="0" fontId="5" fillId="0" borderId="45" xfId="0" applyFont="1" applyBorder="1" applyAlignment="1">
      <alignment vertical="center" shrinkToFit="1"/>
    </xf>
    <xf numFmtId="0" fontId="5" fillId="0" borderId="46" xfId="0" applyFont="1" applyBorder="1" applyAlignment="1">
      <alignment vertical="center" shrinkToFit="1"/>
    </xf>
    <xf numFmtId="0" fontId="5" fillId="0" borderId="47" xfId="0" applyFont="1" applyBorder="1" applyAlignment="1">
      <alignment vertical="center" shrinkToFit="1"/>
    </xf>
    <xf numFmtId="181" fontId="5" fillId="0" borderId="46" xfId="0" applyNumberFormat="1" applyFont="1" applyFill="1" applyBorder="1" applyAlignment="1">
      <alignment vertical="center" shrinkToFit="1"/>
    </xf>
    <xf numFmtId="0" fontId="5" fillId="0" borderId="61" xfId="0" applyFont="1" applyBorder="1" applyAlignment="1" applyProtection="1">
      <alignment vertical="center" shrinkToFit="1"/>
    </xf>
    <xf numFmtId="0" fontId="5" fillId="7" borderId="61" xfId="0" applyFont="1" applyFill="1" applyBorder="1" applyAlignment="1" applyProtection="1">
      <alignment horizontal="center" vertical="center" shrinkToFit="1"/>
    </xf>
    <xf numFmtId="1" fontId="5" fillId="7" borderId="63" xfId="0" applyNumberFormat="1" applyFont="1" applyFill="1" applyBorder="1" applyAlignment="1" applyProtection="1">
      <alignment vertical="center" shrinkToFit="1"/>
    </xf>
    <xf numFmtId="0" fontId="5" fillId="7" borderId="61" xfId="0" applyFont="1" applyFill="1" applyBorder="1" applyAlignment="1" applyProtection="1">
      <alignment vertical="center" shrinkToFit="1"/>
    </xf>
    <xf numFmtId="0" fontId="5" fillId="0" borderId="63" xfId="0" applyFont="1" applyBorder="1" applyAlignment="1" applyProtection="1">
      <alignment vertical="center" shrinkToFit="1"/>
    </xf>
    <xf numFmtId="0" fontId="5" fillId="0" borderId="61" xfId="0" applyFont="1" applyBorder="1" applyAlignment="1">
      <alignment vertical="center" shrinkToFit="1"/>
    </xf>
    <xf numFmtId="181" fontId="5" fillId="0" borderId="63" xfId="0" applyNumberFormat="1" applyFont="1" applyFill="1" applyBorder="1" applyAlignment="1">
      <alignment vertical="center" shrinkToFit="1"/>
    </xf>
    <xf numFmtId="0" fontId="5" fillId="0" borderId="60" xfId="0" applyFont="1" applyBorder="1" applyAlignment="1">
      <alignment vertical="center" shrinkToFit="1"/>
    </xf>
    <xf numFmtId="0" fontId="5" fillId="0" borderId="63" xfId="0" applyFont="1" applyBorder="1" applyAlignment="1">
      <alignment vertical="center" shrinkToFit="1"/>
    </xf>
    <xf numFmtId="2" fontId="14" fillId="0" borderId="0" xfId="0" applyNumberFormat="1" applyFont="1" applyAlignment="1" applyProtection="1">
      <alignment vertical="center"/>
    </xf>
    <xf numFmtId="178" fontId="14" fillId="0" borderId="0" xfId="0" applyNumberFormat="1" applyFont="1" applyAlignment="1" applyProtection="1">
      <alignment vertical="center"/>
    </xf>
    <xf numFmtId="0" fontId="14" fillId="0" borderId="0" xfId="0" quotePrefix="1" applyFont="1" applyAlignment="1">
      <alignment vertical="center"/>
    </xf>
    <xf numFmtId="177" fontId="14" fillId="0" borderId="0" xfId="0" applyNumberFormat="1" applyFont="1" applyAlignment="1" applyProtection="1">
      <alignment vertical="center"/>
    </xf>
    <xf numFmtId="0" fontId="5" fillId="2" borderId="26" xfId="0" applyFont="1" applyFill="1" applyBorder="1" applyAlignment="1" applyProtection="1">
      <alignment horizontal="right" vertical="center"/>
    </xf>
    <xf numFmtId="0" fontId="5" fillId="3" borderId="48" xfId="0" applyNumberFormat="1" applyFont="1" applyFill="1" applyBorder="1" applyAlignment="1" applyProtection="1">
      <alignment horizontal="right" vertical="center" shrinkToFit="1"/>
    </xf>
    <xf numFmtId="0" fontId="5" fillId="3" borderId="34" xfId="0" applyNumberFormat="1" applyFont="1" applyFill="1" applyBorder="1" applyAlignment="1" applyProtection="1">
      <alignment horizontal="right" vertical="center" shrinkToFit="1"/>
    </xf>
    <xf numFmtId="1" fontId="5" fillId="3" borderId="34" xfId="0" quotePrefix="1" applyNumberFormat="1" applyFont="1" applyFill="1" applyBorder="1" applyAlignment="1">
      <alignment horizontal="right" vertical="center" shrinkToFit="1"/>
    </xf>
    <xf numFmtId="179" fontId="5" fillId="0" borderId="34" xfId="0" applyNumberFormat="1" applyFont="1" applyFill="1" applyBorder="1" applyAlignment="1" applyProtection="1">
      <alignment horizontal="center" vertical="center" shrinkToFit="1"/>
    </xf>
    <xf numFmtId="179" fontId="5" fillId="0" borderId="26" xfId="0" applyNumberFormat="1" applyFont="1" applyFill="1" applyBorder="1" applyAlignment="1" applyProtection="1">
      <alignment horizontal="center" vertical="center" shrinkToFit="1"/>
    </xf>
    <xf numFmtId="0" fontId="5" fillId="0" borderId="65" xfId="0" applyFont="1" applyBorder="1" applyAlignment="1">
      <alignment vertical="center"/>
    </xf>
    <xf numFmtId="2" fontId="5" fillId="0" borderId="8" xfId="0" applyNumberFormat="1" applyFont="1" applyBorder="1" applyAlignment="1">
      <alignment horizontal="right" vertical="center" shrinkToFit="1"/>
    </xf>
    <xf numFmtId="1" fontId="5" fillId="0" borderId="8" xfId="0" applyNumberFormat="1" applyFont="1" applyBorder="1" applyAlignment="1">
      <alignment horizontal="right" vertical="center" shrinkToFit="1"/>
    </xf>
    <xf numFmtId="182" fontId="5" fillId="0" borderId="8" xfId="0" applyNumberFormat="1" applyFont="1" applyFill="1" applyBorder="1" applyAlignment="1">
      <alignment horizontal="right" vertical="center" shrinkToFit="1"/>
    </xf>
    <xf numFmtId="178" fontId="5" fillId="0" borderId="8" xfId="0" applyNumberFormat="1" applyFont="1" applyFill="1" applyBorder="1" applyAlignment="1">
      <alignment horizontal="right" vertical="center" shrinkToFit="1"/>
    </xf>
    <xf numFmtId="2" fontId="5" fillId="0" borderId="8" xfId="0" applyNumberFormat="1" applyFont="1" applyFill="1" applyBorder="1" applyAlignment="1">
      <alignment horizontal="right" vertical="center" shrinkToFit="1"/>
    </xf>
    <xf numFmtId="192" fontId="6" fillId="10" borderId="37" xfId="0" applyNumberFormat="1" applyFont="1" applyFill="1" applyBorder="1" applyAlignment="1" applyProtection="1">
      <alignment horizontal="center" vertical="center" shrinkToFit="1"/>
    </xf>
    <xf numFmtId="192" fontId="6" fillId="11" borderId="35" xfId="0" applyNumberFormat="1" applyFont="1" applyFill="1" applyBorder="1" applyAlignment="1" applyProtection="1">
      <alignment horizontal="center" vertical="center" shrinkToFit="1"/>
    </xf>
    <xf numFmtId="192" fontId="6" fillId="12" borderId="35" xfId="0" applyNumberFormat="1" applyFont="1" applyFill="1" applyBorder="1" applyAlignment="1" applyProtection="1">
      <alignment horizontal="center" vertical="center" shrinkToFit="1"/>
    </xf>
    <xf numFmtId="192" fontId="5" fillId="0" borderId="8" xfId="0" applyNumberFormat="1" applyFont="1" applyBorder="1" applyAlignment="1">
      <alignment horizontal="right" vertical="center" shrinkToFit="1"/>
    </xf>
    <xf numFmtId="192" fontId="5" fillId="8" borderId="68" xfId="0" applyNumberFormat="1" applyFont="1" applyFill="1" applyBorder="1" applyAlignment="1">
      <alignment horizontal="right" vertical="center" shrinkToFit="1"/>
    </xf>
    <xf numFmtId="1" fontId="6" fillId="14" borderId="68" xfId="0" applyNumberFormat="1" applyFont="1" applyFill="1" applyBorder="1" applyAlignment="1" applyProtection="1">
      <alignment horizontal="center" vertical="center" shrinkToFit="1"/>
    </xf>
    <xf numFmtId="192" fontId="6" fillId="10" borderId="69" xfId="0" applyNumberFormat="1" applyFont="1" applyFill="1" applyBorder="1" applyAlignment="1" applyProtection="1">
      <alignment horizontal="center" vertical="center" shrinkToFit="1"/>
    </xf>
    <xf numFmtId="192" fontId="6" fillId="12" borderId="70" xfId="0" applyNumberFormat="1" applyFont="1" applyFill="1" applyBorder="1" applyAlignment="1" applyProtection="1">
      <alignment horizontal="center" vertical="center" shrinkToFit="1"/>
    </xf>
    <xf numFmtId="2" fontId="5" fillId="0" borderId="38" xfId="0" applyNumberFormat="1" applyFont="1" applyFill="1" applyBorder="1" applyAlignment="1" applyProtection="1">
      <alignment vertical="center" shrinkToFit="1"/>
    </xf>
    <xf numFmtId="182" fontId="5" fillId="0" borderId="38" xfId="0" applyNumberFormat="1" applyFont="1" applyFill="1" applyBorder="1" applyAlignment="1" applyProtection="1">
      <alignment vertical="center" shrinkToFit="1"/>
    </xf>
    <xf numFmtId="186" fontId="5" fillId="0" borderId="38" xfId="0" applyNumberFormat="1" applyFont="1" applyFill="1" applyBorder="1" applyAlignment="1" applyProtection="1">
      <alignment horizontal="center" vertical="center" shrinkToFit="1"/>
    </xf>
    <xf numFmtId="181" fontId="5" fillId="0" borderId="38" xfId="0" applyNumberFormat="1" applyFont="1" applyFill="1" applyBorder="1" applyAlignment="1">
      <alignment vertical="center" shrinkToFit="1"/>
    </xf>
    <xf numFmtId="181" fontId="5" fillId="0" borderId="38" xfId="0" applyNumberFormat="1" applyFont="1" applyFill="1" applyBorder="1" applyAlignment="1" applyProtection="1">
      <alignment horizontal="center" vertical="center" shrinkToFit="1"/>
    </xf>
    <xf numFmtId="183" fontId="5" fillId="0" borderId="38" xfId="0" applyNumberFormat="1" applyFont="1" applyFill="1" applyBorder="1" applyAlignment="1" applyProtection="1">
      <alignment horizontal="center" vertical="center" shrinkToFit="1"/>
    </xf>
    <xf numFmtId="0" fontId="5" fillId="13" borderId="8" xfId="0" applyFont="1" applyFill="1" applyBorder="1" applyAlignment="1" applyProtection="1">
      <alignment vertical="center" shrinkToFit="1"/>
    </xf>
    <xf numFmtId="0" fontId="5" fillId="7" borderId="26" xfId="0" applyFont="1" applyFill="1" applyBorder="1" applyAlignment="1" applyProtection="1">
      <alignment horizontal="left" vertical="center" wrapText="1"/>
    </xf>
    <xf numFmtId="0" fontId="5" fillId="0" borderId="34" xfId="0" applyFont="1" applyBorder="1" applyAlignment="1" applyProtection="1">
      <alignment horizontal="right" vertical="center" shrinkToFit="1"/>
    </xf>
    <xf numFmtId="0" fontId="5" fillId="0" borderId="34" xfId="0" applyFont="1" applyBorder="1" applyAlignment="1" applyProtection="1">
      <alignment vertical="center" shrinkToFit="1"/>
    </xf>
    <xf numFmtId="0" fontId="5" fillId="7" borderId="17" xfId="0" applyFont="1" applyFill="1" applyBorder="1" applyAlignment="1" applyProtection="1">
      <alignment horizontal="left" vertical="center" wrapText="1"/>
    </xf>
    <xf numFmtId="0" fontId="5" fillId="7" borderId="56" xfId="0" applyFont="1" applyFill="1" applyBorder="1" applyAlignment="1" applyProtection="1">
      <alignment vertical="center" shrinkToFit="1"/>
    </xf>
    <xf numFmtId="0" fontId="5" fillId="7" borderId="51" xfId="0" applyFont="1" applyFill="1" applyBorder="1" applyAlignment="1" applyProtection="1">
      <alignment vertical="center" shrinkToFit="1"/>
    </xf>
    <xf numFmtId="0" fontId="5" fillId="7" borderId="51" xfId="0" applyFont="1" applyFill="1" applyBorder="1" applyAlignment="1">
      <alignment vertical="center" shrinkToFit="1"/>
    </xf>
    <xf numFmtId="178" fontId="5" fillId="7" borderId="51" xfId="0" applyNumberFormat="1" applyFont="1" applyFill="1" applyBorder="1" applyAlignment="1" applyProtection="1">
      <alignment vertical="center" shrinkToFit="1"/>
    </xf>
    <xf numFmtId="0" fontId="5" fillId="7" borderId="62" xfId="0" applyFont="1" applyFill="1" applyBorder="1" applyAlignment="1" applyProtection="1">
      <alignment vertical="center" shrinkToFit="1"/>
    </xf>
    <xf numFmtId="0" fontId="5" fillId="7" borderId="58" xfId="0" applyFont="1" applyFill="1" applyBorder="1" applyAlignment="1" applyProtection="1">
      <alignment vertical="center" shrinkToFit="1"/>
    </xf>
    <xf numFmtId="0" fontId="5" fillId="7" borderId="17" xfId="0" applyFont="1" applyFill="1" applyBorder="1" applyAlignment="1">
      <alignment vertical="center" shrinkToFit="1"/>
    </xf>
    <xf numFmtId="0" fontId="5" fillId="3" borderId="71" xfId="0" applyNumberFormat="1" applyFont="1" applyFill="1" applyBorder="1" applyAlignment="1" applyProtection="1">
      <alignment horizontal="right" vertical="center" shrinkToFit="1"/>
    </xf>
    <xf numFmtId="0" fontId="5" fillId="3" borderId="0" xfId="0" applyNumberFormat="1" applyFont="1" applyFill="1" applyBorder="1" applyAlignment="1" applyProtection="1">
      <alignment horizontal="right" vertical="center" shrinkToFit="1"/>
    </xf>
    <xf numFmtId="1" fontId="5" fillId="3" borderId="0" xfId="0" quotePrefix="1" applyNumberFormat="1" applyFont="1" applyFill="1" applyBorder="1" applyAlignment="1">
      <alignment horizontal="right" vertical="center" shrinkToFit="1"/>
    </xf>
    <xf numFmtId="0" fontId="5" fillId="3" borderId="0" xfId="0" quotePrefix="1" applyNumberFormat="1" applyFont="1" applyFill="1" applyBorder="1" applyAlignment="1">
      <alignment horizontal="right" vertical="center" shrinkToFit="1"/>
    </xf>
    <xf numFmtId="57" fontId="5" fillId="2" borderId="72" xfId="0" applyNumberFormat="1" applyFont="1" applyFill="1" applyBorder="1" applyAlignment="1">
      <alignment horizontal="left" vertical="center" shrinkToFit="1"/>
    </xf>
    <xf numFmtId="0" fontId="5" fillId="0" borderId="73" xfId="0" applyNumberFormat="1" applyFont="1" applyFill="1" applyBorder="1" applyAlignment="1" applyProtection="1">
      <alignment vertical="center" shrinkToFit="1"/>
    </xf>
    <xf numFmtId="179" fontId="5" fillId="0" borderId="74" xfId="0" applyNumberFormat="1" applyFont="1" applyFill="1" applyBorder="1" applyAlignment="1" applyProtection="1">
      <alignment horizontal="center" vertical="center" shrinkToFit="1"/>
    </xf>
    <xf numFmtId="0" fontId="5" fillId="0" borderId="65" xfId="0" applyNumberFormat="1" applyFont="1" applyFill="1" applyBorder="1" applyAlignment="1" applyProtection="1">
      <alignment vertical="center" shrinkToFit="1"/>
    </xf>
    <xf numFmtId="192" fontId="5" fillId="0" borderId="74" xfId="0" applyNumberFormat="1" applyFont="1" applyFill="1" applyBorder="1" applyAlignment="1" applyProtection="1">
      <alignment vertical="center" shrinkToFit="1"/>
    </xf>
    <xf numFmtId="192" fontId="6" fillId="0" borderId="73" xfId="0" applyNumberFormat="1" applyFont="1" applyFill="1" applyBorder="1" applyAlignment="1" applyProtection="1">
      <alignment horizontal="center" vertical="center" shrinkToFit="1"/>
    </xf>
    <xf numFmtId="192" fontId="6" fillId="12" borderId="75" xfId="0" applyNumberFormat="1" applyFont="1" applyFill="1" applyBorder="1" applyAlignment="1" applyProtection="1">
      <alignment horizontal="center" vertical="center" shrinkToFit="1"/>
    </xf>
    <xf numFmtId="192" fontId="5" fillId="8" borderId="76" xfId="0" applyNumberFormat="1" applyFont="1" applyFill="1" applyBorder="1" applyAlignment="1">
      <alignment horizontal="right" vertical="center" shrinkToFit="1"/>
    </xf>
    <xf numFmtId="57" fontId="5" fillId="5" borderId="77" xfId="0" applyNumberFormat="1" applyFont="1" applyFill="1" applyBorder="1" applyAlignment="1">
      <alignment horizontal="left" vertical="center" shrinkToFit="1"/>
    </xf>
    <xf numFmtId="192" fontId="6" fillId="10" borderId="59" xfId="0" applyNumberFormat="1" applyFont="1" applyFill="1" applyBorder="1" applyAlignment="1" applyProtection="1">
      <alignment horizontal="center" vertical="center" shrinkToFit="1"/>
    </xf>
    <xf numFmtId="192" fontId="6" fillId="11" borderId="75" xfId="0" applyNumberFormat="1" applyFont="1" applyFill="1" applyBorder="1" applyAlignment="1" applyProtection="1">
      <alignment horizontal="center" vertical="center" shrinkToFit="1"/>
    </xf>
    <xf numFmtId="0" fontId="5" fillId="2" borderId="26" xfId="0" applyNumberFormat="1" applyFont="1" applyFill="1" applyBorder="1" applyAlignment="1" applyProtection="1">
      <alignment horizontal="left" vertical="center" shrinkToFit="1"/>
    </xf>
    <xf numFmtId="179" fontId="5" fillId="2" borderId="16" xfId="0" applyNumberFormat="1" applyFont="1" applyFill="1" applyBorder="1" applyAlignment="1" applyProtection="1">
      <alignment horizontal="left" vertical="center" shrinkToFit="1"/>
    </xf>
    <xf numFmtId="2" fontId="6" fillId="0" borderId="34" xfId="0" applyNumberFormat="1" applyFont="1" applyFill="1" applyBorder="1" applyAlignment="1" applyProtection="1">
      <alignment horizontal="center" vertical="center" shrinkToFit="1"/>
    </xf>
    <xf numFmtId="2" fontId="5" fillId="3" borderId="79" xfId="0" applyNumberFormat="1" applyFont="1" applyFill="1" applyBorder="1" applyAlignment="1" applyProtection="1">
      <alignment horizontal="right" vertical="center" shrinkToFit="1"/>
    </xf>
    <xf numFmtId="0" fontId="5" fillId="3" borderId="80" xfId="0" applyNumberFormat="1" applyFont="1" applyFill="1" applyBorder="1" applyAlignment="1" applyProtection="1">
      <alignment horizontal="right" vertical="center" shrinkToFit="1"/>
    </xf>
    <xf numFmtId="2" fontId="5" fillId="3" borderId="81" xfId="0" applyNumberFormat="1" applyFont="1" applyFill="1" applyBorder="1" applyAlignment="1" applyProtection="1">
      <alignment horizontal="right" vertical="center" shrinkToFit="1"/>
    </xf>
    <xf numFmtId="0" fontId="5" fillId="3" borderId="67" xfId="0" applyNumberFormat="1" applyFont="1" applyFill="1" applyBorder="1" applyAlignment="1" applyProtection="1">
      <alignment horizontal="right" vertical="center" shrinkToFit="1"/>
    </xf>
    <xf numFmtId="2" fontId="5" fillId="3" borderId="81" xfId="0" quotePrefix="1" applyNumberFormat="1" applyFont="1" applyFill="1" applyBorder="1" applyAlignment="1">
      <alignment horizontal="right" vertical="center" shrinkToFit="1"/>
    </xf>
    <xf numFmtId="1" fontId="5" fillId="3" borderId="67" xfId="0" quotePrefix="1" applyNumberFormat="1" applyFont="1" applyFill="1" applyBorder="1" applyAlignment="1">
      <alignment horizontal="right" vertical="center" shrinkToFit="1"/>
    </xf>
    <xf numFmtId="0" fontId="5" fillId="3" borderId="81" xfId="0" quotePrefix="1" applyNumberFormat="1" applyFont="1" applyFill="1" applyBorder="1" applyAlignment="1">
      <alignment horizontal="right" vertical="center" shrinkToFit="1"/>
    </xf>
    <xf numFmtId="0" fontId="5" fillId="3" borderId="67" xfId="0" quotePrefix="1" applyNumberFormat="1" applyFont="1" applyFill="1" applyBorder="1" applyAlignment="1">
      <alignment horizontal="right" vertical="center" shrinkToFit="1"/>
    </xf>
    <xf numFmtId="2" fontId="5" fillId="0" borderId="45" xfId="0" applyNumberFormat="1" applyFont="1" applyFill="1" applyBorder="1" applyAlignment="1">
      <alignment horizontal="right" vertical="center" shrinkToFit="1"/>
    </xf>
    <xf numFmtId="192" fontId="5" fillId="0" borderId="45" xfId="0" applyNumberFormat="1" applyFont="1" applyBorder="1" applyAlignment="1">
      <alignment horizontal="right" vertical="center" shrinkToFit="1"/>
    </xf>
    <xf numFmtId="1" fontId="5" fillId="0" borderId="45" xfId="0" applyNumberFormat="1" applyFont="1" applyBorder="1" applyAlignment="1">
      <alignment horizontal="right" vertical="center" shrinkToFit="1"/>
    </xf>
    <xf numFmtId="182" fontId="5" fillId="0" borderId="45" xfId="0" applyNumberFormat="1" applyFont="1" applyFill="1" applyBorder="1" applyAlignment="1">
      <alignment horizontal="right" vertical="center" shrinkToFit="1"/>
    </xf>
    <xf numFmtId="192" fontId="6" fillId="12" borderId="82" xfId="0" applyNumberFormat="1" applyFont="1" applyFill="1" applyBorder="1" applyAlignment="1" applyProtection="1">
      <alignment horizontal="center" vertical="center" shrinkToFit="1"/>
    </xf>
    <xf numFmtId="192" fontId="6" fillId="10" borderId="83" xfId="0" applyNumberFormat="1" applyFont="1" applyFill="1" applyBorder="1" applyAlignment="1" applyProtection="1">
      <alignment horizontal="center" vertical="center" shrinkToFit="1"/>
    </xf>
    <xf numFmtId="192" fontId="6" fillId="0" borderId="65" xfId="0" applyNumberFormat="1" applyFont="1" applyFill="1" applyBorder="1" applyAlignment="1" applyProtection="1">
      <alignment horizontal="center" vertical="center" shrinkToFit="1"/>
    </xf>
    <xf numFmtId="2" fontId="5" fillId="0" borderId="61" xfId="0" applyNumberFormat="1" applyFont="1" applyFill="1" applyBorder="1" applyAlignment="1">
      <alignment horizontal="right" vertical="center" shrinkToFit="1"/>
    </xf>
    <xf numFmtId="192" fontId="5" fillId="0" borderId="61" xfId="0" applyNumberFormat="1" applyFont="1" applyBorder="1" applyAlignment="1">
      <alignment horizontal="right" vertical="center" shrinkToFit="1"/>
    </xf>
    <xf numFmtId="1" fontId="5" fillId="0" borderId="61" xfId="0" applyNumberFormat="1" applyFont="1" applyBorder="1" applyAlignment="1">
      <alignment horizontal="right" vertical="center" shrinkToFit="1"/>
    </xf>
    <xf numFmtId="182" fontId="5" fillId="0" borderId="61" xfId="0" applyNumberFormat="1" applyFont="1" applyFill="1" applyBorder="1" applyAlignment="1">
      <alignment horizontal="right" vertical="center" shrinkToFit="1"/>
    </xf>
    <xf numFmtId="187" fontId="5" fillId="2" borderId="2" xfId="0" quotePrefix="1" applyNumberFormat="1" applyFont="1" applyFill="1" applyBorder="1" applyAlignment="1" applyProtection="1">
      <alignment horizontal="right" vertical="center"/>
    </xf>
    <xf numFmtId="190" fontId="5" fillId="0" borderId="12" xfId="0" applyNumberFormat="1" applyFont="1" applyFill="1" applyBorder="1" applyAlignment="1">
      <alignment vertical="center" shrinkToFit="1"/>
    </xf>
    <xf numFmtId="190" fontId="5" fillId="0" borderId="36" xfId="0" applyNumberFormat="1" applyFont="1" applyFill="1" applyBorder="1" applyAlignment="1" applyProtection="1">
      <alignment vertical="center" shrinkToFit="1"/>
    </xf>
    <xf numFmtId="179" fontId="5" fillId="0" borderId="36" xfId="0" applyNumberFormat="1" applyFont="1" applyFill="1" applyBorder="1" applyAlignment="1" applyProtection="1">
      <alignment vertical="center" shrinkToFit="1"/>
    </xf>
    <xf numFmtId="190" fontId="5" fillId="0" borderId="36" xfId="0" applyNumberFormat="1" applyFont="1" applyFill="1" applyBorder="1" applyAlignment="1" applyProtection="1">
      <alignment horizontal="center" vertical="center" shrinkToFit="1"/>
    </xf>
    <xf numFmtId="190" fontId="5" fillId="0" borderId="36" xfId="0" applyNumberFormat="1" applyFont="1" applyFill="1" applyBorder="1" applyAlignment="1">
      <alignment vertical="center" shrinkToFit="1"/>
    </xf>
    <xf numFmtId="2" fontId="5" fillId="0" borderId="36" xfId="0" applyNumberFormat="1" applyFont="1" applyFill="1" applyBorder="1" applyAlignment="1" applyProtection="1">
      <alignment horizontal="center" vertical="center" shrinkToFit="1"/>
    </xf>
    <xf numFmtId="187" fontId="5" fillId="0" borderId="36" xfId="0" applyNumberFormat="1" applyFont="1" applyFill="1" applyBorder="1" applyAlignment="1">
      <alignment vertical="center" shrinkToFit="1"/>
    </xf>
    <xf numFmtId="190" fontId="5" fillId="0" borderId="46" xfId="0" applyNumberFormat="1" applyFont="1" applyFill="1" applyBorder="1" applyAlignment="1">
      <alignment vertical="center" shrinkToFit="1"/>
    </xf>
    <xf numFmtId="190" fontId="5" fillId="0" borderId="6" xfId="0" applyNumberFormat="1" applyFont="1" applyFill="1" applyBorder="1" applyAlignment="1" applyProtection="1">
      <alignment horizontal="center" vertical="center" shrinkToFit="1"/>
    </xf>
    <xf numFmtId="0" fontId="5" fillId="0" borderId="36" xfId="0" applyFont="1" applyBorder="1" applyAlignment="1">
      <alignment vertical="center"/>
    </xf>
    <xf numFmtId="1" fontId="5" fillId="0" borderId="74" xfId="0" applyNumberFormat="1" applyFont="1" applyFill="1" applyBorder="1" applyAlignment="1" applyProtection="1">
      <alignment vertical="center" shrinkToFit="1"/>
    </xf>
    <xf numFmtId="192" fontId="6" fillId="0" borderId="74" xfId="0" applyNumberFormat="1" applyFont="1" applyFill="1" applyBorder="1" applyAlignment="1" applyProtection="1">
      <alignment horizontal="center" vertical="center" shrinkToFit="1"/>
    </xf>
    <xf numFmtId="181" fontId="5" fillId="0" borderId="74" xfId="0" applyNumberFormat="1" applyFont="1" applyFill="1" applyBorder="1" applyAlignment="1" applyProtection="1">
      <alignment vertical="center" shrinkToFit="1"/>
    </xf>
    <xf numFmtId="192" fontId="6" fillId="0" borderId="77" xfId="0" applyNumberFormat="1" applyFont="1" applyFill="1" applyBorder="1" applyAlignment="1" applyProtection="1">
      <alignment horizontal="center" vertical="center" shrinkToFit="1"/>
    </xf>
    <xf numFmtId="179" fontId="5" fillId="0" borderId="74" xfId="0" applyNumberFormat="1" applyFont="1" applyFill="1" applyBorder="1" applyAlignment="1" applyProtection="1">
      <alignment vertical="center" shrinkToFit="1"/>
    </xf>
    <xf numFmtId="190" fontId="6" fillId="0" borderId="74" xfId="0" applyNumberFormat="1" applyFont="1" applyFill="1" applyBorder="1" applyAlignment="1" applyProtection="1">
      <alignment vertical="center" shrinkToFit="1"/>
    </xf>
    <xf numFmtId="190" fontId="6" fillId="0" borderId="77" xfId="0" applyNumberFormat="1" applyFont="1" applyFill="1" applyBorder="1" applyAlignment="1" applyProtection="1">
      <alignment vertical="center" shrinkToFit="1"/>
    </xf>
    <xf numFmtId="0" fontId="5" fillId="0" borderId="65" xfId="0" applyNumberFormat="1" applyFont="1" applyFill="1" applyBorder="1" applyAlignment="1" applyProtection="1">
      <alignment horizontal="right" vertical="center" shrinkToFit="1"/>
    </xf>
    <xf numFmtId="57" fontId="5" fillId="7" borderId="72" xfId="0" applyNumberFormat="1" applyFont="1" applyFill="1" applyBorder="1" applyAlignment="1">
      <alignment horizontal="left" vertical="center" shrinkToFit="1"/>
    </xf>
    <xf numFmtId="2" fontId="5" fillId="0" borderId="65" xfId="0" applyNumberFormat="1" applyFont="1" applyFill="1" applyBorder="1" applyAlignment="1" applyProtection="1">
      <alignment horizontal="center" vertical="center" shrinkToFit="1"/>
    </xf>
    <xf numFmtId="187" fontId="5" fillId="0" borderId="74" xfId="0" applyNumberFormat="1" applyFont="1" applyFill="1" applyBorder="1" applyAlignment="1">
      <alignment vertical="center" shrinkToFit="1"/>
    </xf>
    <xf numFmtId="181" fontId="5" fillId="0" borderId="74" xfId="0" applyNumberFormat="1" applyFont="1" applyFill="1" applyBorder="1" applyAlignment="1">
      <alignment vertical="center" shrinkToFit="1"/>
    </xf>
    <xf numFmtId="190" fontId="5" fillId="0" borderId="77" xfId="0" applyNumberFormat="1" applyFont="1" applyFill="1" applyBorder="1" applyAlignment="1">
      <alignment vertical="center" shrinkToFit="1"/>
    </xf>
    <xf numFmtId="186" fontId="5" fillId="0" borderId="73" xfId="0" applyNumberFormat="1" applyFont="1" applyFill="1" applyBorder="1" applyAlignment="1" applyProtection="1">
      <alignment horizontal="center" vertical="center" shrinkToFit="1"/>
    </xf>
    <xf numFmtId="190" fontId="6" fillId="0" borderId="74" xfId="0" applyNumberFormat="1" applyFont="1" applyFill="1" applyBorder="1" applyAlignment="1">
      <alignment vertical="center" shrinkToFit="1"/>
    </xf>
    <xf numFmtId="190" fontId="6" fillId="0" borderId="77" xfId="0" applyNumberFormat="1" applyFont="1" applyFill="1" applyBorder="1" applyAlignment="1">
      <alignment vertical="center" shrinkToFit="1"/>
    </xf>
    <xf numFmtId="184" fontId="5" fillId="4" borderId="38" xfId="0" applyNumberFormat="1" applyFont="1" applyFill="1" applyBorder="1" applyAlignment="1">
      <alignment vertical="center" shrinkToFit="1"/>
    </xf>
    <xf numFmtId="178" fontId="5" fillId="0" borderId="32" xfId="0" applyNumberFormat="1" applyFont="1" applyBorder="1" applyAlignment="1">
      <alignment vertical="center" shrinkToFit="1"/>
    </xf>
    <xf numFmtId="178" fontId="5" fillId="0" borderId="8" xfId="0" applyNumberFormat="1" applyFont="1" applyBorder="1" applyAlignment="1" applyProtection="1">
      <alignment vertical="center" shrinkToFit="1"/>
    </xf>
    <xf numFmtId="178" fontId="5" fillId="0" borderId="8" xfId="0" applyNumberFormat="1" applyFont="1" applyBorder="1" applyAlignment="1">
      <alignment vertical="center" shrinkToFit="1"/>
    </xf>
    <xf numFmtId="178" fontId="5" fillId="0" borderId="61" xfId="0" applyNumberFormat="1" applyFont="1" applyBorder="1" applyAlignment="1" applyProtection="1">
      <alignment vertical="center" shrinkToFit="1"/>
    </xf>
    <xf numFmtId="178" fontId="5" fillId="0" borderId="45" xfId="0" applyNumberFormat="1" applyFont="1" applyBorder="1" applyAlignment="1" applyProtection="1">
      <alignment vertical="center" shrinkToFit="1"/>
    </xf>
    <xf numFmtId="178" fontId="5" fillId="0" borderId="16" xfId="0" applyNumberFormat="1" applyFont="1" applyBorder="1" applyAlignment="1">
      <alignment vertical="center" shrinkToFit="1"/>
    </xf>
    <xf numFmtId="0" fontId="5" fillId="0" borderId="68" xfId="0" applyFont="1" applyBorder="1" applyAlignment="1">
      <alignment horizontal="center" vertical="center" shrinkToFit="1"/>
    </xf>
    <xf numFmtId="0" fontId="5" fillId="7" borderId="18" xfId="0" applyFont="1" applyFill="1" applyBorder="1" applyAlignment="1" applyProtection="1">
      <alignment horizontal="right" vertical="center"/>
    </xf>
    <xf numFmtId="0" fontId="5" fillId="7" borderId="19" xfId="0" applyFont="1" applyFill="1" applyBorder="1" applyAlignment="1" applyProtection="1">
      <alignment horizontal="right" vertical="center"/>
    </xf>
    <xf numFmtId="187" fontId="5" fillId="7" borderId="19" xfId="0" applyNumberFormat="1" applyFont="1" applyFill="1" applyBorder="1" applyAlignment="1" applyProtection="1">
      <alignment horizontal="right" vertical="center"/>
    </xf>
    <xf numFmtId="187" fontId="5" fillId="7" borderId="6" xfId="0" quotePrefix="1" applyNumberFormat="1" applyFont="1" applyFill="1" applyBorder="1" applyAlignment="1" applyProtection="1">
      <alignment horizontal="right" vertical="center"/>
    </xf>
    <xf numFmtId="0" fontId="5" fillId="7" borderId="20" xfId="0" applyFont="1" applyFill="1" applyBorder="1" applyAlignment="1" applyProtection="1">
      <alignment horizontal="right" vertical="center"/>
    </xf>
    <xf numFmtId="0" fontId="5" fillId="7" borderId="25" xfId="0" applyFont="1" applyFill="1" applyBorder="1" applyAlignment="1" applyProtection="1">
      <alignment horizontal="right" vertical="center"/>
    </xf>
    <xf numFmtId="0" fontId="5" fillId="7" borderId="6" xfId="0" applyFont="1" applyFill="1" applyBorder="1" applyAlignment="1" applyProtection="1">
      <alignment horizontal="right" vertical="center"/>
    </xf>
    <xf numFmtId="57" fontId="5" fillId="2" borderId="21" xfId="0" applyNumberFormat="1" applyFont="1" applyFill="1" applyBorder="1" applyAlignment="1" applyProtection="1">
      <alignment horizontal="left" vertical="center" shrinkToFit="1"/>
    </xf>
    <xf numFmtId="187" fontId="5" fillId="0" borderId="45" xfId="0" applyNumberFormat="1" applyFont="1" applyFill="1" applyBorder="1" applyAlignment="1" applyProtection="1">
      <alignment vertical="center" shrinkToFit="1"/>
    </xf>
    <xf numFmtId="190" fontId="5" fillId="0" borderId="46" xfId="0" applyNumberFormat="1" applyFont="1" applyFill="1" applyBorder="1" applyAlignment="1" applyProtection="1">
      <alignment vertical="center" shrinkToFit="1"/>
    </xf>
    <xf numFmtId="2" fontId="5" fillId="0" borderId="44" xfId="0" applyNumberFormat="1" applyFont="1" applyFill="1" applyBorder="1" applyAlignment="1" applyProtection="1">
      <alignment vertical="center" shrinkToFit="1"/>
    </xf>
    <xf numFmtId="186" fontId="5" fillId="9" borderId="45" xfId="0" applyNumberFormat="1" applyFont="1" applyFill="1" applyBorder="1" applyAlignment="1" applyProtection="1">
      <alignment horizontal="center" vertical="center" shrinkToFit="1"/>
    </xf>
    <xf numFmtId="192" fontId="6" fillId="0" borderId="92" xfId="0" applyNumberFormat="1" applyFont="1" applyFill="1" applyBorder="1" applyAlignment="1" applyProtection="1">
      <alignment horizontal="center" vertical="center" shrinkToFit="1"/>
    </xf>
    <xf numFmtId="187" fontId="5" fillId="0" borderId="46" xfId="0" applyNumberFormat="1" applyFont="1" applyFill="1" applyBorder="1" applyAlignment="1">
      <alignment vertical="center" shrinkToFit="1"/>
    </xf>
    <xf numFmtId="187" fontId="5" fillId="8" borderId="19" xfId="0" applyNumberFormat="1" applyFont="1" applyFill="1" applyBorder="1" applyAlignment="1" applyProtection="1">
      <alignment horizontal="right" vertical="center"/>
    </xf>
    <xf numFmtId="187" fontId="5" fillId="8" borderId="16" xfId="0" quotePrefix="1" applyNumberFormat="1" applyFont="1" applyFill="1" applyBorder="1" applyAlignment="1" applyProtection="1">
      <alignment horizontal="right" vertical="center"/>
    </xf>
    <xf numFmtId="187" fontId="5" fillId="8" borderId="2" xfId="0" quotePrefix="1" applyNumberFormat="1" applyFont="1" applyFill="1" applyBorder="1" applyAlignment="1" applyProtection="1">
      <alignment horizontal="right" vertical="center"/>
    </xf>
    <xf numFmtId="0" fontId="5" fillId="2" borderId="16" xfId="0" quotePrefix="1" applyFont="1" applyFill="1" applyBorder="1" applyAlignment="1" applyProtection="1">
      <alignment horizontal="right" vertical="center"/>
    </xf>
    <xf numFmtId="187" fontId="5" fillId="8" borderId="19" xfId="0" quotePrefix="1" applyNumberFormat="1" applyFont="1" applyFill="1" applyBorder="1" applyAlignment="1" applyProtection="1">
      <alignment horizontal="right" vertical="center"/>
    </xf>
    <xf numFmtId="187" fontId="5" fillId="8" borderId="6" xfId="0" quotePrefix="1" applyNumberFormat="1" applyFont="1" applyFill="1" applyBorder="1" applyAlignment="1" applyProtection="1">
      <alignment horizontal="right" vertical="center"/>
    </xf>
    <xf numFmtId="57" fontId="5" fillId="2" borderId="1" xfId="0" applyNumberFormat="1" applyFont="1" applyFill="1" applyBorder="1" applyAlignment="1" applyProtection="1">
      <alignment horizontal="right" vertical="center"/>
    </xf>
    <xf numFmtId="57" fontId="5" fillId="2" borderId="5" xfId="0" applyNumberFormat="1" applyFont="1" applyFill="1" applyBorder="1" applyAlignment="1" applyProtection="1">
      <alignment horizontal="right" vertical="center" shrinkToFit="1"/>
    </xf>
    <xf numFmtId="0" fontId="5" fillId="2" borderId="26" xfId="0" applyNumberFormat="1" applyFont="1" applyFill="1" applyBorder="1" applyAlignment="1" applyProtection="1">
      <alignment horizontal="right" vertical="center" shrinkToFit="1"/>
    </xf>
    <xf numFmtId="179" fontId="5" fillId="2" borderId="16" xfId="0" applyNumberFormat="1" applyFont="1" applyFill="1" applyBorder="1" applyAlignment="1" applyProtection="1">
      <alignment horizontal="right" vertical="center" shrinkToFit="1"/>
    </xf>
    <xf numFmtId="0" fontId="5" fillId="0" borderId="93" xfId="0" applyFont="1" applyBorder="1" applyAlignment="1">
      <alignment vertical="center"/>
    </xf>
    <xf numFmtId="0" fontId="5" fillId="0" borderId="6" xfId="0" applyFont="1" applyBorder="1" applyAlignment="1">
      <alignment vertical="center"/>
    </xf>
    <xf numFmtId="0" fontId="5" fillId="0" borderId="15" xfId="0" applyFont="1" applyBorder="1" applyAlignment="1">
      <alignment vertical="center"/>
    </xf>
    <xf numFmtId="0" fontId="5" fillId="0" borderId="16" xfId="0" applyFont="1" applyBorder="1" applyAlignment="1">
      <alignment vertical="center"/>
    </xf>
    <xf numFmtId="181" fontId="5" fillId="0" borderId="93" xfId="0" applyNumberFormat="1" applyFont="1" applyBorder="1" applyAlignment="1">
      <alignment vertical="center"/>
    </xf>
    <xf numFmtId="0" fontId="5" fillId="0" borderId="5" xfId="0" applyNumberFormat="1" applyFont="1" applyBorder="1" applyAlignment="1">
      <alignment vertical="center" shrinkToFit="1"/>
    </xf>
    <xf numFmtId="2" fontId="5" fillId="0" borderId="15" xfId="0" applyNumberFormat="1" applyFont="1" applyBorder="1" applyAlignment="1">
      <alignment vertical="center" shrinkToFit="1"/>
    </xf>
    <xf numFmtId="2" fontId="5" fillId="0" borderId="16" xfId="0" applyNumberFormat="1" applyFont="1" applyBorder="1" applyAlignment="1">
      <alignment vertical="center" shrinkToFit="1"/>
    </xf>
    <xf numFmtId="2" fontId="5" fillId="0" borderId="17" xfId="0" applyNumberFormat="1" applyFont="1" applyBorder="1" applyAlignment="1">
      <alignment vertical="center" shrinkToFit="1"/>
    </xf>
    <xf numFmtId="0" fontId="5" fillId="2" borderId="93" xfId="0" applyNumberFormat="1" applyFont="1" applyFill="1" applyBorder="1" applyAlignment="1" applyProtection="1">
      <alignment horizontal="right" vertical="center"/>
    </xf>
    <xf numFmtId="181" fontId="5" fillId="0" borderId="13" xfId="0" applyNumberFormat="1" applyFont="1" applyBorder="1" applyAlignment="1">
      <alignment vertical="center"/>
    </xf>
    <xf numFmtId="191" fontId="5" fillId="0" borderId="10" xfId="0" applyNumberFormat="1" applyFont="1" applyBorder="1" applyAlignment="1">
      <alignment vertical="center" shrinkToFit="1"/>
    </xf>
    <xf numFmtId="0" fontId="5" fillId="0" borderId="42" xfId="0" applyNumberFormat="1" applyFont="1" applyBorder="1" applyAlignment="1">
      <alignment vertical="center" shrinkToFit="1"/>
    </xf>
    <xf numFmtId="0" fontId="5" fillId="0" borderId="32" xfId="0" applyNumberFormat="1" applyFont="1" applyBorder="1" applyAlignment="1">
      <alignment vertical="center" shrinkToFit="1"/>
    </xf>
    <xf numFmtId="0" fontId="5" fillId="0" borderId="56" xfId="0" applyFont="1" applyBorder="1" applyAlignment="1">
      <alignment vertical="center"/>
    </xf>
    <xf numFmtId="0" fontId="5" fillId="0" borderId="56" xfId="0" applyNumberFormat="1" applyFont="1" applyBorder="1" applyAlignment="1">
      <alignment vertical="center" shrinkToFit="1"/>
    </xf>
    <xf numFmtId="0" fontId="5" fillId="0" borderId="94" xfId="0" applyFont="1" applyBorder="1" applyAlignment="1">
      <alignment vertical="center"/>
    </xf>
    <xf numFmtId="181" fontId="5" fillId="0" borderId="13" xfId="0" quotePrefix="1" applyNumberFormat="1" applyFont="1" applyBorder="1" applyAlignment="1">
      <alignment horizontal="left" vertical="center"/>
    </xf>
    <xf numFmtId="0" fontId="5" fillId="0" borderId="10" xfId="0" applyNumberFormat="1" applyFont="1" applyBorder="1" applyAlignment="1">
      <alignment vertical="center" shrinkToFit="1"/>
    </xf>
    <xf numFmtId="2" fontId="5" fillId="0" borderId="42" xfId="0" applyNumberFormat="1" applyFont="1" applyBorder="1" applyAlignment="1">
      <alignment vertical="center" shrinkToFit="1"/>
    </xf>
    <xf numFmtId="2" fontId="5" fillId="0" borderId="32" xfId="0" applyNumberFormat="1" applyFont="1" applyBorder="1" applyAlignment="1">
      <alignment vertical="center" shrinkToFit="1"/>
    </xf>
    <xf numFmtId="2" fontId="5" fillId="0" borderId="56" xfId="0" applyNumberFormat="1" applyFont="1" applyBorder="1" applyAlignment="1">
      <alignment vertical="center" shrinkToFit="1"/>
    </xf>
    <xf numFmtId="181" fontId="5" fillId="0" borderId="94" xfId="0" quotePrefix="1" applyNumberFormat="1" applyFont="1" applyBorder="1" applyAlignment="1">
      <alignment horizontal="left" vertical="center"/>
    </xf>
    <xf numFmtId="186" fontId="5" fillId="0" borderId="33" xfId="0" applyNumberFormat="1" applyFont="1" applyBorder="1" applyAlignment="1">
      <alignment vertical="center" shrinkToFit="1"/>
    </xf>
    <xf numFmtId="2" fontId="5" fillId="0" borderId="38" xfId="0" applyNumberFormat="1" applyFont="1" applyBorder="1" applyAlignment="1">
      <alignment vertical="center" shrinkToFit="1"/>
    </xf>
    <xf numFmtId="2" fontId="5" fillId="0" borderId="8" xfId="0" applyNumberFormat="1" applyFont="1" applyBorder="1" applyAlignment="1">
      <alignment vertical="center" shrinkToFit="1"/>
    </xf>
    <xf numFmtId="2" fontId="5" fillId="0" borderId="51" xfId="0" applyNumberFormat="1" applyFont="1" applyBorder="1" applyAlignment="1">
      <alignment vertical="center" shrinkToFit="1"/>
    </xf>
    <xf numFmtId="0" fontId="5" fillId="2" borderId="13" xfId="0" applyFont="1" applyFill="1" applyBorder="1" applyAlignment="1" applyProtection="1">
      <alignment horizontal="right" vertical="center"/>
    </xf>
    <xf numFmtId="0" fontId="5" fillId="2" borderId="94" xfId="0" applyFont="1" applyFill="1" applyBorder="1" applyAlignment="1" applyProtection="1">
      <alignment horizontal="right" vertical="center"/>
    </xf>
    <xf numFmtId="0" fontId="5" fillId="2" borderId="94" xfId="0" quotePrefix="1" applyFont="1" applyFill="1" applyBorder="1" applyAlignment="1" applyProtection="1">
      <alignment horizontal="right" vertical="center"/>
    </xf>
    <xf numFmtId="0" fontId="5" fillId="2" borderId="94" xfId="0" applyNumberFormat="1" applyFont="1" applyFill="1" applyBorder="1" applyAlignment="1" applyProtection="1">
      <alignment horizontal="right" vertical="center"/>
    </xf>
    <xf numFmtId="57" fontId="5" fillId="2" borderId="10" xfId="0" applyNumberFormat="1" applyFont="1" applyFill="1" applyBorder="1" applyAlignment="1" applyProtection="1">
      <alignment horizontal="left" vertical="center" shrinkToFit="1"/>
    </xf>
    <xf numFmtId="0" fontId="5" fillId="0" borderId="31" xfId="0" applyFont="1" applyFill="1" applyBorder="1" applyAlignment="1">
      <alignment vertical="center" shrinkToFit="1"/>
    </xf>
    <xf numFmtId="0" fontId="5" fillId="0" borderId="32" xfId="0" applyFont="1" applyFill="1" applyBorder="1" applyAlignment="1">
      <alignment vertical="center" shrinkToFit="1"/>
    </xf>
    <xf numFmtId="187" fontId="5" fillId="0" borderId="32" xfId="0" applyNumberFormat="1" applyFont="1" applyFill="1" applyBorder="1" applyAlignment="1" applyProtection="1">
      <alignment vertical="center" shrinkToFit="1"/>
    </xf>
    <xf numFmtId="181" fontId="5" fillId="0" borderId="32" xfId="0" applyNumberFormat="1" applyFont="1" applyFill="1" applyBorder="1" applyAlignment="1" applyProtection="1">
      <alignment vertical="center" shrinkToFit="1"/>
    </xf>
    <xf numFmtId="182" fontId="5" fillId="0" borderId="31" xfId="0" applyNumberFormat="1" applyFont="1" applyFill="1" applyBorder="1" applyAlignment="1" applyProtection="1">
      <alignment vertical="center" shrinkToFit="1"/>
    </xf>
    <xf numFmtId="179" fontId="5" fillId="0" borderId="32" xfId="0" applyNumberFormat="1" applyFont="1" applyFill="1" applyBorder="1" applyAlignment="1" applyProtection="1">
      <alignment vertical="center" shrinkToFit="1"/>
    </xf>
    <xf numFmtId="1" fontId="5" fillId="0" borderId="12" xfId="0" applyNumberFormat="1" applyFont="1" applyFill="1" applyBorder="1" applyAlignment="1" applyProtection="1">
      <alignment vertical="center" shrinkToFit="1"/>
    </xf>
    <xf numFmtId="0" fontId="5" fillId="0" borderId="42" xfId="0" applyFont="1" applyBorder="1" applyAlignment="1">
      <alignment vertical="center" shrinkToFit="1"/>
    </xf>
    <xf numFmtId="0" fontId="5" fillId="0" borderId="42" xfId="0" applyFont="1" applyBorder="1" applyAlignment="1" applyProtection="1">
      <alignment vertical="center" shrinkToFit="1"/>
    </xf>
    <xf numFmtId="0" fontId="5" fillId="0" borderId="32" xfId="0" applyFont="1" applyBorder="1" applyAlignment="1" applyProtection="1">
      <alignment vertical="center" shrinkToFit="1"/>
    </xf>
    <xf numFmtId="0" fontId="5" fillId="0" borderId="12" xfId="0" applyFont="1" applyBorder="1" applyAlignment="1" applyProtection="1">
      <alignment vertical="center" shrinkToFit="1"/>
    </xf>
    <xf numFmtId="1" fontId="5" fillId="0" borderId="36" xfId="0" applyNumberFormat="1" applyFont="1" applyFill="1" applyBorder="1" applyAlignment="1" applyProtection="1">
      <alignment vertical="center" shrinkToFit="1"/>
    </xf>
    <xf numFmtId="0" fontId="5" fillId="0" borderId="38" xfId="0" applyFont="1" applyBorder="1" applyAlignment="1" applyProtection="1">
      <alignment horizontal="right" vertical="center" shrinkToFit="1"/>
    </xf>
    <xf numFmtId="0" fontId="5" fillId="0" borderId="38" xfId="0" applyFont="1" applyBorder="1" applyAlignment="1">
      <alignment vertical="center" shrinkToFit="1"/>
    </xf>
    <xf numFmtId="182" fontId="5" fillId="0" borderId="8" xfId="0" applyNumberFormat="1" applyFont="1" applyFill="1" applyBorder="1" applyAlignment="1" applyProtection="1">
      <alignment vertical="center" shrinkToFit="1"/>
    </xf>
    <xf numFmtId="0" fontId="5" fillId="0" borderId="38" xfId="0" applyFont="1" applyBorder="1" applyAlignment="1" applyProtection="1">
      <alignment vertical="center" shrinkToFit="1"/>
    </xf>
    <xf numFmtId="2" fontId="5" fillId="0" borderId="38" xfId="0" applyNumberFormat="1" applyFont="1" applyBorder="1" applyAlignment="1" applyProtection="1">
      <alignment horizontal="center" vertical="center" shrinkToFit="1"/>
    </xf>
    <xf numFmtId="192" fontId="6" fillId="0" borderId="35" xfId="0" applyNumberFormat="1" applyFont="1" applyFill="1" applyBorder="1" applyAlignment="1" applyProtection="1">
      <alignment horizontal="center" vertical="center" shrinkToFit="1"/>
    </xf>
    <xf numFmtId="2" fontId="5" fillId="15" borderId="37" xfId="0" applyNumberFormat="1" applyFont="1" applyFill="1" applyBorder="1" applyAlignment="1" applyProtection="1">
      <alignment horizontal="center" vertical="center"/>
    </xf>
    <xf numFmtId="0" fontId="5" fillId="15" borderId="37" xfId="0" applyFont="1" applyFill="1" applyBorder="1" applyAlignment="1" applyProtection="1">
      <alignment horizontal="right" vertical="center"/>
    </xf>
    <xf numFmtId="0" fontId="5" fillId="15" borderId="64" xfId="0" applyFont="1" applyFill="1" applyBorder="1" applyAlignment="1" applyProtection="1">
      <alignment horizontal="right" vertical="center"/>
    </xf>
    <xf numFmtId="0" fontId="5" fillId="15" borderId="44" xfId="0" applyFont="1" applyFill="1" applyBorder="1" applyAlignment="1" applyProtection="1">
      <alignment horizontal="right" vertical="center"/>
    </xf>
    <xf numFmtId="2" fontId="5" fillId="15" borderId="85" xfId="0" applyNumberFormat="1" applyFont="1" applyFill="1" applyBorder="1" applyAlignment="1" applyProtection="1">
      <alignment horizontal="center" vertical="center"/>
    </xf>
    <xf numFmtId="0" fontId="5" fillId="15" borderId="35" xfId="0" applyFont="1" applyFill="1" applyBorder="1" applyAlignment="1" applyProtection="1">
      <alignment horizontal="center" vertical="center" shrinkToFit="1"/>
    </xf>
    <xf numFmtId="0" fontId="5" fillId="15" borderId="84" xfId="0" applyFont="1" applyFill="1" applyBorder="1" applyAlignment="1" applyProtection="1">
      <alignment horizontal="center" vertical="center" shrinkToFit="1"/>
    </xf>
    <xf numFmtId="0" fontId="5" fillId="15" borderId="37" xfId="0" applyFont="1" applyFill="1" applyBorder="1" applyAlignment="1" applyProtection="1">
      <alignment horizontal="center" vertical="center" shrinkToFit="1"/>
    </xf>
    <xf numFmtId="0" fontId="5" fillId="15" borderId="85" xfId="0" applyFont="1" applyFill="1" applyBorder="1" applyAlignment="1" applyProtection="1">
      <alignment horizontal="center" vertical="center" shrinkToFit="1"/>
    </xf>
    <xf numFmtId="0" fontId="5" fillId="15" borderId="64" xfId="0" applyFont="1" applyFill="1" applyBorder="1" applyAlignment="1" applyProtection="1">
      <alignment horizontal="center" vertical="center" shrinkToFit="1"/>
    </xf>
    <xf numFmtId="2" fontId="5" fillId="15" borderId="37" xfId="0" applyNumberFormat="1" applyFont="1" applyFill="1" applyBorder="1" applyAlignment="1" applyProtection="1">
      <alignment horizontal="center" vertical="center" shrinkToFit="1"/>
    </xf>
    <xf numFmtId="0" fontId="5" fillId="15" borderId="69" xfId="0" applyFont="1" applyFill="1" applyBorder="1" applyAlignment="1" applyProtection="1">
      <alignment horizontal="center" vertical="center" shrinkToFit="1"/>
    </xf>
    <xf numFmtId="0" fontId="5" fillId="15" borderId="38" xfId="0" applyFont="1" applyFill="1" applyBorder="1" applyAlignment="1">
      <alignment vertical="center" shrinkToFit="1"/>
    </xf>
    <xf numFmtId="0" fontId="5" fillId="15" borderId="78" xfId="0" applyFont="1" applyFill="1" applyBorder="1" applyAlignment="1" applyProtection="1">
      <alignment horizontal="right" vertical="center" shrinkToFit="1"/>
    </xf>
    <xf numFmtId="0" fontId="5" fillId="15" borderId="86" xfId="0" applyFont="1" applyFill="1" applyBorder="1" applyAlignment="1" applyProtection="1">
      <alignment horizontal="right" vertical="center" shrinkToFit="1"/>
    </xf>
    <xf numFmtId="2" fontId="5" fillId="15" borderId="87" xfId="0" applyNumberFormat="1" applyFont="1" applyFill="1" applyBorder="1" applyAlignment="1" applyProtection="1">
      <alignment horizontal="center" vertical="center" shrinkToFit="1"/>
    </xf>
    <xf numFmtId="0" fontId="5" fillId="15" borderId="78" xfId="0" applyFont="1" applyFill="1" applyBorder="1" applyAlignment="1">
      <alignment horizontal="center" vertical="center" shrinkToFit="1"/>
    </xf>
    <xf numFmtId="0" fontId="5" fillId="15" borderId="86" xfId="0" applyFont="1" applyFill="1" applyBorder="1" applyAlignment="1">
      <alignment horizontal="center" vertical="center" shrinkToFit="1"/>
    </xf>
    <xf numFmtId="0" fontId="5" fillId="15" borderId="89" xfId="0" applyFont="1" applyFill="1" applyBorder="1" applyAlignment="1">
      <alignment horizontal="center" vertical="center" shrinkToFit="1"/>
    </xf>
    <xf numFmtId="0" fontId="5" fillId="15" borderId="88" xfId="0" applyFont="1" applyFill="1" applyBorder="1" applyAlignment="1">
      <alignment horizontal="center" vertical="center" shrinkToFit="1"/>
    </xf>
    <xf numFmtId="0" fontId="5" fillId="15" borderId="87" xfId="0" applyFont="1" applyFill="1" applyBorder="1" applyAlignment="1">
      <alignment horizontal="center" vertical="center" shrinkToFit="1"/>
    </xf>
    <xf numFmtId="0" fontId="5" fillId="15" borderId="91" xfId="0" applyFont="1" applyFill="1" applyBorder="1" applyAlignment="1">
      <alignment horizontal="center" vertical="center" shrinkToFit="1"/>
    </xf>
    <xf numFmtId="0" fontId="5" fillId="15" borderId="90" xfId="0" applyFont="1" applyFill="1" applyBorder="1" applyAlignment="1">
      <alignment horizontal="center" vertical="center" shrinkToFit="1"/>
    </xf>
    <xf numFmtId="0" fontId="13" fillId="0" borderId="0" xfId="1" applyFont="1" applyFill="1" applyAlignment="1" applyProtection="1">
      <alignment vertical="center"/>
    </xf>
    <xf numFmtId="57" fontId="14" fillId="0" borderId="0" xfId="0" applyNumberFormat="1" applyFont="1" applyAlignment="1" applyProtection="1">
      <alignment vertical="center"/>
      <protection locked="0"/>
    </xf>
    <xf numFmtId="0" fontId="15" fillId="0" borderId="0" xfId="0" applyNumberFormat="1" applyFont="1" applyAlignment="1">
      <alignment horizontal="center" vertical="center" shrinkToFit="1"/>
    </xf>
    <xf numFmtId="192" fontId="6" fillId="10" borderId="55" xfId="0" applyNumberFormat="1" applyFont="1" applyFill="1" applyBorder="1" applyAlignment="1" applyProtection="1">
      <alignment horizontal="center" vertical="center" shrinkToFit="1"/>
    </xf>
    <xf numFmtId="57" fontId="15" fillId="7" borderId="46" xfId="0" applyNumberFormat="1" applyFont="1" applyFill="1" applyBorder="1" applyAlignment="1">
      <alignment horizontal="left" vertical="center" shrinkToFit="1"/>
    </xf>
    <xf numFmtId="57" fontId="5" fillId="5" borderId="46" xfId="0" applyNumberFormat="1" applyFont="1" applyFill="1" applyBorder="1" applyAlignment="1">
      <alignment horizontal="left" vertical="center" shrinkToFit="1"/>
    </xf>
    <xf numFmtId="192" fontId="5" fillId="0" borderId="51" xfId="0" applyNumberFormat="1" applyFont="1" applyFill="1" applyBorder="1" applyAlignment="1" applyProtection="1">
      <alignment horizontal="center" vertical="center" shrinkToFit="1"/>
    </xf>
    <xf numFmtId="186" fontId="5" fillId="9" borderId="51" xfId="0" applyNumberFormat="1" applyFont="1" applyFill="1" applyBorder="1" applyAlignment="1" applyProtection="1">
      <alignment horizontal="center" vertical="center" shrinkToFit="1"/>
    </xf>
    <xf numFmtId="179" fontId="5" fillId="0" borderId="96" xfId="0" applyNumberFormat="1" applyFont="1" applyFill="1" applyBorder="1" applyAlignment="1" applyProtection="1">
      <alignment horizontal="center" vertical="center" shrinkToFit="1"/>
    </xf>
    <xf numFmtId="179" fontId="5" fillId="0" borderId="58" xfId="0" applyNumberFormat="1" applyFont="1" applyFill="1" applyBorder="1" applyAlignment="1" applyProtection="1">
      <alignment horizontal="center" vertical="center" shrinkToFit="1"/>
    </xf>
    <xf numFmtId="179" fontId="5" fillId="0" borderId="51" xfId="0" applyNumberFormat="1" applyFont="1" applyFill="1" applyBorder="1" applyAlignment="1" applyProtection="1">
      <alignment horizontal="center" vertical="center" shrinkToFit="1"/>
    </xf>
    <xf numFmtId="192" fontId="6" fillId="0" borderId="58" xfId="0" applyNumberFormat="1" applyFont="1" applyFill="1" applyBorder="1" applyAlignment="1" applyProtection="1">
      <alignment horizontal="center" vertical="center" shrinkToFit="1"/>
    </xf>
    <xf numFmtId="192" fontId="6" fillId="0" borderId="51" xfId="0" applyNumberFormat="1" applyFont="1" applyFill="1" applyBorder="1" applyAlignment="1" applyProtection="1">
      <alignment horizontal="center" vertical="center" shrinkToFit="1"/>
    </xf>
    <xf numFmtId="0" fontId="6" fillId="0" borderId="51" xfId="0" applyNumberFormat="1" applyFont="1" applyFill="1" applyBorder="1" applyAlignment="1" applyProtection="1">
      <alignment horizontal="center" vertical="center" shrinkToFit="1"/>
    </xf>
    <xf numFmtId="0" fontId="5" fillId="0" borderId="51" xfId="0" applyNumberFormat="1" applyFont="1" applyFill="1" applyBorder="1" applyAlignment="1" applyProtection="1">
      <alignment horizontal="center" vertical="center" shrinkToFit="1"/>
    </xf>
    <xf numFmtId="57" fontId="15" fillId="2" borderId="10" xfId="0" applyNumberFormat="1" applyFont="1" applyFill="1" applyBorder="1" applyAlignment="1">
      <alignment horizontal="left" vertical="center" shrinkToFit="1"/>
    </xf>
    <xf numFmtId="57" fontId="17" fillId="0" borderId="0" xfId="0" quotePrefix="1" applyNumberFormat="1" applyFont="1" applyAlignment="1" applyProtection="1">
      <alignment horizontal="center" vertical="center"/>
      <protection locked="0"/>
    </xf>
    <xf numFmtId="57" fontId="17" fillId="0" borderId="0" xfId="0" quotePrefix="1" applyNumberFormat="1" applyFont="1" applyAlignment="1" applyProtection="1">
      <alignment vertical="center"/>
      <protection locked="0"/>
    </xf>
    <xf numFmtId="57" fontId="17" fillId="0" borderId="0" xfId="0" applyNumberFormat="1" applyFont="1" applyAlignment="1" applyProtection="1">
      <alignment vertical="center"/>
      <protection locked="0"/>
    </xf>
    <xf numFmtId="0" fontId="17" fillId="0" borderId="0" xfId="0" quotePrefix="1" applyFont="1" applyAlignment="1" applyProtection="1">
      <alignment vertical="center"/>
      <protection locked="0"/>
    </xf>
    <xf numFmtId="0" fontId="5" fillId="15" borderId="69" xfId="0" applyFont="1" applyFill="1" applyBorder="1" applyAlignment="1" applyProtection="1">
      <alignment horizontal="right" vertical="center" shrinkToFit="1"/>
    </xf>
    <xf numFmtId="0" fontId="5" fillId="15" borderId="37" xfId="0" applyFont="1" applyFill="1" applyBorder="1" applyAlignment="1" applyProtection="1">
      <alignment horizontal="right" vertical="center" shrinkToFit="1"/>
    </xf>
    <xf numFmtId="2" fontId="5" fillId="15" borderId="84" xfId="0" applyNumberFormat="1" applyFont="1" applyFill="1" applyBorder="1" applyAlignment="1" applyProtection="1">
      <alignment horizontal="center" vertical="center" shrinkToFit="1"/>
    </xf>
    <xf numFmtId="2" fontId="5" fillId="15" borderId="35" xfId="0" applyNumberFormat="1" applyFont="1" applyFill="1" applyBorder="1" applyAlignment="1" applyProtection="1">
      <alignment horizontal="center" vertical="center" shrinkToFit="1"/>
    </xf>
    <xf numFmtId="2" fontId="5" fillId="15" borderId="85" xfId="0" applyNumberFormat="1" applyFont="1" applyFill="1" applyBorder="1" applyAlignment="1" applyProtection="1">
      <alignment horizontal="center" vertical="center" shrinkToFit="1"/>
    </xf>
    <xf numFmtId="192" fontId="6" fillId="0" borderId="97" xfId="0" applyNumberFormat="1" applyFont="1" applyFill="1" applyBorder="1" applyAlignment="1" applyProtection="1">
      <alignment horizontal="center" vertical="center" shrinkToFit="1"/>
    </xf>
    <xf numFmtId="192" fontId="6" fillId="0" borderId="61" xfId="0" applyNumberFormat="1" applyFont="1" applyFill="1" applyBorder="1" applyAlignment="1" applyProtection="1">
      <alignment horizontal="center" vertical="center" shrinkToFit="1"/>
    </xf>
    <xf numFmtId="2" fontId="5" fillId="0" borderId="74" xfId="0" applyNumberFormat="1" applyFont="1" applyFill="1" applyBorder="1" applyAlignment="1">
      <alignment horizontal="right" vertical="center" shrinkToFit="1"/>
    </xf>
    <xf numFmtId="192" fontId="5" fillId="0" borderId="74" xfId="0" applyNumberFormat="1" applyFont="1" applyBorder="1" applyAlignment="1">
      <alignment horizontal="right" vertical="center" shrinkToFit="1"/>
    </xf>
    <xf numFmtId="1" fontId="5" fillId="0" borderId="74" xfId="0" applyNumberFormat="1" applyFont="1" applyBorder="1" applyAlignment="1">
      <alignment horizontal="right" vertical="center" shrinkToFit="1"/>
    </xf>
    <xf numFmtId="182" fontId="5" fillId="0" borderId="74" xfId="0" applyNumberFormat="1" applyFont="1" applyFill="1" applyBorder="1" applyAlignment="1">
      <alignment horizontal="right" vertical="center" shrinkToFit="1"/>
    </xf>
    <xf numFmtId="0" fontId="15" fillId="0" borderId="0" xfId="0" applyFont="1" applyAlignment="1">
      <alignment vertical="center" shrinkToFit="1"/>
    </xf>
    <xf numFmtId="195" fontId="5" fillId="16" borderId="45" xfId="0" applyNumberFormat="1" applyFont="1" applyFill="1" applyBorder="1" applyAlignment="1">
      <alignment horizontal="right" vertical="center" shrinkToFit="1"/>
    </xf>
    <xf numFmtId="196" fontId="5" fillId="8" borderId="95" xfId="0" applyNumberFormat="1" applyFont="1" applyFill="1" applyBorder="1" applyAlignment="1">
      <alignment horizontal="right" vertical="center" shrinkToFit="1"/>
    </xf>
    <xf numFmtId="196" fontId="5" fillId="16" borderId="45" xfId="0" applyNumberFormat="1" applyFont="1" applyFill="1" applyBorder="1" applyAlignment="1">
      <alignment horizontal="right" vertical="center" shrinkToFit="1"/>
    </xf>
    <xf numFmtId="0" fontId="6" fillId="0" borderId="0" xfId="0" applyNumberFormat="1" applyFont="1" applyBorder="1" applyAlignment="1">
      <alignment horizontal="right" vertical="center"/>
    </xf>
    <xf numFmtId="0" fontId="6" fillId="0" borderId="0" xfId="0" applyNumberFormat="1" applyFont="1" applyAlignment="1">
      <alignment vertical="center"/>
    </xf>
    <xf numFmtId="0" fontId="9" fillId="0" borderId="0" xfId="0" applyNumberFormat="1" applyFont="1" applyAlignment="1">
      <alignment vertical="center"/>
    </xf>
    <xf numFmtId="186" fontId="5" fillId="17" borderId="34" xfId="0" applyNumberFormat="1" applyFont="1" applyFill="1" applyBorder="1" applyAlignment="1" applyProtection="1">
      <alignment vertical="center" shrinkToFit="1"/>
    </xf>
    <xf numFmtId="187" fontId="5" fillId="2" borderId="1" xfId="0" applyNumberFormat="1" applyFont="1" applyFill="1" applyBorder="1" applyAlignment="1" applyProtection="1">
      <alignment horizontal="center" vertical="center" shrinkToFit="1"/>
    </xf>
    <xf numFmtId="189" fontId="6" fillId="3" borderId="10" xfId="0" applyNumberFormat="1" applyFont="1" applyFill="1" applyBorder="1" applyAlignment="1">
      <alignment horizontal="center" vertical="center" shrinkToFit="1"/>
    </xf>
    <xf numFmtId="189" fontId="6" fillId="3" borderId="33" xfId="0" applyNumberFormat="1" applyFont="1" applyFill="1" applyBorder="1" applyAlignment="1">
      <alignment horizontal="center" vertical="center" shrinkToFit="1"/>
    </xf>
    <xf numFmtId="189" fontId="6" fillId="3" borderId="5" xfId="0" applyNumberFormat="1" applyFont="1" applyFill="1" applyBorder="1" applyAlignment="1">
      <alignment horizontal="center" vertical="center" shrinkToFit="1"/>
    </xf>
    <xf numFmtId="187" fontId="5" fillId="3" borderId="42" xfId="0" applyNumberFormat="1" applyFont="1" applyFill="1" applyBorder="1" applyAlignment="1">
      <alignment horizontal="center" vertical="center" shrinkToFit="1"/>
    </xf>
    <xf numFmtId="189" fontId="5" fillId="3" borderId="32" xfId="0" applyNumberFormat="1" applyFont="1" applyFill="1" applyBorder="1" applyAlignment="1">
      <alignment horizontal="center" vertical="center" shrinkToFit="1"/>
    </xf>
    <xf numFmtId="192" fontId="5" fillId="3" borderId="32" xfId="0" applyNumberFormat="1" applyFont="1" applyFill="1" applyBorder="1" applyAlignment="1">
      <alignment horizontal="center" vertical="center" shrinkToFit="1"/>
    </xf>
    <xf numFmtId="189" fontId="5" fillId="3" borderId="56" xfId="0" applyNumberFormat="1" applyFont="1" applyFill="1" applyBorder="1" applyAlignment="1">
      <alignment horizontal="center" vertical="center" shrinkToFit="1"/>
    </xf>
    <xf numFmtId="187" fontId="5" fillId="3" borderId="38" xfId="0" applyNumberFormat="1" applyFont="1" applyFill="1" applyBorder="1" applyAlignment="1">
      <alignment horizontal="center" vertical="center" shrinkToFit="1"/>
    </xf>
    <xf numFmtId="189" fontId="5" fillId="3" borderId="8" xfId="0" applyNumberFormat="1" applyFont="1" applyFill="1" applyBorder="1" applyAlignment="1">
      <alignment horizontal="center" vertical="center" shrinkToFit="1"/>
    </xf>
    <xf numFmtId="192" fontId="5" fillId="3" borderId="8" xfId="0" applyNumberFormat="1" applyFont="1" applyFill="1" applyBorder="1" applyAlignment="1">
      <alignment horizontal="center" vertical="center" shrinkToFit="1"/>
    </xf>
    <xf numFmtId="178" fontId="5" fillId="3" borderId="51" xfId="0" applyNumberFormat="1" applyFont="1" applyFill="1" applyBorder="1" applyAlignment="1">
      <alignment horizontal="center" vertical="center" shrinkToFit="1"/>
    </xf>
    <xf numFmtId="189" fontId="5" fillId="3" borderId="51" xfId="0" applyNumberFormat="1" applyFont="1" applyFill="1" applyBorder="1" applyAlignment="1">
      <alignment horizontal="center" vertical="center" shrinkToFit="1"/>
    </xf>
    <xf numFmtId="187" fontId="5" fillId="3" borderId="15" xfId="0" applyNumberFormat="1" applyFont="1" applyFill="1" applyBorder="1" applyAlignment="1">
      <alignment horizontal="center" vertical="center" shrinkToFit="1"/>
    </xf>
    <xf numFmtId="189" fontId="5" fillId="3" borderId="16" xfId="0" applyNumberFormat="1" applyFont="1" applyFill="1" applyBorder="1" applyAlignment="1">
      <alignment horizontal="center" vertical="center" shrinkToFit="1"/>
    </xf>
    <xf numFmtId="192" fontId="5" fillId="3" borderId="16" xfId="0" applyNumberFormat="1" applyFont="1" applyFill="1" applyBorder="1" applyAlignment="1">
      <alignment horizontal="center" vertical="center" shrinkToFit="1"/>
    </xf>
    <xf numFmtId="189" fontId="5" fillId="3" borderId="17" xfId="0" applyNumberFormat="1" applyFont="1" applyFill="1" applyBorder="1" applyAlignment="1">
      <alignment horizontal="center" vertical="center" shrinkToFit="1"/>
    </xf>
    <xf numFmtId="186" fontId="5" fillId="0" borderId="45" xfId="0" applyNumberFormat="1" applyFont="1" applyFill="1" applyBorder="1" applyAlignment="1" applyProtection="1">
      <alignment horizontal="center" vertical="center" shrinkToFit="1"/>
    </xf>
    <xf numFmtId="192" fontId="5" fillId="0" borderId="45" xfId="0" applyNumberFormat="1" applyFont="1" applyFill="1" applyBorder="1" applyAlignment="1">
      <alignment horizontal="right" vertical="center" shrinkToFit="1"/>
    </xf>
    <xf numFmtId="187" fontId="5" fillId="0" borderId="0" xfId="0" applyNumberFormat="1" applyFont="1" applyFill="1" applyBorder="1" applyAlignment="1">
      <alignment vertical="center" shrinkToFit="1"/>
    </xf>
    <xf numFmtId="192" fontId="6" fillId="0" borderId="99" xfId="0" applyNumberFormat="1" applyFont="1" applyFill="1" applyBorder="1" applyAlignment="1" applyProtection="1">
      <alignment horizontal="center" vertical="center" shrinkToFit="1"/>
    </xf>
    <xf numFmtId="192" fontId="5" fillId="0" borderId="99" xfId="0" applyNumberFormat="1" applyFont="1" applyFill="1" applyBorder="1" applyAlignment="1">
      <alignment vertical="center" shrinkToFit="1"/>
    </xf>
    <xf numFmtId="192" fontId="5" fillId="6" borderId="99" xfId="0" applyNumberFormat="1" applyFont="1" applyFill="1" applyBorder="1" applyAlignment="1" applyProtection="1">
      <alignment horizontal="right" vertical="center" shrinkToFit="1"/>
    </xf>
    <xf numFmtId="0" fontId="5" fillId="3" borderId="99" xfId="0" quotePrefix="1" applyNumberFormat="1" applyFont="1" applyFill="1" applyBorder="1" applyAlignment="1">
      <alignment horizontal="right" vertical="center" shrinkToFit="1"/>
    </xf>
    <xf numFmtId="0" fontId="6" fillId="2" borderId="40" xfId="0" applyFont="1" applyFill="1" applyBorder="1" applyAlignment="1" applyProtection="1">
      <alignment horizontal="right" vertical="center"/>
    </xf>
    <xf numFmtId="0" fontId="5" fillId="2" borderId="40" xfId="0" applyFont="1" applyFill="1" applyBorder="1" applyAlignment="1" applyProtection="1">
      <alignment horizontal="center" vertical="center"/>
    </xf>
    <xf numFmtId="179" fontId="5" fillId="0" borderId="14" xfId="0" applyNumberFormat="1" applyFont="1" applyFill="1" applyBorder="1" applyAlignment="1" applyProtection="1">
      <alignment vertical="center" shrinkToFit="1"/>
    </xf>
    <xf numFmtId="179" fontId="5" fillId="0" borderId="99" xfId="0" applyNumberFormat="1" applyFont="1" applyFill="1" applyBorder="1" applyAlignment="1" applyProtection="1">
      <alignment vertical="center" shrinkToFit="1"/>
    </xf>
    <xf numFmtId="179" fontId="5" fillId="0" borderId="40" xfId="0" applyNumberFormat="1" applyFont="1" applyFill="1" applyBorder="1" applyAlignment="1" applyProtection="1">
      <alignment vertical="center" shrinkToFit="1"/>
    </xf>
    <xf numFmtId="187" fontId="5" fillId="0" borderId="51" xfId="0" applyNumberFormat="1" applyFont="1" applyFill="1" applyBorder="1" applyAlignment="1">
      <alignment vertical="center" shrinkToFit="1"/>
    </xf>
    <xf numFmtId="187" fontId="5" fillId="0" borderId="58" xfId="0" applyNumberFormat="1" applyFont="1" applyFill="1" applyBorder="1" applyAlignment="1">
      <alignment vertical="center" shrinkToFit="1"/>
    </xf>
    <xf numFmtId="0" fontId="5" fillId="2" borderId="18" xfId="0" applyFont="1" applyFill="1" applyBorder="1" applyAlignment="1" applyProtection="1">
      <alignment horizontal="right" vertical="center"/>
    </xf>
    <xf numFmtId="2" fontId="5" fillId="0" borderId="42" xfId="0" applyNumberFormat="1" applyFont="1" applyFill="1" applyBorder="1" applyAlignment="1" applyProtection="1">
      <alignment vertical="center" shrinkToFit="1"/>
    </xf>
    <xf numFmtId="187" fontId="5" fillId="0" borderId="38" xfId="0" applyNumberFormat="1" applyFont="1" applyBorder="1" applyAlignment="1">
      <alignment vertical="center"/>
    </xf>
    <xf numFmtId="2" fontId="5" fillId="0" borderId="38" xfId="0" applyNumberFormat="1" applyFont="1" applyFill="1" applyBorder="1" applyAlignment="1" applyProtection="1">
      <alignment horizontal="right" vertical="center" shrinkToFit="1"/>
    </xf>
    <xf numFmtId="178" fontId="5" fillId="0" borderId="38" xfId="0" applyNumberFormat="1" applyFont="1" applyFill="1" applyBorder="1" applyAlignment="1" applyProtection="1">
      <alignment horizontal="center" vertical="center" shrinkToFit="1"/>
    </xf>
    <xf numFmtId="193" fontId="5" fillId="3" borderId="53" xfId="0" applyNumberFormat="1" applyFont="1" applyFill="1" applyBorder="1" applyAlignment="1" applyProtection="1">
      <alignment horizontal="right" vertical="center" shrinkToFit="1"/>
    </xf>
    <xf numFmtId="192" fontId="5" fillId="6" borderId="38" xfId="0" applyNumberFormat="1" applyFont="1" applyFill="1" applyBorder="1" applyAlignment="1" applyProtection="1">
      <alignment horizontal="right" vertical="center" shrinkToFit="1"/>
    </xf>
    <xf numFmtId="193" fontId="5" fillId="3" borderId="38" xfId="0" applyNumberFormat="1" applyFont="1" applyFill="1" applyBorder="1" applyAlignment="1" applyProtection="1">
      <alignment horizontal="right" vertical="center" shrinkToFit="1"/>
    </xf>
    <xf numFmtId="193" fontId="5" fillId="3" borderId="38" xfId="0" quotePrefix="1" applyNumberFormat="1" applyFont="1" applyFill="1" applyBorder="1" applyAlignment="1">
      <alignment horizontal="right" vertical="center" shrinkToFit="1"/>
    </xf>
    <xf numFmtId="192" fontId="5" fillId="0" borderId="14" xfId="0" applyNumberFormat="1" applyFont="1" applyFill="1" applyBorder="1" applyAlignment="1" applyProtection="1">
      <alignment vertical="center" shrinkToFit="1"/>
    </xf>
    <xf numFmtId="192" fontId="5" fillId="0" borderId="99" xfId="0" applyNumberFormat="1" applyFont="1" applyFill="1" applyBorder="1" applyAlignment="1" applyProtection="1">
      <alignment vertical="center" shrinkToFit="1"/>
    </xf>
    <xf numFmtId="192" fontId="6" fillId="11" borderId="100" xfId="0" applyNumberFormat="1" applyFont="1" applyFill="1" applyBorder="1" applyAlignment="1" applyProtection="1">
      <alignment horizontal="center" vertical="center" shrinkToFit="1"/>
    </xf>
    <xf numFmtId="192" fontId="5" fillId="0" borderId="57" xfId="0" applyNumberFormat="1" applyFont="1" applyFill="1" applyBorder="1" applyAlignment="1" applyProtection="1">
      <alignment vertical="center" shrinkToFit="1"/>
    </xf>
    <xf numFmtId="192" fontId="5" fillId="0" borderId="43" xfId="0" applyNumberFormat="1" applyFont="1" applyFill="1" applyBorder="1" applyAlignment="1" applyProtection="1">
      <alignment vertical="center" shrinkToFit="1"/>
    </xf>
    <xf numFmtId="186" fontId="5" fillId="9" borderId="99" xfId="0" applyNumberFormat="1" applyFont="1" applyFill="1" applyBorder="1" applyAlignment="1" applyProtection="1">
      <alignment horizontal="center" vertical="center" shrinkToFit="1"/>
    </xf>
    <xf numFmtId="192" fontId="5" fillId="0" borderId="99" xfId="0" applyNumberFormat="1" applyFont="1" applyFill="1" applyBorder="1" applyAlignment="1" applyProtection="1">
      <alignment horizontal="right" vertical="center" shrinkToFit="1"/>
    </xf>
    <xf numFmtId="192" fontId="5" fillId="0" borderId="99" xfId="0" applyNumberFormat="1" applyFont="1" applyFill="1" applyBorder="1" applyAlignment="1" applyProtection="1">
      <alignment horizontal="center" vertical="center" shrinkToFit="1"/>
    </xf>
    <xf numFmtId="0" fontId="5" fillId="2" borderId="3" xfId="0" applyFont="1" applyFill="1" applyBorder="1" applyAlignment="1" applyProtection="1">
      <alignment horizontal="right" vertical="center"/>
    </xf>
    <xf numFmtId="0" fontId="0" fillId="7" borderId="101" xfId="0" applyFont="1" applyFill="1" applyBorder="1" applyAlignment="1">
      <alignment vertical="center"/>
    </xf>
    <xf numFmtId="192" fontId="5" fillId="0" borderId="56" xfId="0" applyNumberFormat="1" applyFont="1" applyFill="1" applyBorder="1" applyAlignment="1" applyProtection="1">
      <alignment vertical="center" shrinkToFit="1"/>
    </xf>
    <xf numFmtId="192" fontId="5" fillId="0" borderId="51" xfId="0" applyNumberFormat="1" applyFont="1" applyFill="1" applyBorder="1" applyAlignment="1" applyProtection="1">
      <alignment vertical="center" shrinkToFit="1"/>
    </xf>
    <xf numFmtId="192" fontId="5" fillId="0" borderId="96" xfId="0" applyNumberFormat="1" applyFont="1" applyFill="1" applyBorder="1" applyAlignment="1" applyProtection="1">
      <alignment vertical="center" shrinkToFit="1"/>
    </xf>
    <xf numFmtId="192" fontId="5" fillId="0" borderId="51" xfId="0" applyNumberFormat="1" applyFont="1" applyFill="1" applyBorder="1" applyAlignment="1" applyProtection="1">
      <alignment horizontal="right" vertical="center" shrinkToFit="1"/>
    </xf>
    <xf numFmtId="193" fontId="5" fillId="3" borderId="102" xfId="0" applyNumberFormat="1" applyFont="1" applyFill="1" applyBorder="1" applyAlignment="1" applyProtection="1">
      <alignment horizontal="right" vertical="center" shrinkToFit="1"/>
    </xf>
    <xf numFmtId="192" fontId="5" fillId="6" borderId="51" xfId="0" applyNumberFormat="1" applyFont="1" applyFill="1" applyBorder="1" applyAlignment="1" applyProtection="1">
      <alignment horizontal="right" vertical="center" shrinkToFit="1"/>
    </xf>
    <xf numFmtId="193" fontId="5" fillId="3" borderId="51" xfId="0" applyNumberFormat="1" applyFont="1" applyFill="1" applyBorder="1" applyAlignment="1" applyProtection="1">
      <alignment horizontal="right" vertical="center" shrinkToFit="1"/>
    </xf>
    <xf numFmtId="193" fontId="5" fillId="3" borderId="51" xfId="0" quotePrefix="1" applyNumberFormat="1" applyFont="1" applyFill="1" applyBorder="1" applyAlignment="1">
      <alignment horizontal="right" vertical="center" shrinkToFit="1"/>
    </xf>
    <xf numFmtId="0" fontId="5" fillId="3" borderId="51" xfId="0" quotePrefix="1" applyNumberFormat="1" applyFont="1" applyFill="1" applyBorder="1" applyAlignment="1">
      <alignment horizontal="right" vertical="center" shrinkToFit="1"/>
    </xf>
    <xf numFmtId="0" fontId="5" fillId="3" borderId="103" xfId="0" applyNumberFormat="1" applyFont="1" applyFill="1" applyBorder="1" applyAlignment="1" applyProtection="1">
      <alignment horizontal="right" vertical="center" shrinkToFit="1"/>
    </xf>
    <xf numFmtId="0" fontId="5" fillId="2" borderId="20" xfId="0" applyFont="1" applyFill="1" applyBorder="1" applyAlignment="1" applyProtection="1">
      <alignment horizontal="right" vertical="center"/>
    </xf>
    <xf numFmtId="186" fontId="5" fillId="0" borderId="51" xfId="0" applyNumberFormat="1" applyFont="1" applyFill="1" applyBorder="1" applyAlignment="1" applyProtection="1">
      <alignment horizontal="center" vertical="center" shrinkToFit="1"/>
    </xf>
    <xf numFmtId="0" fontId="5" fillId="2" borderId="40" xfId="0" applyFont="1" applyFill="1" applyBorder="1" applyAlignment="1" applyProtection="1">
      <alignment horizontal="right" vertical="center"/>
    </xf>
    <xf numFmtId="192" fontId="5" fillId="9" borderId="99" xfId="0" applyNumberFormat="1" applyFont="1" applyFill="1" applyBorder="1" applyAlignment="1" applyProtection="1">
      <alignment vertical="center" shrinkToFit="1"/>
    </xf>
    <xf numFmtId="186" fontId="5" fillId="9" borderId="99" xfId="0" applyNumberFormat="1" applyFont="1" applyFill="1" applyBorder="1" applyAlignment="1" applyProtection="1">
      <alignment vertical="center" shrinkToFit="1"/>
    </xf>
    <xf numFmtId="192" fontId="6" fillId="0" borderId="43" xfId="0" applyNumberFormat="1" applyFont="1" applyFill="1" applyBorder="1" applyAlignment="1" applyProtection="1">
      <alignment horizontal="center" vertical="center" shrinkToFit="1"/>
    </xf>
    <xf numFmtId="192" fontId="5" fillId="0" borderId="14" xfId="0" applyNumberFormat="1" applyFont="1" applyFill="1" applyBorder="1" applyAlignment="1">
      <alignment vertical="center" shrinkToFit="1"/>
    </xf>
    <xf numFmtId="192" fontId="6" fillId="11" borderId="104" xfId="0" applyNumberFormat="1" applyFont="1" applyFill="1" applyBorder="1" applyAlignment="1" applyProtection="1">
      <alignment horizontal="center" vertical="center" shrinkToFit="1"/>
    </xf>
    <xf numFmtId="192" fontId="6" fillId="11" borderId="105" xfId="0" applyNumberFormat="1" applyFont="1" applyFill="1" applyBorder="1" applyAlignment="1" applyProtection="1">
      <alignment horizontal="center" vertical="center" shrinkToFit="1"/>
    </xf>
    <xf numFmtId="192" fontId="5" fillId="0" borderId="43" xfId="0" applyNumberFormat="1" applyFont="1" applyFill="1" applyBorder="1" applyAlignment="1">
      <alignment vertical="center" shrinkToFit="1"/>
    </xf>
    <xf numFmtId="192" fontId="5" fillId="0" borderId="106" xfId="0" applyNumberFormat="1" applyFont="1" applyFill="1" applyBorder="1" applyAlignment="1" applyProtection="1">
      <alignment vertical="center" shrinkToFit="1"/>
    </xf>
    <xf numFmtId="192" fontId="5" fillId="3" borderId="34" xfId="0" applyNumberFormat="1" applyFont="1" applyFill="1" applyBorder="1" applyAlignment="1" applyProtection="1">
      <alignment horizontal="right" vertical="center" shrinkToFit="1"/>
    </xf>
    <xf numFmtId="192" fontId="5" fillId="3" borderId="48" xfId="0" applyNumberFormat="1" applyFont="1" applyFill="1" applyBorder="1" applyAlignment="1" applyProtection="1">
      <alignment horizontal="right" vertical="center" shrinkToFit="1"/>
    </xf>
    <xf numFmtId="1" fontId="5" fillId="3" borderId="34" xfId="0" applyNumberFormat="1" applyFont="1" applyFill="1" applyBorder="1" applyAlignment="1" applyProtection="1">
      <alignment horizontal="right" vertical="center" shrinkToFit="1"/>
    </xf>
    <xf numFmtId="1" fontId="5" fillId="3" borderId="48" xfId="0" applyNumberFormat="1" applyFont="1" applyFill="1" applyBorder="1" applyAlignment="1" applyProtection="1">
      <alignment horizontal="right" vertical="center" shrinkToFit="1"/>
    </xf>
    <xf numFmtId="178" fontId="5" fillId="6" borderId="8" xfId="0" applyNumberFormat="1" applyFont="1" applyFill="1" applyBorder="1" applyAlignment="1" applyProtection="1">
      <alignment horizontal="right" vertical="center" shrinkToFit="1"/>
    </xf>
    <xf numFmtId="192" fontId="5" fillId="3" borderId="34" xfId="0" quotePrefix="1" applyNumberFormat="1" applyFont="1" applyFill="1" applyBorder="1" applyAlignment="1">
      <alignment horizontal="right" vertical="center" shrinkToFit="1"/>
    </xf>
    <xf numFmtId="192" fontId="5" fillId="3" borderId="8" xfId="0" applyNumberFormat="1" applyFont="1" applyFill="1" applyBorder="1" applyAlignment="1" applyProtection="1">
      <alignment horizontal="right" vertical="center" shrinkToFit="1"/>
    </xf>
    <xf numFmtId="192" fontId="5" fillId="3" borderId="36" xfId="0" applyNumberFormat="1" applyFont="1" applyFill="1" applyBorder="1" applyAlignment="1" applyProtection="1">
      <alignment horizontal="right" vertical="center" shrinkToFit="1"/>
    </xf>
    <xf numFmtId="192" fontId="5" fillId="3" borderId="8" xfId="0" quotePrefix="1" applyNumberFormat="1" applyFont="1" applyFill="1" applyBorder="1" applyAlignment="1">
      <alignment horizontal="right" vertical="center" shrinkToFit="1"/>
    </xf>
    <xf numFmtId="192" fontId="5" fillId="3" borderId="36" xfId="0" quotePrefix="1" applyNumberFormat="1" applyFont="1" applyFill="1" applyBorder="1" applyAlignment="1">
      <alignment horizontal="right" vertical="center" shrinkToFit="1"/>
    </xf>
    <xf numFmtId="192" fontId="5" fillId="3" borderId="49" xfId="0" applyNumberFormat="1" applyFont="1" applyFill="1" applyBorder="1" applyAlignment="1" applyProtection="1">
      <alignment horizontal="right" vertical="center" shrinkToFit="1"/>
    </xf>
    <xf numFmtId="192" fontId="5" fillId="3" borderId="50" xfId="0" applyNumberFormat="1" applyFont="1" applyFill="1" applyBorder="1" applyAlignment="1" applyProtection="1">
      <alignment horizontal="right" vertical="center" shrinkToFit="1"/>
    </xf>
    <xf numFmtId="178" fontId="5" fillId="3" borderId="48" xfId="0" applyNumberFormat="1" applyFont="1" applyFill="1" applyBorder="1" applyAlignment="1" applyProtection="1">
      <alignment horizontal="right" vertical="center" shrinkToFit="1"/>
    </xf>
    <xf numFmtId="178" fontId="5" fillId="3" borderId="49" xfId="0" applyNumberFormat="1" applyFont="1" applyFill="1" applyBorder="1" applyAlignment="1" applyProtection="1">
      <alignment horizontal="right" vertical="center" shrinkToFit="1"/>
    </xf>
    <xf numFmtId="1" fontId="5" fillId="3" borderId="49" xfId="0" applyNumberFormat="1" applyFont="1" applyFill="1" applyBorder="1" applyAlignment="1" applyProtection="1">
      <alignment horizontal="right" vertical="center" shrinkToFit="1"/>
    </xf>
    <xf numFmtId="178" fontId="5" fillId="0" borderId="38" xfId="0" applyNumberFormat="1" applyFont="1" applyFill="1" applyBorder="1" applyAlignment="1" applyProtection="1">
      <alignment vertical="center" shrinkToFit="1"/>
    </xf>
    <xf numFmtId="178" fontId="5" fillId="3" borderId="53" xfId="0" applyNumberFormat="1" applyFont="1" applyFill="1" applyBorder="1" applyAlignment="1" applyProtection="1">
      <alignment horizontal="right" vertical="center" shrinkToFit="1"/>
    </xf>
    <xf numFmtId="1" fontId="5" fillId="3" borderId="53" xfId="0" applyNumberFormat="1" applyFont="1" applyFill="1" applyBorder="1" applyAlignment="1" applyProtection="1">
      <alignment horizontal="right" vertical="center" shrinkToFit="1"/>
    </xf>
    <xf numFmtId="1" fontId="5" fillId="3" borderId="38" xfId="0" applyNumberFormat="1" applyFont="1" applyFill="1" applyBorder="1" applyAlignment="1" applyProtection="1">
      <alignment horizontal="right" vertical="center" shrinkToFit="1"/>
    </xf>
    <xf numFmtId="1" fontId="5" fillId="3" borderId="38" xfId="0" quotePrefix="1" applyNumberFormat="1" applyFont="1" applyFill="1" applyBorder="1" applyAlignment="1">
      <alignment horizontal="right" vertical="center" shrinkToFit="1"/>
    </xf>
    <xf numFmtId="192" fontId="5" fillId="18" borderId="8" xfId="0" applyNumberFormat="1" applyFont="1" applyFill="1" applyBorder="1" applyAlignment="1">
      <alignment horizontal="left" vertical="center" shrinkToFit="1"/>
    </xf>
    <xf numFmtId="192" fontId="5" fillId="18" borderId="36" xfId="0" applyNumberFormat="1" applyFont="1" applyFill="1" applyBorder="1" applyAlignment="1">
      <alignment horizontal="left" vertical="center" shrinkToFit="1"/>
    </xf>
    <xf numFmtId="192" fontId="5" fillId="18" borderId="34" xfId="0" applyNumberFormat="1" applyFont="1" applyFill="1" applyBorder="1" applyAlignment="1" applyProtection="1">
      <alignment horizontal="right" vertical="center" shrinkToFit="1"/>
    </xf>
    <xf numFmtId="1" fontId="5" fillId="18" borderId="8" xfId="0" applyNumberFormat="1" applyFont="1" applyFill="1" applyBorder="1" applyAlignment="1" applyProtection="1">
      <alignment horizontal="right" vertical="center" shrinkToFit="1"/>
    </xf>
    <xf numFmtId="193" fontId="5" fillId="18" borderId="36" xfId="0" applyNumberFormat="1" applyFont="1" applyFill="1" applyBorder="1" applyAlignment="1" applyProtection="1">
      <alignment horizontal="right" vertical="center" shrinkToFit="1"/>
    </xf>
    <xf numFmtId="192" fontId="5" fillId="18" borderId="8" xfId="0" applyNumberFormat="1" applyFont="1" applyFill="1" applyBorder="1" applyAlignment="1" applyProtection="1">
      <alignment horizontal="right" vertical="center" shrinkToFit="1"/>
    </xf>
    <xf numFmtId="192" fontId="5" fillId="18" borderId="36" xfId="0" applyNumberFormat="1" applyFont="1" applyFill="1" applyBorder="1" applyAlignment="1" applyProtection="1">
      <alignment horizontal="right" vertical="center" shrinkToFit="1"/>
    </xf>
    <xf numFmtId="193" fontId="5" fillId="18" borderId="8" xfId="0" applyNumberFormat="1" applyFont="1" applyFill="1" applyBorder="1" applyAlignment="1" applyProtection="1">
      <alignment horizontal="right" vertical="center" shrinkToFit="1"/>
    </xf>
    <xf numFmtId="193" fontId="5" fillId="18" borderId="0" xfId="0" applyNumberFormat="1" applyFont="1" applyFill="1" applyBorder="1" applyAlignment="1" applyProtection="1">
      <alignment horizontal="right" vertical="center" shrinkToFit="1"/>
    </xf>
    <xf numFmtId="193" fontId="5" fillId="18" borderId="81" xfId="0" applyNumberFormat="1" applyFont="1" applyFill="1" applyBorder="1" applyAlignment="1" applyProtection="1">
      <alignment horizontal="right" vertical="center" shrinkToFit="1"/>
    </xf>
    <xf numFmtId="193" fontId="5" fillId="18" borderId="67" xfId="0" applyNumberFormat="1" applyFont="1" applyFill="1" applyBorder="1" applyAlignment="1" applyProtection="1">
      <alignment horizontal="right" vertical="center" shrinkToFit="1"/>
    </xf>
    <xf numFmtId="180" fontId="5" fillId="18" borderId="33" xfId="0" applyNumberFormat="1" applyFont="1" applyFill="1" applyBorder="1" applyAlignment="1">
      <alignment horizontal="right" vertical="center"/>
    </xf>
    <xf numFmtId="192" fontId="5" fillId="3" borderId="53" xfId="0" applyNumberFormat="1" applyFont="1" applyFill="1" applyBorder="1" applyAlignment="1" applyProtection="1">
      <alignment horizontal="right" vertical="center" shrinkToFit="1"/>
    </xf>
    <xf numFmtId="192" fontId="5" fillId="3" borderId="52" xfId="0" applyNumberFormat="1" applyFont="1" applyFill="1" applyBorder="1" applyAlignment="1" applyProtection="1">
      <alignment horizontal="right" vertical="center" shrinkToFit="1"/>
    </xf>
    <xf numFmtId="2" fontId="5" fillId="3" borderId="33" xfId="0" quotePrefix="1" applyNumberFormat="1" applyFont="1" applyFill="1" applyBorder="1" applyAlignment="1">
      <alignment horizontal="right" vertical="center" shrinkToFit="1"/>
    </xf>
    <xf numFmtId="186" fontId="5" fillId="9" borderId="34" xfId="0" applyNumberFormat="1" applyFont="1" applyFill="1" applyBorder="1" applyAlignment="1" applyProtection="1">
      <alignment horizontal="center" vertical="center" shrinkToFit="1"/>
    </xf>
    <xf numFmtId="186" fontId="5" fillId="9" borderId="38" xfId="0" applyNumberFormat="1" applyFont="1" applyFill="1" applyBorder="1" applyAlignment="1" applyProtection="1">
      <alignment horizontal="center" vertical="center" shrinkToFit="1"/>
    </xf>
    <xf numFmtId="186" fontId="5" fillId="9" borderId="34" xfId="0" applyNumberFormat="1" applyFont="1" applyFill="1" applyBorder="1" applyAlignment="1" applyProtection="1">
      <alignment horizontal="right" vertical="center" shrinkToFit="1"/>
    </xf>
    <xf numFmtId="185" fontId="5" fillId="9" borderId="34" xfId="0" applyNumberFormat="1" applyFont="1" applyFill="1" applyBorder="1" applyAlignment="1" applyProtection="1">
      <alignment horizontal="center" vertical="center" shrinkToFit="1"/>
    </xf>
    <xf numFmtId="191" fontId="5" fillId="9" borderId="38" xfId="0" applyNumberFormat="1" applyFont="1" applyFill="1" applyBorder="1" applyAlignment="1" applyProtection="1">
      <alignment horizontal="right" vertical="center" shrinkToFit="1"/>
    </xf>
    <xf numFmtId="0" fontId="5" fillId="0" borderId="0" xfId="0" applyNumberFormat="1" applyFont="1" applyAlignment="1"/>
    <xf numFmtId="0" fontId="15" fillId="0" borderId="0" xfId="0" applyFont="1" applyAlignment="1">
      <alignment vertical="center"/>
    </xf>
    <xf numFmtId="196" fontId="5" fillId="0" borderId="34" xfId="0" applyNumberFormat="1" applyFont="1" applyFill="1" applyBorder="1" applyAlignment="1" applyProtection="1">
      <alignment horizontal="center" vertical="center" shrinkToFit="1"/>
    </xf>
    <xf numFmtId="196" fontId="5" fillId="0" borderId="8" xfId="0" applyNumberFormat="1" applyFont="1" applyFill="1" applyBorder="1" applyAlignment="1" applyProtection="1">
      <alignment vertical="center" shrinkToFit="1"/>
    </xf>
    <xf numFmtId="196" fontId="5" fillId="0" borderId="8" xfId="0" applyNumberFormat="1" applyFont="1" applyFill="1" applyBorder="1" applyAlignment="1">
      <alignment vertical="center" shrinkToFit="1"/>
    </xf>
    <xf numFmtId="196" fontId="5" fillId="0" borderId="36" xfId="0" applyNumberFormat="1" applyFont="1" applyFill="1" applyBorder="1" applyAlignment="1">
      <alignment vertical="center" shrinkToFit="1"/>
    </xf>
    <xf numFmtId="196" fontId="5" fillId="2" borderId="33" xfId="0" applyNumberFormat="1" applyFont="1" applyFill="1" applyBorder="1" applyAlignment="1">
      <alignment horizontal="left" vertical="center" shrinkToFit="1"/>
    </xf>
    <xf numFmtId="196" fontId="5" fillId="0" borderId="38" xfId="0" applyNumberFormat="1" applyFont="1" applyFill="1" applyBorder="1" applyAlignment="1" applyProtection="1">
      <alignment vertical="center" shrinkToFit="1"/>
    </xf>
    <xf numFmtId="196" fontId="5" fillId="0" borderId="36" xfId="0" applyNumberFormat="1" applyFont="1" applyFill="1" applyBorder="1" applyAlignment="1" applyProtection="1">
      <alignment horizontal="center" vertical="center" shrinkToFit="1"/>
    </xf>
    <xf numFmtId="196" fontId="5" fillId="0" borderId="34" xfId="0" applyNumberFormat="1" applyFont="1" applyFill="1" applyBorder="1" applyAlignment="1" applyProtection="1">
      <alignment vertical="center" shrinkToFit="1"/>
    </xf>
    <xf numFmtId="196" fontId="6" fillId="0" borderId="8" xfId="0" applyNumberFormat="1" applyFont="1" applyFill="1" applyBorder="1" applyAlignment="1">
      <alignment vertical="center" shrinkToFit="1"/>
    </xf>
    <xf numFmtId="196" fontId="6" fillId="0" borderId="36" xfId="0" applyNumberFormat="1" applyFont="1" applyFill="1" applyBorder="1" applyAlignment="1">
      <alignment vertical="center" shrinkToFit="1"/>
    </xf>
    <xf numFmtId="196" fontId="5" fillId="5" borderId="36" xfId="0" applyNumberFormat="1" applyFont="1" applyFill="1" applyBorder="1" applyAlignment="1">
      <alignment horizontal="left" vertical="center" shrinkToFit="1"/>
    </xf>
    <xf numFmtId="196" fontId="6" fillId="0" borderId="38" xfId="0" applyNumberFormat="1" applyFont="1" applyFill="1" applyBorder="1" applyAlignment="1" applyProtection="1">
      <alignment horizontal="center" vertical="center" shrinkToFit="1"/>
    </xf>
    <xf numFmtId="196" fontId="6" fillId="0" borderId="8" xfId="0" applyNumberFormat="1" applyFont="1" applyFill="1" applyBorder="1" applyAlignment="1" applyProtection="1">
      <alignment horizontal="center" vertical="center" shrinkToFit="1"/>
    </xf>
    <xf numFmtId="196" fontId="6" fillId="0" borderId="51" xfId="0" applyNumberFormat="1" applyFont="1" applyFill="1" applyBorder="1" applyAlignment="1" applyProtection="1">
      <alignment horizontal="center" vertical="center" shrinkToFit="1"/>
    </xf>
    <xf numFmtId="196" fontId="5" fillId="5" borderId="33" xfId="0" applyNumberFormat="1" applyFont="1" applyFill="1" applyBorder="1" applyAlignment="1">
      <alignment horizontal="left" vertical="center" shrinkToFit="1"/>
    </xf>
    <xf numFmtId="196" fontId="6" fillId="0" borderId="36" xfId="0" applyNumberFormat="1" applyFont="1" applyFill="1" applyBorder="1" applyAlignment="1" applyProtection="1">
      <alignment horizontal="center" vertical="center" shrinkToFit="1"/>
    </xf>
    <xf numFmtId="196" fontId="5" fillId="0" borderId="0" xfId="0" applyNumberFormat="1" applyFont="1" applyAlignment="1">
      <alignment vertical="center"/>
    </xf>
    <xf numFmtId="196" fontId="5" fillId="0" borderId="8" xfId="0" applyNumberFormat="1" applyFont="1" applyFill="1" applyBorder="1" applyAlignment="1">
      <alignment horizontal="right" vertical="center" shrinkToFit="1"/>
    </xf>
    <xf numFmtId="196" fontId="5" fillId="0" borderId="8" xfId="0" applyNumberFormat="1" applyFont="1" applyBorder="1" applyAlignment="1">
      <alignment horizontal="right" vertical="center" shrinkToFit="1"/>
    </xf>
    <xf numFmtId="196" fontId="6" fillId="12" borderId="35" xfId="0" applyNumberFormat="1" applyFont="1" applyFill="1" applyBorder="1" applyAlignment="1" applyProtection="1">
      <alignment horizontal="center" vertical="center" shrinkToFit="1"/>
    </xf>
    <xf numFmtId="196" fontId="6" fillId="12" borderId="75" xfId="0" applyNumberFormat="1" applyFont="1" applyFill="1" applyBorder="1" applyAlignment="1" applyProtection="1">
      <alignment horizontal="center" vertical="center" shrinkToFit="1"/>
    </xf>
    <xf numFmtId="196" fontId="5" fillId="0" borderId="45" xfId="0" applyNumberFormat="1" applyFont="1" applyFill="1" applyBorder="1" applyAlignment="1">
      <alignment vertical="center" shrinkToFit="1"/>
    </xf>
    <xf numFmtId="196" fontId="5" fillId="8" borderId="68" xfId="0" applyNumberFormat="1" applyFont="1" applyFill="1" applyBorder="1" applyAlignment="1">
      <alignment horizontal="right" vertical="center" shrinkToFit="1"/>
    </xf>
    <xf numFmtId="196" fontId="5" fillId="0" borderId="45" xfId="0" applyNumberFormat="1" applyFont="1" applyBorder="1" applyAlignment="1">
      <alignment horizontal="right" vertical="center" shrinkToFit="1"/>
    </xf>
    <xf numFmtId="197" fontId="5" fillId="16" borderId="45" xfId="0" applyNumberFormat="1" applyFont="1" applyFill="1" applyBorder="1" applyAlignment="1">
      <alignment horizontal="right" vertical="center" shrinkToFit="1"/>
    </xf>
    <xf numFmtId="197" fontId="5" fillId="0" borderId="45" xfId="0" applyNumberFormat="1" applyFont="1" applyBorder="1" applyAlignment="1">
      <alignment horizontal="right" vertical="center" shrinkToFit="1"/>
    </xf>
    <xf numFmtId="197" fontId="5" fillId="0" borderId="8" xfId="0" applyNumberFormat="1" applyFont="1" applyBorder="1" applyAlignment="1">
      <alignment horizontal="right" vertical="center" shrinkToFit="1"/>
    </xf>
    <xf numFmtId="192" fontId="5" fillId="8" borderId="107" xfId="0" applyNumberFormat="1" applyFont="1" applyFill="1" applyBorder="1" applyAlignment="1" applyProtection="1">
      <alignment vertical="center" shrinkToFit="1"/>
    </xf>
    <xf numFmtId="192" fontId="5" fillId="8" borderId="108" xfId="0" applyNumberFormat="1" applyFont="1" applyFill="1" applyBorder="1" applyAlignment="1" applyProtection="1">
      <alignment vertical="center" shrinkToFit="1"/>
    </xf>
    <xf numFmtId="192" fontId="5" fillId="8" borderId="107" xfId="0" applyNumberFormat="1" applyFont="1" applyFill="1" applyBorder="1" applyAlignment="1">
      <alignment vertical="center"/>
    </xf>
    <xf numFmtId="198" fontId="5" fillId="2" borderId="33" xfId="0" applyNumberFormat="1" applyFont="1" applyFill="1" applyBorder="1" applyAlignment="1">
      <alignment horizontal="left" vertical="center" shrinkToFit="1"/>
    </xf>
    <xf numFmtId="57" fontId="19" fillId="2" borderId="33" xfId="0" applyNumberFormat="1" applyFont="1" applyFill="1" applyBorder="1" applyAlignment="1">
      <alignment horizontal="left" vertical="center" shrinkToFit="1"/>
    </xf>
    <xf numFmtId="197" fontId="5" fillId="8" borderId="21" xfId="0" applyNumberFormat="1" applyFont="1" applyFill="1" applyBorder="1" applyAlignment="1">
      <alignment horizontal="left" vertical="center" shrinkToFit="1"/>
    </xf>
    <xf numFmtId="0" fontId="19" fillId="2" borderId="33" xfId="0" applyNumberFormat="1" applyFont="1" applyFill="1" applyBorder="1" applyAlignment="1">
      <alignment horizontal="left" vertical="center" shrinkToFit="1"/>
    </xf>
    <xf numFmtId="0" fontId="5" fillId="2" borderId="21" xfId="0" applyNumberFormat="1" applyFont="1" applyFill="1" applyBorder="1" applyAlignment="1">
      <alignment horizontal="left" vertical="center" shrinkToFit="1"/>
    </xf>
    <xf numFmtId="194" fontId="6" fillId="0" borderId="0" xfId="0" applyNumberFormat="1" applyFont="1" applyAlignment="1">
      <alignment horizontal="left" vertical="center" shrinkToFit="1"/>
    </xf>
    <xf numFmtId="0" fontId="18" fillId="0" borderId="0" xfId="0" applyFont="1" applyAlignment="1">
      <alignment horizontal="left" vertical="center" shrinkToFit="1"/>
    </xf>
    <xf numFmtId="194" fontId="0" fillId="0" borderId="0" xfId="0" applyNumberFormat="1" applyAlignment="1">
      <alignment horizontal="left" vertical="center" shrinkToFit="1"/>
    </xf>
    <xf numFmtId="0" fontId="5" fillId="0" borderId="0" xfId="0" applyFont="1" applyAlignment="1">
      <alignment vertical="top" wrapText="1"/>
    </xf>
    <xf numFmtId="0" fontId="0" fillId="0" borderId="0" xfId="0" applyAlignment="1">
      <alignment vertical="top" wrapText="1"/>
    </xf>
    <xf numFmtId="0" fontId="8" fillId="0" borderId="98" xfId="0" applyFont="1" applyBorder="1" applyAlignment="1">
      <alignment horizontal="center" vertical="center" textRotation="180" wrapText="1"/>
    </xf>
    <xf numFmtId="0" fontId="8" fillId="0" borderId="98" xfId="0" applyFont="1" applyBorder="1" applyAlignment="1">
      <alignment horizontal="center" vertical="center" wrapText="1"/>
    </xf>
    <xf numFmtId="0" fontId="8" fillId="0" borderId="98" xfId="0" applyFont="1" applyBorder="1" applyAlignment="1">
      <alignment vertical="center" wrapText="1"/>
    </xf>
    <xf numFmtId="0" fontId="6" fillId="7" borderId="66" xfId="0" applyFont="1" applyFill="1" applyBorder="1" applyAlignment="1" applyProtection="1">
      <alignment horizontal="center" vertical="top" wrapText="1"/>
    </xf>
    <xf numFmtId="0" fontId="0" fillId="7" borderId="67" xfId="0" applyFont="1" applyFill="1" applyBorder="1" applyAlignment="1">
      <alignment horizontal="center" vertical="top" wrapText="1"/>
    </xf>
    <xf numFmtId="0" fontId="0" fillId="7" borderId="45" xfId="0" applyFont="1" applyFill="1" applyBorder="1" applyAlignment="1">
      <alignment horizontal="center" vertical="top" wrapText="1"/>
    </xf>
    <xf numFmtId="0" fontId="0" fillId="7" borderId="45" xfId="0" applyFill="1" applyBorder="1" applyAlignment="1">
      <alignment horizontal="center" vertical="top" wrapText="1"/>
    </xf>
    <xf numFmtId="0" fontId="20" fillId="0" borderId="0" xfId="0" applyNumberFormat="1" applyFont="1" applyAlignment="1">
      <alignment horizontal="center" vertical="center" shrinkToFit="1"/>
    </xf>
    <xf numFmtId="0" fontId="21" fillId="0" borderId="0" xfId="0" applyFont="1" applyAlignment="1">
      <alignment horizontal="center" vertical="center" shrinkToFit="1"/>
    </xf>
  </cellXfs>
  <cellStyles count="2">
    <cellStyle name="ハイパーリンク" xfId="1" builtinId="8"/>
    <cellStyle name="標準" xfId="0" builtinId="0"/>
  </cellStyles>
  <dxfs count="0"/>
  <tableStyles count="0" defaultTableStyle="TableStyleMedium2" defaultPivotStyle="PivotStyleLight16"/>
  <colors>
    <mruColors>
      <color rgb="FFFFFFCC"/>
      <color rgb="FFCCFFFF"/>
      <color rgb="FF0066FF"/>
      <color rgb="FFFF00FF"/>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あらめ </a:t>
            </a:r>
            <a:r>
              <a:rPr lang="en-US" altLang="ja-JP" sz="1200" b="0" i="0" u="none" strike="noStrike" baseline="0">
                <a:solidFill>
                  <a:srgbClr val="000000"/>
                </a:solidFill>
                <a:latin typeface="Meiryo UI"/>
                <a:ea typeface="Meiryo UI"/>
              </a:rPr>
              <a:t>(</a:t>
            </a:r>
            <a:r>
              <a:rPr lang="ja-JP" altLang="en-US" sz="1200" b="0" i="0" u="none" strike="noStrike" baseline="0">
                <a:solidFill>
                  <a:srgbClr val="000000"/>
                </a:solidFill>
                <a:latin typeface="Meiryo UI"/>
                <a:ea typeface="Meiryo UI"/>
              </a:rPr>
              <a:t>牡鹿半島西側</a:t>
            </a:r>
            <a:r>
              <a:rPr lang="en-US" altLang="ja-JP" sz="1200" b="0" i="0" u="none" strike="noStrike" baseline="0">
                <a:solidFill>
                  <a:srgbClr val="000000"/>
                </a:solidFill>
                <a:latin typeface="Meiryo UI"/>
                <a:ea typeface="Meiryo UI"/>
              </a:rPr>
              <a:t>/</a:t>
            </a:r>
            <a:r>
              <a:rPr lang="ja-JP" altLang="en-US" sz="1200" b="0" i="0" u="none" strike="noStrike" baseline="0">
                <a:solidFill>
                  <a:srgbClr val="000000"/>
                </a:solidFill>
                <a:latin typeface="Meiryo UI"/>
                <a:ea typeface="Meiryo UI"/>
              </a:rPr>
              <a:t>県</a:t>
            </a:r>
            <a:r>
              <a:rPr lang="en-US" altLang="ja-JP" sz="1200" b="0" i="0" u="none" strike="noStrike" baseline="0">
                <a:solidFill>
                  <a:srgbClr val="000000"/>
                </a:solidFill>
                <a:latin typeface="Meiryo UI"/>
                <a:ea typeface="Meiryo UI"/>
              </a:rPr>
              <a:t>)</a:t>
            </a:r>
            <a:endParaRPr lang="ja-JP" altLang="en-US" sz="1200" b="0" i="0" u="none" strike="noStrike" baseline="0">
              <a:solidFill>
                <a:srgbClr val="000000"/>
              </a:solidFill>
              <a:latin typeface="Meiryo UI"/>
              <a:ea typeface="Meiryo UI"/>
            </a:endParaRPr>
          </a:p>
        </c:rich>
      </c:tx>
      <c:layout>
        <c:manualLayout>
          <c:xMode val="edge"/>
          <c:yMode val="edge"/>
          <c:x val="0.20511226502143981"/>
          <c:y val="0.15382569444444444"/>
        </c:manualLayout>
      </c:layout>
      <c:overlay val="0"/>
      <c:spPr>
        <a:solidFill>
          <a:srgbClr val="FFFFFF"/>
        </a:solidFill>
        <a:ln w="25400">
          <a:noFill/>
        </a:ln>
      </c:spPr>
    </c:title>
    <c:autoTitleDeleted val="0"/>
    <c:plotArea>
      <c:layout>
        <c:manualLayout>
          <c:layoutTarget val="inner"/>
          <c:xMode val="edge"/>
          <c:yMode val="edge"/>
          <c:x val="9.3454652914148437E-2"/>
          <c:y val="3.129097222222222E-2"/>
          <c:w val="0.89309301075268821"/>
          <c:h val="0.85839548611111116"/>
        </c:manualLayout>
      </c:layout>
      <c:lineChart>
        <c:grouping val="standard"/>
        <c:varyColors val="0"/>
        <c:ser>
          <c:idx val="1"/>
          <c:order val="0"/>
          <c:tx>
            <c:strRef>
              <c:f>あらめ!$R$331</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あらめ!$K$332:$K$383</c:f>
              <c:numCache>
                <c:formatCode>[$-411]m\.d\.ge</c:formatCode>
                <c:ptCount val="52"/>
                <c:pt idx="0">
                  <c:v>39687</c:v>
                </c:pt>
                <c:pt idx="1">
                  <c:v>39762</c:v>
                </c:pt>
                <c:pt idx="2">
                  <c:v>39856</c:v>
                </c:pt>
                <c:pt idx="3">
                  <c:v>39952</c:v>
                </c:pt>
                <c:pt idx="4">
                  <c:v>40028</c:v>
                </c:pt>
                <c:pt idx="5">
                  <c:v>40128</c:v>
                </c:pt>
                <c:pt idx="6">
                  <c:v>40218</c:v>
                </c:pt>
                <c:pt idx="7">
                  <c:v>40316</c:v>
                </c:pt>
                <c:pt idx="8">
                  <c:v>40399</c:v>
                </c:pt>
                <c:pt idx="9">
                  <c:v>40490</c:v>
                </c:pt>
                <c:pt idx="10">
                  <c:v>40581</c:v>
                </c:pt>
                <c:pt idx="11">
                  <c:v>40612</c:v>
                </c:pt>
                <c:pt idx="12">
                  <c:v>40613</c:v>
                </c:pt>
                <c:pt idx="13">
                  <c:v>40737</c:v>
                </c:pt>
                <c:pt idx="14">
                  <c:v>40784</c:v>
                </c:pt>
                <c:pt idx="15">
                  <c:v>40861</c:v>
                </c:pt>
                <c:pt idx="16">
                  <c:v>40945</c:v>
                </c:pt>
                <c:pt idx="17">
                  <c:v>41058</c:v>
                </c:pt>
                <c:pt idx="18">
                  <c:v>41127</c:v>
                </c:pt>
                <c:pt idx="19">
                  <c:v>41222</c:v>
                </c:pt>
                <c:pt idx="20">
                  <c:v>41311</c:v>
                </c:pt>
                <c:pt idx="21">
                  <c:v>41415</c:v>
                </c:pt>
                <c:pt idx="22">
                  <c:v>41514</c:v>
                </c:pt>
                <c:pt idx="23">
                  <c:v>41595</c:v>
                </c:pt>
                <c:pt idx="24">
                  <c:v>41694</c:v>
                </c:pt>
                <c:pt idx="25">
                  <c:v>41788</c:v>
                </c:pt>
                <c:pt idx="26">
                  <c:v>41856</c:v>
                </c:pt>
                <c:pt idx="27">
                  <c:v>41948</c:v>
                </c:pt>
                <c:pt idx="28">
                  <c:v>42038</c:v>
                </c:pt>
                <c:pt idx="29">
                  <c:v>42150</c:v>
                </c:pt>
                <c:pt idx="30">
                  <c:v>42234</c:v>
                </c:pt>
                <c:pt idx="31">
                  <c:v>42338</c:v>
                </c:pt>
                <c:pt idx="32">
                  <c:v>42422</c:v>
                </c:pt>
                <c:pt idx="33">
                  <c:v>42514</c:v>
                </c:pt>
                <c:pt idx="34">
                  <c:v>42618</c:v>
                </c:pt>
                <c:pt idx="35">
                  <c:v>42681</c:v>
                </c:pt>
                <c:pt idx="36">
                  <c:v>42774</c:v>
                </c:pt>
                <c:pt idx="37">
                  <c:v>42866</c:v>
                </c:pt>
                <c:pt idx="38">
                  <c:v>43053</c:v>
                </c:pt>
              </c:numCache>
            </c:numRef>
          </c:cat>
          <c:val>
            <c:numRef>
              <c:f>あらめ!$R$332:$R$383</c:f>
              <c:numCache>
                <c:formatCode>0</c:formatCode>
                <c:ptCount val="52"/>
                <c:pt idx="0">
                  <c:v>296</c:v>
                </c:pt>
                <c:pt idx="1">
                  <c:v>436</c:v>
                </c:pt>
                <c:pt idx="2">
                  <c:v>372</c:v>
                </c:pt>
                <c:pt idx="3">
                  <c:v>391</c:v>
                </c:pt>
                <c:pt idx="4">
                  <c:v>309</c:v>
                </c:pt>
                <c:pt idx="5">
                  <c:v>398</c:v>
                </c:pt>
                <c:pt idx="6">
                  <c:v>417</c:v>
                </c:pt>
                <c:pt idx="7">
                  <c:v>408</c:v>
                </c:pt>
                <c:pt idx="8">
                  <c:v>273</c:v>
                </c:pt>
                <c:pt idx="9">
                  <c:v>410</c:v>
                </c:pt>
                <c:pt idx="17">
                  <c:v>376</c:v>
                </c:pt>
                <c:pt idx="18">
                  <c:v>253</c:v>
                </c:pt>
                <c:pt idx="19">
                  <c:v>322</c:v>
                </c:pt>
                <c:pt idx="20">
                  <c:v>331</c:v>
                </c:pt>
                <c:pt idx="21">
                  <c:v>324</c:v>
                </c:pt>
                <c:pt idx="22">
                  <c:v>270</c:v>
                </c:pt>
                <c:pt idx="23">
                  <c:v>366</c:v>
                </c:pt>
                <c:pt idx="24">
                  <c:v>346</c:v>
                </c:pt>
                <c:pt idx="25">
                  <c:v>319</c:v>
                </c:pt>
                <c:pt idx="26">
                  <c:v>249</c:v>
                </c:pt>
                <c:pt idx="27">
                  <c:v>375</c:v>
                </c:pt>
                <c:pt idx="28">
                  <c:v>383</c:v>
                </c:pt>
                <c:pt idx="29">
                  <c:v>375</c:v>
                </c:pt>
                <c:pt idx="30">
                  <c:v>245</c:v>
                </c:pt>
                <c:pt idx="31">
                  <c:v>395</c:v>
                </c:pt>
                <c:pt idx="32">
                  <c:v>333</c:v>
                </c:pt>
                <c:pt idx="33">
                  <c:v>402</c:v>
                </c:pt>
                <c:pt idx="34">
                  <c:v>322</c:v>
                </c:pt>
                <c:pt idx="35">
                  <c:v>375</c:v>
                </c:pt>
                <c:pt idx="36">
                  <c:v>382</c:v>
                </c:pt>
                <c:pt idx="37">
                  <c:v>364</c:v>
                </c:pt>
                <c:pt idx="38">
                  <c:v>422</c:v>
                </c:pt>
              </c:numCache>
            </c:numRef>
          </c:val>
          <c:smooth val="0"/>
        </c:ser>
        <c:ser>
          <c:idx val="0"/>
          <c:order val="1"/>
          <c:tx>
            <c:strRef>
              <c:f>あらめ!$Q$331</c:f>
              <c:strCache>
                <c:ptCount val="1"/>
                <c:pt idx="0">
                  <c:v>Be-7</c:v>
                </c:pt>
              </c:strCache>
            </c:strRef>
          </c:tx>
          <c:spPr>
            <a:ln w="12700">
              <a:solidFill>
                <a:srgbClr val="0066FF"/>
              </a:solidFill>
              <a:prstDash val="sysDash"/>
            </a:ln>
          </c:spPr>
          <c:marker>
            <c:symbol val="circle"/>
            <c:size val="5"/>
            <c:spPr>
              <a:solidFill>
                <a:srgbClr val="FFFFFF"/>
              </a:solidFill>
              <a:ln>
                <a:solidFill>
                  <a:srgbClr val="0066FF"/>
                </a:solidFill>
                <a:prstDash val="solid"/>
              </a:ln>
            </c:spPr>
          </c:marker>
          <c:cat>
            <c:numRef>
              <c:f>あらめ!$K$332:$K$383</c:f>
              <c:numCache>
                <c:formatCode>[$-411]m\.d\.ge</c:formatCode>
                <c:ptCount val="52"/>
                <c:pt idx="0">
                  <c:v>39687</c:v>
                </c:pt>
                <c:pt idx="1">
                  <c:v>39762</c:v>
                </c:pt>
                <c:pt idx="2">
                  <c:v>39856</c:v>
                </c:pt>
                <c:pt idx="3">
                  <c:v>39952</c:v>
                </c:pt>
                <c:pt idx="4">
                  <c:v>40028</c:v>
                </c:pt>
                <c:pt idx="5">
                  <c:v>40128</c:v>
                </c:pt>
                <c:pt idx="6">
                  <c:v>40218</c:v>
                </c:pt>
                <c:pt idx="7">
                  <c:v>40316</c:v>
                </c:pt>
                <c:pt idx="8">
                  <c:v>40399</c:v>
                </c:pt>
                <c:pt idx="9">
                  <c:v>40490</c:v>
                </c:pt>
                <c:pt idx="10">
                  <c:v>40581</c:v>
                </c:pt>
                <c:pt idx="11">
                  <c:v>40612</c:v>
                </c:pt>
                <c:pt idx="12">
                  <c:v>40613</c:v>
                </c:pt>
                <c:pt idx="13">
                  <c:v>40737</c:v>
                </c:pt>
                <c:pt idx="14">
                  <c:v>40784</c:v>
                </c:pt>
                <c:pt idx="15">
                  <c:v>40861</c:v>
                </c:pt>
                <c:pt idx="16">
                  <c:v>40945</c:v>
                </c:pt>
                <c:pt idx="17">
                  <c:v>41058</c:v>
                </c:pt>
                <c:pt idx="18">
                  <c:v>41127</c:v>
                </c:pt>
                <c:pt idx="19">
                  <c:v>41222</c:v>
                </c:pt>
                <c:pt idx="20">
                  <c:v>41311</c:v>
                </c:pt>
                <c:pt idx="21">
                  <c:v>41415</c:v>
                </c:pt>
                <c:pt idx="22">
                  <c:v>41514</c:v>
                </c:pt>
                <c:pt idx="23">
                  <c:v>41595</c:v>
                </c:pt>
                <c:pt idx="24">
                  <c:v>41694</c:v>
                </c:pt>
                <c:pt idx="25">
                  <c:v>41788</c:v>
                </c:pt>
                <c:pt idx="26">
                  <c:v>41856</c:v>
                </c:pt>
                <c:pt idx="27">
                  <c:v>41948</c:v>
                </c:pt>
                <c:pt idx="28">
                  <c:v>42038</c:v>
                </c:pt>
                <c:pt idx="29">
                  <c:v>42150</c:v>
                </c:pt>
                <c:pt idx="30">
                  <c:v>42234</c:v>
                </c:pt>
                <c:pt idx="31">
                  <c:v>42338</c:v>
                </c:pt>
                <c:pt idx="32">
                  <c:v>42422</c:v>
                </c:pt>
                <c:pt idx="33">
                  <c:v>42514</c:v>
                </c:pt>
                <c:pt idx="34">
                  <c:v>42618</c:v>
                </c:pt>
                <c:pt idx="35">
                  <c:v>42681</c:v>
                </c:pt>
                <c:pt idx="36">
                  <c:v>42774</c:v>
                </c:pt>
                <c:pt idx="37">
                  <c:v>42866</c:v>
                </c:pt>
                <c:pt idx="38">
                  <c:v>43053</c:v>
                </c:pt>
              </c:numCache>
            </c:numRef>
          </c:cat>
          <c:val>
            <c:numRef>
              <c:f>あらめ!$Q$332:$Q$383</c:f>
              <c:numCache>
                <c:formatCode>General</c:formatCode>
                <c:ptCount val="52"/>
                <c:pt idx="0">
                  <c:v>0.51</c:v>
                </c:pt>
                <c:pt idx="1">
                  <c:v>0.53</c:v>
                </c:pt>
                <c:pt idx="2">
                  <c:v>0.43</c:v>
                </c:pt>
                <c:pt idx="3" formatCode="0.000">
                  <c:v>0.215</c:v>
                </c:pt>
                <c:pt idx="4">
                  <c:v>0.52</c:v>
                </c:pt>
                <c:pt idx="5" formatCode="&quot;(&quot;0.00&quot;)&quot;">
                  <c:v>0.56999999999999995</c:v>
                </c:pt>
                <c:pt idx="6" formatCode="0.000">
                  <c:v>0.215</c:v>
                </c:pt>
                <c:pt idx="7" formatCode="0.000">
                  <c:v>0.215</c:v>
                </c:pt>
                <c:pt idx="8" formatCode="0.000">
                  <c:v>0.215</c:v>
                </c:pt>
                <c:pt idx="9" formatCode="&quot;(&quot;0.00&quot;)&quot;">
                  <c:v>0.51</c:v>
                </c:pt>
                <c:pt idx="17" formatCode="0.000">
                  <c:v>0.215</c:v>
                </c:pt>
                <c:pt idx="18" formatCode="0.000">
                  <c:v>0.215</c:v>
                </c:pt>
                <c:pt idx="19" formatCode="0.000">
                  <c:v>0.215</c:v>
                </c:pt>
                <c:pt idx="20" formatCode="0.000">
                  <c:v>0.215</c:v>
                </c:pt>
                <c:pt idx="21" formatCode="0.000">
                  <c:v>0.215</c:v>
                </c:pt>
                <c:pt idx="22" formatCode="0.000">
                  <c:v>0.215</c:v>
                </c:pt>
                <c:pt idx="23" formatCode="0.000">
                  <c:v>0.215</c:v>
                </c:pt>
                <c:pt idx="24" formatCode="0.000">
                  <c:v>0.215</c:v>
                </c:pt>
                <c:pt idx="25" formatCode="0.000">
                  <c:v>0.215</c:v>
                </c:pt>
                <c:pt idx="26" formatCode="0.000">
                  <c:v>0.215</c:v>
                </c:pt>
                <c:pt idx="27" formatCode="0.000">
                  <c:v>0.215</c:v>
                </c:pt>
                <c:pt idx="28" formatCode="0.000">
                  <c:v>0.215</c:v>
                </c:pt>
                <c:pt idx="29" formatCode="0.000">
                  <c:v>0.215</c:v>
                </c:pt>
                <c:pt idx="30" formatCode="0.000">
                  <c:v>0.215</c:v>
                </c:pt>
                <c:pt idx="31" formatCode="0.000">
                  <c:v>0.215</c:v>
                </c:pt>
                <c:pt idx="32" formatCode="0.000">
                  <c:v>0.215</c:v>
                </c:pt>
                <c:pt idx="33" formatCode="0.000">
                  <c:v>0.215</c:v>
                </c:pt>
                <c:pt idx="34">
                  <c:v>0.65</c:v>
                </c:pt>
                <c:pt idx="35" formatCode="0.000">
                  <c:v>0.215</c:v>
                </c:pt>
                <c:pt idx="36" formatCode="&quot;(&quot;0.00&quot;)&quot;">
                  <c:v>0.76</c:v>
                </c:pt>
                <c:pt idx="37" formatCode="0.000">
                  <c:v>0.215</c:v>
                </c:pt>
                <c:pt idx="38" formatCode="0.000">
                  <c:v>0.215</c:v>
                </c:pt>
              </c:numCache>
            </c:numRef>
          </c:val>
          <c:smooth val="0"/>
        </c:ser>
        <c:ser>
          <c:idx val="2"/>
          <c:order val="2"/>
          <c:tx>
            <c:strRef>
              <c:f>あらめ!$T$331</c:f>
              <c:strCache>
                <c:ptCount val="1"/>
                <c:pt idx="0">
                  <c:v>Cs-137</c:v>
                </c:pt>
              </c:strCache>
            </c:strRef>
          </c:tx>
          <c:spPr>
            <a:ln w="12700">
              <a:solidFill>
                <a:srgbClr val="FF0000"/>
              </a:solidFill>
              <a:prstDash val="sysDash"/>
            </a:ln>
          </c:spPr>
          <c:marker>
            <c:symbol val="triangle"/>
            <c:size val="5"/>
            <c:spPr>
              <a:solidFill>
                <a:srgbClr val="FF0000"/>
              </a:solidFill>
              <a:ln>
                <a:solidFill>
                  <a:srgbClr val="FF0000"/>
                </a:solidFill>
                <a:prstDash val="solid"/>
              </a:ln>
            </c:spPr>
          </c:marker>
          <c:cat>
            <c:numRef>
              <c:f>あらめ!$K$332:$K$383</c:f>
              <c:numCache>
                <c:formatCode>[$-411]m\.d\.ge</c:formatCode>
                <c:ptCount val="52"/>
                <c:pt idx="0">
                  <c:v>39687</c:v>
                </c:pt>
                <c:pt idx="1">
                  <c:v>39762</c:v>
                </c:pt>
                <c:pt idx="2">
                  <c:v>39856</c:v>
                </c:pt>
                <c:pt idx="3">
                  <c:v>39952</c:v>
                </c:pt>
                <c:pt idx="4">
                  <c:v>40028</c:v>
                </c:pt>
                <c:pt idx="5">
                  <c:v>40128</c:v>
                </c:pt>
                <c:pt idx="6">
                  <c:v>40218</c:v>
                </c:pt>
                <c:pt idx="7">
                  <c:v>40316</c:v>
                </c:pt>
                <c:pt idx="8">
                  <c:v>40399</c:v>
                </c:pt>
                <c:pt idx="9">
                  <c:v>40490</c:v>
                </c:pt>
                <c:pt idx="10">
                  <c:v>40581</c:v>
                </c:pt>
                <c:pt idx="11">
                  <c:v>40612</c:v>
                </c:pt>
                <c:pt idx="12">
                  <c:v>40613</c:v>
                </c:pt>
                <c:pt idx="13">
                  <c:v>40737</c:v>
                </c:pt>
                <c:pt idx="14">
                  <c:v>40784</c:v>
                </c:pt>
                <c:pt idx="15">
                  <c:v>40861</c:v>
                </c:pt>
                <c:pt idx="16">
                  <c:v>40945</c:v>
                </c:pt>
                <c:pt idx="17">
                  <c:v>41058</c:v>
                </c:pt>
                <c:pt idx="18">
                  <c:v>41127</c:v>
                </c:pt>
                <c:pt idx="19">
                  <c:v>41222</c:v>
                </c:pt>
                <c:pt idx="20">
                  <c:v>41311</c:v>
                </c:pt>
                <c:pt idx="21">
                  <c:v>41415</c:v>
                </c:pt>
                <c:pt idx="22">
                  <c:v>41514</c:v>
                </c:pt>
                <c:pt idx="23">
                  <c:v>41595</c:v>
                </c:pt>
                <c:pt idx="24">
                  <c:v>41694</c:v>
                </c:pt>
                <c:pt idx="25">
                  <c:v>41788</c:v>
                </c:pt>
                <c:pt idx="26">
                  <c:v>41856</c:v>
                </c:pt>
                <c:pt idx="27">
                  <c:v>41948</c:v>
                </c:pt>
                <c:pt idx="28">
                  <c:v>42038</c:v>
                </c:pt>
                <c:pt idx="29">
                  <c:v>42150</c:v>
                </c:pt>
                <c:pt idx="30">
                  <c:v>42234</c:v>
                </c:pt>
                <c:pt idx="31">
                  <c:v>42338</c:v>
                </c:pt>
                <c:pt idx="32">
                  <c:v>42422</c:v>
                </c:pt>
                <c:pt idx="33">
                  <c:v>42514</c:v>
                </c:pt>
                <c:pt idx="34">
                  <c:v>42618</c:v>
                </c:pt>
                <c:pt idx="35">
                  <c:v>42681</c:v>
                </c:pt>
                <c:pt idx="36">
                  <c:v>42774</c:v>
                </c:pt>
                <c:pt idx="37">
                  <c:v>42866</c:v>
                </c:pt>
                <c:pt idx="38">
                  <c:v>43053</c:v>
                </c:pt>
              </c:numCache>
            </c:numRef>
          </c:cat>
          <c:val>
            <c:numRef>
              <c:f>あらめ!$T$332:$T$383</c:f>
              <c:numCache>
                <c:formatCode>"("0.00")"</c:formatCode>
                <c:ptCount val="52"/>
                <c:pt idx="0">
                  <c:v>5.2999999999999999E-2</c:v>
                </c:pt>
                <c:pt idx="1">
                  <c:v>6.7000000000000004E-2</c:v>
                </c:pt>
                <c:pt idx="2" formatCode="0.000">
                  <c:v>1.5667029586513434E-2</c:v>
                </c:pt>
                <c:pt idx="3" formatCode="0.000">
                  <c:v>1.557239579760521E-2</c:v>
                </c:pt>
                <c:pt idx="4" formatCode="0.000">
                  <c:v>5.8000000000000003E-2</c:v>
                </c:pt>
                <c:pt idx="5" formatCode="0.000">
                  <c:v>1.5400382644944005E-2</c:v>
                </c:pt>
                <c:pt idx="6" formatCode="0.000">
                  <c:v>1.531315693789299E-2</c:v>
                </c:pt>
                <c:pt idx="7" formatCode="0.000">
                  <c:v>1.5218739598023787E-2</c:v>
                </c:pt>
                <c:pt idx="8" formatCode="0.000">
                  <c:v>6.9000000000000006E-2</c:v>
                </c:pt>
                <c:pt idx="9">
                  <c:v>6.9000000000000006E-2</c:v>
                </c:pt>
                <c:pt idx="17" formatCode="0.00">
                  <c:v>2.2599999999999998</c:v>
                </c:pt>
                <c:pt idx="18" formatCode="0.00">
                  <c:v>1.1299999999999999</c:v>
                </c:pt>
                <c:pt idx="19" formatCode="0.00">
                  <c:v>0.73</c:v>
                </c:pt>
                <c:pt idx="20" formatCode="0.00">
                  <c:v>0.27</c:v>
                </c:pt>
                <c:pt idx="21" formatCode="0.00">
                  <c:v>0.32</c:v>
                </c:pt>
                <c:pt idx="22" formatCode="0.00">
                  <c:v>0.36</c:v>
                </c:pt>
                <c:pt idx="23" formatCode="0.00">
                  <c:v>0.37</c:v>
                </c:pt>
                <c:pt idx="24" formatCode="0.00">
                  <c:v>0.21</c:v>
                </c:pt>
                <c:pt idx="25" formatCode="0.00">
                  <c:v>0.22</c:v>
                </c:pt>
                <c:pt idx="26" formatCode="0.00">
                  <c:v>0.33</c:v>
                </c:pt>
                <c:pt idx="27" formatCode="0.00">
                  <c:v>0.86</c:v>
                </c:pt>
                <c:pt idx="28" formatCode="0.00">
                  <c:v>0.26</c:v>
                </c:pt>
                <c:pt idx="29" formatCode="0.00">
                  <c:v>0.17</c:v>
                </c:pt>
                <c:pt idx="30" formatCode="0.00">
                  <c:v>0.25</c:v>
                </c:pt>
                <c:pt idx="31" formatCode="0.00">
                  <c:v>0.18</c:v>
                </c:pt>
                <c:pt idx="32" formatCode="0.00">
                  <c:v>0.15</c:v>
                </c:pt>
                <c:pt idx="33" formatCode="0.00">
                  <c:v>0.15</c:v>
                </c:pt>
                <c:pt idx="34" formatCode="0.00">
                  <c:v>0.33</c:v>
                </c:pt>
                <c:pt idx="35" formatCode="0.00">
                  <c:v>0.3</c:v>
                </c:pt>
                <c:pt idx="36" formatCode="0.00">
                  <c:v>0.15</c:v>
                </c:pt>
                <c:pt idx="37" formatCode="0.00">
                  <c:v>0.25</c:v>
                </c:pt>
                <c:pt idx="38" formatCode="0.00">
                  <c:v>0.17</c:v>
                </c:pt>
              </c:numCache>
            </c:numRef>
          </c:val>
          <c:smooth val="0"/>
        </c:ser>
        <c:ser>
          <c:idx val="4"/>
          <c:order val="3"/>
          <c:tx>
            <c:strRef>
              <c:f>あらめ!$S$331</c:f>
              <c:strCache>
                <c:ptCount val="1"/>
                <c:pt idx="0">
                  <c:v>Cs-134</c:v>
                </c:pt>
              </c:strCache>
            </c:strRef>
          </c:tx>
          <c:spPr>
            <a:ln w="12700">
              <a:solidFill>
                <a:srgbClr val="FF0000"/>
              </a:solidFill>
              <a:prstDash val="sysDot"/>
            </a:ln>
          </c:spPr>
          <c:marker>
            <c:symbol val="triangle"/>
            <c:size val="6"/>
            <c:spPr>
              <a:noFill/>
              <a:ln>
                <a:solidFill>
                  <a:srgbClr val="FF0000"/>
                </a:solidFill>
                <a:prstDash val="solid"/>
              </a:ln>
            </c:spPr>
          </c:marker>
          <c:val>
            <c:numRef>
              <c:f>あらめ!$S$332:$S$354</c:f>
              <c:numCache>
                <c:formatCode>0.000</c:formatCode>
                <c:ptCount val="23"/>
                <c:pt idx="0">
                  <c:v>1.3154439895125766E-5</c:v>
                </c:pt>
                <c:pt idx="1">
                  <c:v>1.2277077129958381E-5</c:v>
                </c:pt>
                <c:pt idx="2">
                  <c:v>1.1259609761433538E-5</c:v>
                </c:pt>
                <c:pt idx="3">
                  <c:v>1.0307475157782738E-5</c:v>
                </c:pt>
                <c:pt idx="4">
                  <c:v>9.6111470453509762E-6</c:v>
                </c:pt>
                <c:pt idx="5">
                  <c:v>8.7660791219474468E-6</c:v>
                </c:pt>
                <c:pt idx="6">
                  <c:v>8.0692381711939268E-6</c:v>
                </c:pt>
                <c:pt idx="7">
                  <c:v>7.3733032409986172E-6</c:v>
                </c:pt>
                <c:pt idx="8">
                  <c:v>6.8310447746133801E-6</c:v>
                </c:pt>
                <c:pt idx="9">
                  <c:v>6.2822408379381199E-6</c:v>
                </c:pt>
                <c:pt idx="17" formatCode="0.00">
                  <c:v>1.48</c:v>
                </c:pt>
                <c:pt idx="18" formatCode="0.00">
                  <c:v>0.61</c:v>
                </c:pt>
                <c:pt idx="19" formatCode="0.00">
                  <c:v>0.39</c:v>
                </c:pt>
                <c:pt idx="20" formatCode="0.00">
                  <c:v>0.11</c:v>
                </c:pt>
                <c:pt idx="21" formatCode="0.00">
                  <c:v>0.17</c:v>
                </c:pt>
                <c:pt idx="22" formatCode="0.00">
                  <c:v>0.15</c:v>
                </c:pt>
              </c:numCache>
            </c:numRef>
          </c:val>
          <c:smooth val="0"/>
        </c:ser>
        <c:ser>
          <c:idx val="3"/>
          <c:order val="4"/>
          <c:tx>
            <c:strRef>
              <c:f>あらめ!$U$331</c:f>
              <c:strCache>
                <c:ptCount val="1"/>
                <c:pt idx="0">
                  <c:v>I-131</c:v>
                </c:pt>
              </c:strCache>
            </c:strRef>
          </c:tx>
          <c:spPr>
            <a:ln w="12700">
              <a:solidFill>
                <a:srgbClr val="FF00FF"/>
              </a:solidFill>
              <a:prstDash val="solid"/>
            </a:ln>
          </c:spPr>
          <c:marker>
            <c:symbol val="star"/>
            <c:size val="5"/>
            <c:spPr>
              <a:noFill/>
              <a:ln>
                <a:solidFill>
                  <a:srgbClr val="FF00FF"/>
                </a:solidFill>
                <a:prstDash val="solid"/>
              </a:ln>
            </c:spPr>
          </c:marker>
          <c:cat>
            <c:numRef>
              <c:f>あらめ!$K$332:$K$383</c:f>
              <c:numCache>
                <c:formatCode>[$-411]m\.d\.ge</c:formatCode>
                <c:ptCount val="52"/>
                <c:pt idx="0">
                  <c:v>39687</c:v>
                </c:pt>
                <c:pt idx="1">
                  <c:v>39762</c:v>
                </c:pt>
                <c:pt idx="2">
                  <c:v>39856</c:v>
                </c:pt>
                <c:pt idx="3">
                  <c:v>39952</c:v>
                </c:pt>
                <c:pt idx="4">
                  <c:v>40028</c:v>
                </c:pt>
                <c:pt idx="5">
                  <c:v>40128</c:v>
                </c:pt>
                <c:pt idx="6">
                  <c:v>40218</c:v>
                </c:pt>
                <c:pt idx="7">
                  <c:v>40316</c:v>
                </c:pt>
                <c:pt idx="8">
                  <c:v>40399</c:v>
                </c:pt>
                <c:pt idx="9">
                  <c:v>40490</c:v>
                </c:pt>
                <c:pt idx="10">
                  <c:v>40581</c:v>
                </c:pt>
                <c:pt idx="11">
                  <c:v>40612</c:v>
                </c:pt>
                <c:pt idx="12">
                  <c:v>40613</c:v>
                </c:pt>
                <c:pt idx="13">
                  <c:v>40737</c:v>
                </c:pt>
                <c:pt idx="14">
                  <c:v>40784</c:v>
                </c:pt>
                <c:pt idx="15">
                  <c:v>40861</c:v>
                </c:pt>
                <c:pt idx="16">
                  <c:v>40945</c:v>
                </c:pt>
                <c:pt idx="17">
                  <c:v>41058</c:v>
                </c:pt>
                <c:pt idx="18">
                  <c:v>41127</c:v>
                </c:pt>
                <c:pt idx="19">
                  <c:v>41222</c:v>
                </c:pt>
                <c:pt idx="20">
                  <c:v>41311</c:v>
                </c:pt>
                <c:pt idx="21">
                  <c:v>41415</c:v>
                </c:pt>
                <c:pt idx="22">
                  <c:v>41514</c:v>
                </c:pt>
                <c:pt idx="23">
                  <c:v>41595</c:v>
                </c:pt>
                <c:pt idx="24">
                  <c:v>41694</c:v>
                </c:pt>
                <c:pt idx="25">
                  <c:v>41788</c:v>
                </c:pt>
                <c:pt idx="26">
                  <c:v>41856</c:v>
                </c:pt>
                <c:pt idx="27">
                  <c:v>41948</c:v>
                </c:pt>
                <c:pt idx="28">
                  <c:v>42038</c:v>
                </c:pt>
                <c:pt idx="29">
                  <c:v>42150</c:v>
                </c:pt>
                <c:pt idx="30">
                  <c:v>42234</c:v>
                </c:pt>
                <c:pt idx="31">
                  <c:v>42338</c:v>
                </c:pt>
                <c:pt idx="32">
                  <c:v>42422</c:v>
                </c:pt>
                <c:pt idx="33">
                  <c:v>42514</c:v>
                </c:pt>
                <c:pt idx="34">
                  <c:v>42618</c:v>
                </c:pt>
                <c:pt idx="35">
                  <c:v>42681</c:v>
                </c:pt>
                <c:pt idx="36">
                  <c:v>42774</c:v>
                </c:pt>
                <c:pt idx="37">
                  <c:v>42866</c:v>
                </c:pt>
                <c:pt idx="38">
                  <c:v>43053</c:v>
                </c:pt>
              </c:numCache>
            </c:numRef>
          </c:cat>
          <c:val>
            <c:numRef>
              <c:f>あらめ!$U$332:$U$383</c:f>
              <c:numCache>
                <c:formatCode>"("0.00")"</c:formatCode>
                <c:ptCount val="52"/>
                <c:pt idx="0" formatCode="0.000">
                  <c:v>0.21</c:v>
                </c:pt>
                <c:pt idx="1">
                  <c:v>6.6000000000000003E-2</c:v>
                </c:pt>
                <c:pt idx="2" formatCode="0.000">
                  <c:v>8.1000000000000003E-2</c:v>
                </c:pt>
                <c:pt idx="3" formatCode="0.000">
                  <c:v>7.2999999999999995E-2</c:v>
                </c:pt>
                <c:pt idx="4" formatCode="0.000">
                  <c:v>0.24</c:v>
                </c:pt>
                <c:pt idx="5" formatCode="0.000">
                  <c:v>0.2</c:v>
                </c:pt>
                <c:pt idx="6">
                  <c:v>7.9000000000000001E-2</c:v>
                </c:pt>
                <c:pt idx="7" formatCode=".00000">
                  <c:v>7.628513569280651E-26</c:v>
                </c:pt>
                <c:pt idx="8" formatCode="0.000">
                  <c:v>0.23</c:v>
                </c:pt>
                <c:pt idx="9" formatCode="0.000">
                  <c:v>0.11</c:v>
                </c:pt>
                <c:pt idx="17" formatCode="0.000">
                  <c:v>0.17</c:v>
                </c:pt>
                <c:pt idx="18" formatCode="0.000">
                  <c:v>0.41</c:v>
                </c:pt>
                <c:pt idx="19" formatCode="0.000">
                  <c:v>0.17</c:v>
                </c:pt>
                <c:pt idx="20" formatCode=".00000">
                  <c:v>3.7869916088391485E-28</c:v>
                </c:pt>
                <c:pt idx="21" formatCode=".00000">
                  <c:v>5.1674460381184223E-32</c:v>
                </c:pt>
                <c:pt idx="22" formatCode=".00000">
                  <c:v>1.0816225908629476E-35</c:v>
                </c:pt>
                <c:pt idx="23" formatCode="0.000">
                  <c:v>0.17</c:v>
                </c:pt>
                <c:pt idx="24" formatCode="0.000">
                  <c:v>0.21</c:v>
                </c:pt>
                <c:pt idx="25" formatCode="0.000">
                  <c:v>0.19</c:v>
                </c:pt>
                <c:pt idx="26">
                  <c:v>0.13</c:v>
                </c:pt>
                <c:pt idx="27">
                  <c:v>0.17</c:v>
                </c:pt>
                <c:pt idx="28" formatCode="0.000">
                  <c:v>0.19</c:v>
                </c:pt>
                <c:pt idx="29">
                  <c:v>0.15</c:v>
                </c:pt>
                <c:pt idx="30" formatCode="0.000">
                  <c:v>0.2</c:v>
                </c:pt>
                <c:pt idx="31" formatCode=".00000">
                  <c:v>2.577731715937589E-66</c:v>
                </c:pt>
                <c:pt idx="32">
                  <c:v>0.15</c:v>
                </c:pt>
                <c:pt idx="33" formatCode=".00000">
                  <c:v>7.4205715712671932E-73</c:v>
                </c:pt>
                <c:pt idx="34" formatCode="0.000">
                  <c:v>0.15</c:v>
                </c:pt>
                <c:pt idx="35" formatCode="0.000">
                  <c:v>0.27</c:v>
                </c:pt>
                <c:pt idx="36">
                  <c:v>0.14000000000000001</c:v>
                </c:pt>
                <c:pt idx="37">
                  <c:v>0.14000000000000001</c:v>
                </c:pt>
                <c:pt idx="38" formatCode=".00000">
                  <c:v>6.9061541098862275E-93</c:v>
                </c:pt>
              </c:numCache>
            </c:numRef>
          </c:val>
          <c:smooth val="0"/>
        </c:ser>
        <c:dLbls>
          <c:showLegendKey val="0"/>
          <c:showVal val="0"/>
          <c:showCatName val="0"/>
          <c:showSerName val="0"/>
          <c:showPercent val="0"/>
          <c:showBubbleSize val="0"/>
        </c:dLbls>
        <c:marker val="1"/>
        <c:smooth val="0"/>
        <c:axId val="230835712"/>
        <c:axId val="230837632"/>
      </c:lineChart>
      <c:dateAx>
        <c:axId val="230835712"/>
        <c:scaling>
          <c:orientation val="minMax"/>
          <c:min val="39539"/>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0837632"/>
        <c:crossesAt val="1.0000000000000003E-4"/>
        <c:auto val="0"/>
        <c:lblOffset val="100"/>
        <c:baseTimeUnit val="days"/>
        <c:majorUnit val="12"/>
        <c:majorTimeUnit val="months"/>
        <c:minorUnit val="3"/>
        <c:minorTimeUnit val="months"/>
      </c:dateAx>
      <c:valAx>
        <c:axId val="230837632"/>
        <c:scaling>
          <c:logBase val="10"/>
          <c:orientation val="minMax"/>
          <c:min val="1.0000000000000003E-4"/>
        </c:scaling>
        <c:delete val="0"/>
        <c:axPos val="l"/>
        <c:majorGridlines>
          <c:spPr>
            <a:ln w="3175">
              <a:solidFill>
                <a:schemeClr val="bg1">
                  <a:lumMod val="85000"/>
                </a:schemeClr>
              </a:solidFill>
              <a:prstDash val="solid"/>
            </a:ln>
          </c:spPr>
        </c:majorGridlines>
        <c:minorGridlines>
          <c:spPr>
            <a:ln>
              <a:solidFill>
                <a:schemeClr val="bg1">
                  <a:lumMod val="85000"/>
                </a:schemeClr>
              </a:solidFill>
            </a:ln>
          </c:spPr>
        </c:minorGridlines>
        <c:title>
          <c:tx>
            <c:rich>
              <a:bodyPr/>
              <a:lstStyle/>
              <a:p>
                <a:pP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Bq/kg生</a:t>
                </a:r>
              </a:p>
            </c:rich>
          </c:tx>
          <c:layout>
            <c:manualLayout>
              <c:xMode val="edge"/>
              <c:yMode val="edge"/>
              <c:x val="9.46969696969697E-3"/>
              <c:y val="0.41590342491592219"/>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0835712"/>
        <c:crosses val="autoZero"/>
        <c:crossBetween val="between"/>
        <c:minorUnit val="10"/>
      </c:valAx>
      <c:spPr>
        <a:noFill/>
        <a:ln w="12700">
          <a:solidFill>
            <a:srgbClr val="808080"/>
          </a:solidFill>
          <a:prstDash val="solid"/>
        </a:ln>
      </c:spPr>
    </c:plotArea>
    <c:legend>
      <c:legendPos val="r"/>
      <c:layout>
        <c:manualLayout>
          <c:xMode val="edge"/>
          <c:yMode val="edge"/>
          <c:x val="0.40223118279569892"/>
          <c:y val="0.64722256944444445"/>
          <c:w val="0.50653584891916015"/>
          <c:h val="0.13362186705412277"/>
        </c:manualLayout>
      </c:layout>
      <c:overlay val="0"/>
      <c:spPr>
        <a:solidFill>
          <a:schemeClr val="bg1"/>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あらめ (鮎川</a:t>
            </a:r>
            <a:r>
              <a:rPr lang="en-US" altLang="ja-JP" sz="1200" b="0" i="0" u="none" strike="noStrike" baseline="0">
                <a:solidFill>
                  <a:srgbClr val="000000"/>
                </a:solidFill>
                <a:latin typeface="Meiryo UI"/>
                <a:ea typeface="Meiryo UI"/>
              </a:rPr>
              <a:t>/</a:t>
            </a:r>
            <a:r>
              <a:rPr lang="ja-JP" altLang="en-US" sz="1200" b="0" i="0" u="none" strike="noStrike" baseline="0">
                <a:solidFill>
                  <a:srgbClr val="000000"/>
                </a:solidFill>
                <a:latin typeface="Meiryo UI"/>
                <a:ea typeface="Meiryo UI"/>
              </a:rPr>
              <a:t>電力)</a:t>
            </a:r>
          </a:p>
        </c:rich>
      </c:tx>
      <c:layout>
        <c:manualLayout>
          <c:xMode val="edge"/>
          <c:yMode val="edge"/>
          <c:x val="0.16845054481969779"/>
          <c:y val="0.15620279726343356"/>
        </c:manualLayout>
      </c:layout>
      <c:overlay val="0"/>
      <c:spPr>
        <a:solidFill>
          <a:srgbClr val="FFFFFF"/>
        </a:solidFill>
        <a:ln w="25400">
          <a:noFill/>
        </a:ln>
      </c:spPr>
    </c:title>
    <c:autoTitleDeleted val="0"/>
    <c:plotArea>
      <c:layout>
        <c:manualLayout>
          <c:layoutTarget val="inner"/>
          <c:xMode val="edge"/>
          <c:yMode val="edge"/>
          <c:x val="8.4534104923631517E-2"/>
          <c:y val="3.5517809366936749E-2"/>
          <c:w val="0.86032381407575576"/>
          <c:h val="0.85429354304930338"/>
        </c:manualLayout>
      </c:layout>
      <c:lineChart>
        <c:grouping val="standard"/>
        <c:varyColors val="0"/>
        <c:ser>
          <c:idx val="1"/>
          <c:order val="0"/>
          <c:tx>
            <c:strRef>
              <c:f>あらめ!$AM$196</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あらめ!$AK$197:$AK$316</c:f>
              <c:numCache>
                <c:formatCode>[$-411]m\.d\.ge</c:formatCode>
                <c:ptCount val="120"/>
                <c:pt idx="8">
                  <c:v>30630</c:v>
                </c:pt>
                <c:pt idx="15">
                  <c:v>31085</c:v>
                </c:pt>
                <c:pt idx="19">
                  <c:v>31371</c:v>
                </c:pt>
                <c:pt idx="24">
                  <c:v>31528</c:v>
                </c:pt>
                <c:pt idx="27">
                  <c:v>31726</c:v>
                </c:pt>
                <c:pt idx="35">
                  <c:v>32109</c:v>
                </c:pt>
                <c:pt idx="40">
                  <c:v>32469</c:v>
                </c:pt>
                <c:pt idx="45">
                  <c:v>32839</c:v>
                </c:pt>
                <c:pt idx="49">
                  <c:v>33206</c:v>
                </c:pt>
                <c:pt idx="53">
                  <c:v>33577</c:v>
                </c:pt>
                <c:pt idx="58">
                  <c:v>34032</c:v>
                </c:pt>
                <c:pt idx="61">
                  <c:v>34291</c:v>
                </c:pt>
                <c:pt idx="65">
                  <c:v>34646</c:v>
                </c:pt>
                <c:pt idx="69">
                  <c:v>35010</c:v>
                </c:pt>
                <c:pt idx="73">
                  <c:v>35374</c:v>
                </c:pt>
                <c:pt idx="77">
                  <c:v>35744</c:v>
                </c:pt>
                <c:pt idx="81">
                  <c:v>36108</c:v>
                </c:pt>
                <c:pt idx="85">
                  <c:v>36474</c:v>
                </c:pt>
                <c:pt idx="90">
                  <c:v>36837</c:v>
                </c:pt>
                <c:pt idx="93">
                  <c:v>37208</c:v>
                </c:pt>
                <c:pt idx="97">
                  <c:v>37589</c:v>
                </c:pt>
                <c:pt idx="101">
                  <c:v>37931</c:v>
                </c:pt>
                <c:pt idx="105">
                  <c:v>38300</c:v>
                </c:pt>
                <c:pt idx="109">
                  <c:v>38670</c:v>
                </c:pt>
                <c:pt idx="113">
                  <c:v>39034</c:v>
                </c:pt>
                <c:pt idx="117">
                  <c:v>39406</c:v>
                </c:pt>
                <c:pt idx="118">
                  <c:v>39470</c:v>
                </c:pt>
                <c:pt idx="119">
                  <c:v>39566</c:v>
                </c:pt>
              </c:numCache>
            </c:numRef>
          </c:cat>
          <c:val>
            <c:numRef>
              <c:f>あらめ!$AM$197:$AM$316</c:f>
              <c:numCache>
                <c:formatCode>0_);[Red]\(0\)</c:formatCode>
                <c:ptCount val="120"/>
                <c:pt idx="8">
                  <c:v>240.37037037037038</c:v>
                </c:pt>
                <c:pt idx="15">
                  <c:v>392.59259259259261</c:v>
                </c:pt>
                <c:pt idx="19">
                  <c:v>385.18518518518516</c:v>
                </c:pt>
                <c:pt idx="27">
                  <c:v>338.51851851851853</c:v>
                </c:pt>
                <c:pt idx="35">
                  <c:v>369.62962962962962</c:v>
                </c:pt>
                <c:pt idx="40">
                  <c:v>431</c:v>
                </c:pt>
                <c:pt idx="45">
                  <c:v>427</c:v>
                </c:pt>
                <c:pt idx="49">
                  <c:v>383</c:v>
                </c:pt>
                <c:pt idx="53">
                  <c:v>382</c:v>
                </c:pt>
                <c:pt idx="58">
                  <c:v>350</c:v>
                </c:pt>
                <c:pt idx="61">
                  <c:v>332</c:v>
                </c:pt>
                <c:pt idx="65">
                  <c:v>317</c:v>
                </c:pt>
                <c:pt idx="69">
                  <c:v>355</c:v>
                </c:pt>
                <c:pt idx="73">
                  <c:v>337</c:v>
                </c:pt>
                <c:pt idx="77">
                  <c:v>340</c:v>
                </c:pt>
                <c:pt idx="81">
                  <c:v>426</c:v>
                </c:pt>
                <c:pt idx="85">
                  <c:v>340</c:v>
                </c:pt>
                <c:pt idx="90">
                  <c:v>329</c:v>
                </c:pt>
                <c:pt idx="93">
                  <c:v>384</c:v>
                </c:pt>
                <c:pt idx="97">
                  <c:v>367</c:v>
                </c:pt>
                <c:pt idx="101">
                  <c:v>348</c:v>
                </c:pt>
                <c:pt idx="105">
                  <c:v>399</c:v>
                </c:pt>
                <c:pt idx="109">
                  <c:v>376</c:v>
                </c:pt>
                <c:pt idx="113">
                  <c:v>367</c:v>
                </c:pt>
                <c:pt idx="117">
                  <c:v>361</c:v>
                </c:pt>
              </c:numCache>
            </c:numRef>
          </c:val>
          <c:smooth val="0"/>
        </c:ser>
        <c:ser>
          <c:idx val="0"/>
          <c:order val="1"/>
          <c:tx>
            <c:strRef>
              <c:f>あらめ!$AL$196</c:f>
              <c:strCache>
                <c:ptCount val="1"/>
                <c:pt idx="0">
                  <c:v>Be-7</c:v>
                </c:pt>
              </c:strCache>
            </c:strRef>
          </c:tx>
          <c:spPr>
            <a:ln w="12700">
              <a:solidFill>
                <a:srgbClr val="0066FF"/>
              </a:solidFill>
              <a:prstDash val="sysDash"/>
            </a:ln>
          </c:spPr>
          <c:marker>
            <c:symbol val="circle"/>
            <c:size val="5"/>
            <c:spPr>
              <a:solidFill>
                <a:srgbClr val="FFFFFF"/>
              </a:solidFill>
              <a:ln>
                <a:solidFill>
                  <a:srgbClr val="0066FF"/>
                </a:solidFill>
                <a:prstDash val="solid"/>
              </a:ln>
            </c:spPr>
          </c:marker>
          <c:cat>
            <c:numRef>
              <c:f>あらめ!$AK$197:$AK$316</c:f>
              <c:numCache>
                <c:formatCode>[$-411]m\.d\.ge</c:formatCode>
                <c:ptCount val="120"/>
                <c:pt idx="8">
                  <c:v>30630</c:v>
                </c:pt>
                <c:pt idx="15">
                  <c:v>31085</c:v>
                </c:pt>
                <c:pt idx="19">
                  <c:v>31371</c:v>
                </c:pt>
                <c:pt idx="24">
                  <c:v>31528</c:v>
                </c:pt>
                <c:pt idx="27">
                  <c:v>31726</c:v>
                </c:pt>
                <c:pt idx="35">
                  <c:v>32109</c:v>
                </c:pt>
                <c:pt idx="40">
                  <c:v>32469</c:v>
                </c:pt>
                <c:pt idx="45">
                  <c:v>32839</c:v>
                </c:pt>
                <c:pt idx="49">
                  <c:v>33206</c:v>
                </c:pt>
                <c:pt idx="53">
                  <c:v>33577</c:v>
                </c:pt>
                <c:pt idx="58">
                  <c:v>34032</c:v>
                </c:pt>
                <c:pt idx="61">
                  <c:v>34291</c:v>
                </c:pt>
                <c:pt idx="65">
                  <c:v>34646</c:v>
                </c:pt>
                <c:pt idx="69">
                  <c:v>35010</c:v>
                </c:pt>
                <c:pt idx="73">
                  <c:v>35374</c:v>
                </c:pt>
                <c:pt idx="77">
                  <c:v>35744</c:v>
                </c:pt>
                <c:pt idx="81">
                  <c:v>36108</c:v>
                </c:pt>
                <c:pt idx="85">
                  <c:v>36474</c:v>
                </c:pt>
                <c:pt idx="90">
                  <c:v>36837</c:v>
                </c:pt>
                <c:pt idx="93">
                  <c:v>37208</c:v>
                </c:pt>
                <c:pt idx="97">
                  <c:v>37589</c:v>
                </c:pt>
                <c:pt idx="101">
                  <c:v>37931</c:v>
                </c:pt>
                <c:pt idx="105">
                  <c:v>38300</c:v>
                </c:pt>
                <c:pt idx="109">
                  <c:v>38670</c:v>
                </c:pt>
                <c:pt idx="113">
                  <c:v>39034</c:v>
                </c:pt>
                <c:pt idx="117">
                  <c:v>39406</c:v>
                </c:pt>
                <c:pt idx="118">
                  <c:v>39470</c:v>
                </c:pt>
                <c:pt idx="119">
                  <c:v>39566</c:v>
                </c:pt>
              </c:numCache>
            </c:numRef>
          </c:cat>
          <c:val>
            <c:numRef>
              <c:f>あらめ!$AL$197:$AL$316</c:f>
              <c:numCache>
                <c:formatCode>General</c:formatCode>
                <c:ptCount val="120"/>
                <c:pt idx="8" formatCode="0.00_ ">
                  <c:v>1.4444444444444444</c:v>
                </c:pt>
                <c:pt idx="15" formatCode="0.000">
                  <c:v>0.21</c:v>
                </c:pt>
                <c:pt idx="19" formatCode="&quot;(&quot;0.00&quot;)&quot;">
                  <c:v>0.96296296296296291</c:v>
                </c:pt>
                <c:pt idx="27" formatCode="&quot;(&quot;0.00&quot;)&quot;">
                  <c:v>1</c:v>
                </c:pt>
                <c:pt idx="35" formatCode="0.000">
                  <c:v>0.21</c:v>
                </c:pt>
                <c:pt idx="40">
                  <c:v>0.81</c:v>
                </c:pt>
                <c:pt idx="45" formatCode="0.000">
                  <c:v>0.32500000000000001</c:v>
                </c:pt>
                <c:pt idx="49" formatCode="0.00">
                  <c:v>1</c:v>
                </c:pt>
                <c:pt idx="53" formatCode="0.000">
                  <c:v>0.32500000000000001</c:v>
                </c:pt>
                <c:pt idx="58" formatCode="0.000">
                  <c:v>0.32500000000000001</c:v>
                </c:pt>
                <c:pt idx="61" formatCode="0.000">
                  <c:v>0.32500000000000001</c:v>
                </c:pt>
                <c:pt idx="65" formatCode="0.00">
                  <c:v>0.4</c:v>
                </c:pt>
                <c:pt idx="69" formatCode="0.000">
                  <c:v>0.32500000000000001</c:v>
                </c:pt>
                <c:pt idx="73">
                  <c:v>0.76</c:v>
                </c:pt>
                <c:pt idx="77" formatCode="0.000">
                  <c:v>0.32500000000000001</c:v>
                </c:pt>
                <c:pt idx="81" formatCode="0.00">
                  <c:v>0.8</c:v>
                </c:pt>
                <c:pt idx="85">
                  <c:v>0.56999999999999995</c:v>
                </c:pt>
                <c:pt idx="90" formatCode="&quot;(&quot;0.00&quot;)&quot;">
                  <c:v>0.44</c:v>
                </c:pt>
                <c:pt idx="93" formatCode="&quot;(&quot;0.00&quot;)&quot;">
                  <c:v>0.7</c:v>
                </c:pt>
                <c:pt idx="97" formatCode="0.000">
                  <c:v>0.21</c:v>
                </c:pt>
                <c:pt idx="101" formatCode="&quot;(&quot;0.00&quot;)&quot;">
                  <c:v>0.64</c:v>
                </c:pt>
                <c:pt idx="105">
                  <c:v>0.97</c:v>
                </c:pt>
                <c:pt idx="109" formatCode="&quot;(&quot;0.00&quot;)&quot;">
                  <c:v>0.72</c:v>
                </c:pt>
                <c:pt idx="113">
                  <c:v>1.1000000000000001</c:v>
                </c:pt>
                <c:pt idx="117" formatCode="0.00">
                  <c:v>0.8</c:v>
                </c:pt>
              </c:numCache>
            </c:numRef>
          </c:val>
          <c:smooth val="0"/>
        </c:ser>
        <c:ser>
          <c:idx val="2"/>
          <c:order val="2"/>
          <c:tx>
            <c:strRef>
              <c:f>あらめ!$AO$196</c:f>
              <c:strCache>
                <c:ptCount val="1"/>
                <c:pt idx="0">
                  <c:v>Cs-137</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numRef>
              <c:f>あらめ!$AK$197:$AK$316</c:f>
              <c:numCache>
                <c:formatCode>[$-411]m\.d\.ge</c:formatCode>
                <c:ptCount val="120"/>
                <c:pt idx="8">
                  <c:v>30630</c:v>
                </c:pt>
                <c:pt idx="15">
                  <c:v>31085</c:v>
                </c:pt>
                <c:pt idx="19">
                  <c:v>31371</c:v>
                </c:pt>
                <c:pt idx="24">
                  <c:v>31528</c:v>
                </c:pt>
                <c:pt idx="27">
                  <c:v>31726</c:v>
                </c:pt>
                <c:pt idx="35">
                  <c:v>32109</c:v>
                </c:pt>
                <c:pt idx="40">
                  <c:v>32469</c:v>
                </c:pt>
                <c:pt idx="45">
                  <c:v>32839</c:v>
                </c:pt>
                <c:pt idx="49">
                  <c:v>33206</c:v>
                </c:pt>
                <c:pt idx="53">
                  <c:v>33577</c:v>
                </c:pt>
                <c:pt idx="58">
                  <c:v>34032</c:v>
                </c:pt>
                <c:pt idx="61">
                  <c:v>34291</c:v>
                </c:pt>
                <c:pt idx="65">
                  <c:v>34646</c:v>
                </c:pt>
                <c:pt idx="69">
                  <c:v>35010</c:v>
                </c:pt>
                <c:pt idx="73">
                  <c:v>35374</c:v>
                </c:pt>
                <c:pt idx="77">
                  <c:v>35744</c:v>
                </c:pt>
                <c:pt idx="81">
                  <c:v>36108</c:v>
                </c:pt>
                <c:pt idx="85">
                  <c:v>36474</c:v>
                </c:pt>
                <c:pt idx="90">
                  <c:v>36837</c:v>
                </c:pt>
                <c:pt idx="93">
                  <c:v>37208</c:v>
                </c:pt>
                <c:pt idx="97">
                  <c:v>37589</c:v>
                </c:pt>
                <c:pt idx="101">
                  <c:v>37931</c:v>
                </c:pt>
                <c:pt idx="105">
                  <c:v>38300</c:v>
                </c:pt>
                <c:pt idx="109">
                  <c:v>38670</c:v>
                </c:pt>
                <c:pt idx="113">
                  <c:v>39034</c:v>
                </c:pt>
                <c:pt idx="117">
                  <c:v>39406</c:v>
                </c:pt>
                <c:pt idx="118">
                  <c:v>39470</c:v>
                </c:pt>
                <c:pt idx="119">
                  <c:v>39566</c:v>
                </c:pt>
              </c:numCache>
            </c:numRef>
          </c:cat>
          <c:val>
            <c:numRef>
              <c:f>あらめ!$AO$197:$AO$316</c:f>
              <c:numCache>
                <c:formatCode>0.000</c:formatCode>
                <c:ptCount val="120"/>
                <c:pt idx="8">
                  <c:v>0.18888888888888888</c:v>
                </c:pt>
                <c:pt idx="15">
                  <c:v>1.8561179321570191E-2</c:v>
                </c:pt>
                <c:pt idx="19">
                  <c:v>0.13333333333333333</c:v>
                </c:pt>
                <c:pt idx="27">
                  <c:v>0.17777777777777778</c:v>
                </c:pt>
                <c:pt idx="35">
                  <c:v>0.11851851851851852</c:v>
                </c:pt>
                <c:pt idx="40">
                  <c:v>0.13</c:v>
                </c:pt>
                <c:pt idx="45">
                  <c:v>1.8411842863579431E-2</c:v>
                </c:pt>
                <c:pt idx="49">
                  <c:v>0.14000000000000001</c:v>
                </c:pt>
                <c:pt idx="53">
                  <c:v>0.12</c:v>
                </c:pt>
                <c:pt idx="58">
                  <c:v>0.1</c:v>
                </c:pt>
                <c:pt idx="61">
                  <c:v>8.1000000000000003E-2</c:v>
                </c:pt>
                <c:pt idx="65">
                  <c:v>9.6000000000000002E-2</c:v>
                </c:pt>
                <c:pt idx="69">
                  <c:v>9.2999999999999999E-2</c:v>
                </c:pt>
                <c:pt idx="73">
                  <c:v>8.8999999999999996E-2</c:v>
                </c:pt>
                <c:pt idx="77">
                  <c:v>8.4000000000000005E-2</c:v>
                </c:pt>
                <c:pt idx="81">
                  <c:v>8.2000000000000003E-2</c:v>
                </c:pt>
                <c:pt idx="85">
                  <c:v>0.12</c:v>
                </c:pt>
                <c:pt idx="90">
                  <c:v>8.2000000000000003E-2</c:v>
                </c:pt>
                <c:pt idx="93" formatCode="&quot;(&quot;0.00&quot;)&quot;">
                  <c:v>7.4999999999999997E-2</c:v>
                </c:pt>
                <c:pt idx="97">
                  <c:v>1.3642884032363925E-2</c:v>
                </c:pt>
                <c:pt idx="101" formatCode="&quot;(&quot;0.00&quot;)&quot;">
                  <c:v>8.6999999999999994E-2</c:v>
                </c:pt>
                <c:pt idx="105" formatCode="&quot;(&quot;0.00&quot;)&quot;">
                  <c:v>9.1999999999999998E-2</c:v>
                </c:pt>
                <c:pt idx="109">
                  <c:v>1.274316893007661E-2</c:v>
                </c:pt>
                <c:pt idx="113" formatCode="&quot;(&quot;0.00&quot;)&quot;">
                  <c:v>7.6999999999999999E-2</c:v>
                </c:pt>
                <c:pt idx="117" formatCode="&quot;(&quot;0.00&quot;)&quot;">
                  <c:v>6.0999999999999999E-2</c:v>
                </c:pt>
              </c:numCache>
            </c:numRef>
          </c:val>
          <c:smooth val="0"/>
        </c:ser>
        <c:ser>
          <c:idx val="3"/>
          <c:order val="3"/>
          <c:tx>
            <c:strRef>
              <c:f>あらめ!$AN$196</c:f>
              <c:strCache>
                <c:ptCount val="1"/>
                <c:pt idx="0">
                  <c:v>Cs-134</c:v>
                </c:pt>
              </c:strCache>
            </c:strRef>
          </c:tx>
          <c:spPr>
            <a:ln w="0">
              <a:solidFill>
                <a:srgbClr val="FF0000"/>
              </a:solidFill>
              <a:prstDash val="sysDot"/>
            </a:ln>
          </c:spPr>
          <c:marker>
            <c:symbol val="triangle"/>
            <c:size val="5"/>
            <c:spPr>
              <a:noFill/>
              <a:ln>
                <a:solidFill>
                  <a:srgbClr val="FF0000"/>
                </a:solidFill>
              </a:ln>
            </c:spPr>
          </c:marker>
          <c:cat>
            <c:numRef>
              <c:f>あらめ!$AK$197:$AK$316</c:f>
              <c:numCache>
                <c:formatCode>[$-411]m\.d\.ge</c:formatCode>
                <c:ptCount val="120"/>
                <c:pt idx="8">
                  <c:v>30630</c:v>
                </c:pt>
                <c:pt idx="15">
                  <c:v>31085</c:v>
                </c:pt>
                <c:pt idx="19">
                  <c:v>31371</c:v>
                </c:pt>
                <c:pt idx="24">
                  <c:v>31528</c:v>
                </c:pt>
                <c:pt idx="27">
                  <c:v>31726</c:v>
                </c:pt>
                <c:pt idx="35">
                  <c:v>32109</c:v>
                </c:pt>
                <c:pt idx="40">
                  <c:v>32469</c:v>
                </c:pt>
                <c:pt idx="45">
                  <c:v>32839</c:v>
                </c:pt>
                <c:pt idx="49">
                  <c:v>33206</c:v>
                </c:pt>
                <c:pt idx="53">
                  <c:v>33577</c:v>
                </c:pt>
                <c:pt idx="58">
                  <c:v>34032</c:v>
                </c:pt>
                <c:pt idx="61">
                  <c:v>34291</c:v>
                </c:pt>
                <c:pt idx="65">
                  <c:v>34646</c:v>
                </c:pt>
                <c:pt idx="69">
                  <c:v>35010</c:v>
                </c:pt>
                <c:pt idx="73">
                  <c:v>35374</c:v>
                </c:pt>
                <c:pt idx="77">
                  <c:v>35744</c:v>
                </c:pt>
                <c:pt idx="81">
                  <c:v>36108</c:v>
                </c:pt>
                <c:pt idx="85">
                  <c:v>36474</c:v>
                </c:pt>
                <c:pt idx="90">
                  <c:v>36837</c:v>
                </c:pt>
                <c:pt idx="93">
                  <c:v>37208</c:v>
                </c:pt>
                <c:pt idx="97">
                  <c:v>37589</c:v>
                </c:pt>
                <c:pt idx="101">
                  <c:v>37931</c:v>
                </c:pt>
                <c:pt idx="105">
                  <c:v>38300</c:v>
                </c:pt>
                <c:pt idx="109">
                  <c:v>38670</c:v>
                </c:pt>
                <c:pt idx="113">
                  <c:v>39034</c:v>
                </c:pt>
                <c:pt idx="117">
                  <c:v>39406</c:v>
                </c:pt>
                <c:pt idx="118">
                  <c:v>39470</c:v>
                </c:pt>
                <c:pt idx="119">
                  <c:v>39566</c:v>
                </c:pt>
              </c:numCache>
            </c:numRef>
          </c:cat>
          <c:val>
            <c:numRef>
              <c:f>あらめ!$AN$197:$AN$316</c:f>
              <c:numCache>
                <c:formatCode>0.000</c:formatCode>
                <c:ptCount val="120"/>
                <c:pt idx="8">
                  <c:v>1.0234098509666065E-2</c:v>
                </c:pt>
                <c:pt idx="15">
                  <c:v>6.7326624533112405E-3</c:v>
                </c:pt>
                <c:pt idx="19">
                  <c:v>5.1745562433580259E-3</c:v>
                </c:pt>
                <c:pt idx="27">
                  <c:v>1.6668239087962514E-2</c:v>
                </c:pt>
                <c:pt idx="35">
                  <c:v>1.1716698409920366E-2</c:v>
                </c:pt>
                <c:pt idx="40">
                  <c:v>8.4122823967211942E-3</c:v>
                </c:pt>
                <c:pt idx="45">
                  <c:v>5.9844666607484168E-3</c:v>
                </c:pt>
                <c:pt idx="49">
                  <c:v>4.2690983052574996E-3</c:v>
                </c:pt>
                <c:pt idx="53">
                  <c:v>3.0342269796554901E-3</c:v>
                </c:pt>
                <c:pt idx="58">
                  <c:v>1.9961138776860422E-3</c:v>
                </c:pt>
                <c:pt idx="61">
                  <c:v>1.57276356632798E-3</c:v>
                </c:pt>
                <c:pt idx="65">
                  <c:v>1.134411247659132E-3</c:v>
                </c:pt>
                <c:pt idx="69">
                  <c:v>8.1148467504913639E-4</c:v>
                </c:pt>
                <c:pt idx="73">
                  <c:v>5.8048382295083749E-4</c:v>
                </c:pt>
                <c:pt idx="77" formatCode=".00000">
                  <c:v>4.1295405000990826E-4</c:v>
                </c:pt>
                <c:pt idx="81" formatCode=".00000">
                  <c:v>2.9540070567354588E-4</c:v>
                </c:pt>
                <c:pt idx="85" formatCode=".00000">
                  <c:v>2.1092202412694228E-4</c:v>
                </c:pt>
                <c:pt idx="90" formatCode=".00000">
                  <c:v>1.5101894341134953E-4</c:v>
                </c:pt>
                <c:pt idx="93" formatCode=".00000">
                  <c:v>1.0733548861441443E-4</c:v>
                </c:pt>
                <c:pt idx="97" formatCode=".00000">
                  <c:v>7.5588941582239731E-5</c:v>
                </c:pt>
                <c:pt idx="101" formatCode=".00000">
                  <c:v>5.5177424700472622E-5</c:v>
                </c:pt>
                <c:pt idx="105" formatCode=".00000">
                  <c:v>3.9289159089988846E-5</c:v>
                </c:pt>
                <c:pt idx="109" formatCode=".00000">
                  <c:v>2.7950162823174121E-5</c:v>
                </c:pt>
                <c:pt idx="113" formatCode=".00000">
                  <c:v>1.9993744634440625E-5</c:v>
                </c:pt>
                <c:pt idx="117" formatCode=".00000">
                  <c:v>1.4197319395338522E-5</c:v>
                </c:pt>
              </c:numCache>
            </c:numRef>
          </c:val>
          <c:smooth val="0"/>
        </c:ser>
        <c:dLbls>
          <c:showLegendKey val="0"/>
          <c:showVal val="0"/>
          <c:showCatName val="0"/>
          <c:showSerName val="0"/>
          <c:showPercent val="0"/>
          <c:showBubbleSize val="0"/>
        </c:dLbls>
        <c:marker val="1"/>
        <c:smooth val="0"/>
        <c:axId val="232348672"/>
        <c:axId val="232367232"/>
      </c:lineChart>
      <c:dateAx>
        <c:axId val="232348672"/>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2367232"/>
        <c:crossesAt val="1.0000000000000003E-4"/>
        <c:auto val="0"/>
        <c:lblOffset val="100"/>
        <c:baseTimeUnit val="days"/>
        <c:majorUnit val="24"/>
        <c:majorTimeUnit val="months"/>
      </c:dateAx>
      <c:valAx>
        <c:axId val="232367232"/>
        <c:scaling>
          <c:logBase val="10"/>
          <c:orientation val="minMax"/>
          <c:min val="1.0000000000000003E-4"/>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Bq/kg生(CsはmBq)</a:t>
                </a:r>
              </a:p>
            </c:rich>
          </c:tx>
          <c:layout>
            <c:manualLayout>
              <c:xMode val="edge"/>
              <c:yMode val="edge"/>
              <c:x val="6.3532401524777635E-3"/>
              <c:y val="0.26865710815998745"/>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2348672"/>
        <c:crosses val="autoZero"/>
        <c:crossBetween val="between"/>
        <c:minorUnit val="10"/>
      </c:valAx>
      <c:spPr>
        <a:noFill/>
        <a:ln w="12700">
          <a:solidFill>
            <a:srgbClr val="808080"/>
          </a:solidFill>
          <a:prstDash val="solid"/>
        </a:ln>
      </c:spPr>
    </c:plotArea>
    <c:legend>
      <c:legendPos val="r"/>
      <c:layout>
        <c:manualLayout>
          <c:xMode val="edge"/>
          <c:yMode val="edge"/>
          <c:x val="0.5163920293781229"/>
          <c:y val="0.17313621268219934"/>
          <c:w val="0.48022274396484249"/>
          <c:h val="0.11277775369167671"/>
        </c:manualLayout>
      </c:layout>
      <c:overlay val="0"/>
      <c:spPr>
        <a:solidFill>
          <a:schemeClr val="bg1"/>
        </a:solid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あらめ </a:t>
            </a:r>
            <a:r>
              <a:rPr lang="en-US" altLang="ja-JP" sz="1200" b="0" i="0" u="none" strike="noStrike" baseline="0">
                <a:solidFill>
                  <a:srgbClr val="000000"/>
                </a:solidFill>
                <a:latin typeface="Meiryo UI"/>
                <a:ea typeface="Meiryo UI"/>
              </a:rPr>
              <a:t>(</a:t>
            </a:r>
            <a:r>
              <a:rPr lang="ja-JP" altLang="en-US" sz="1200" b="0" i="0" u="none" strike="noStrike" baseline="0">
                <a:solidFill>
                  <a:srgbClr val="000000"/>
                </a:solidFill>
                <a:latin typeface="Meiryo UI"/>
                <a:ea typeface="Meiryo UI"/>
              </a:rPr>
              <a:t>Be-7</a:t>
            </a:r>
            <a:r>
              <a:rPr lang="en-US" altLang="ja-JP" sz="1200" b="0" i="0" u="none" strike="noStrike" baseline="0">
                <a:solidFill>
                  <a:srgbClr val="000000"/>
                </a:solidFill>
                <a:latin typeface="Meiryo UI"/>
                <a:ea typeface="Meiryo UI"/>
              </a:rPr>
              <a:t>)</a:t>
            </a:r>
            <a:endParaRPr lang="ja-JP" altLang="en-US" sz="1200" b="0" i="0" u="none" strike="noStrike" baseline="0">
              <a:solidFill>
                <a:srgbClr val="000000"/>
              </a:solidFill>
              <a:latin typeface="Meiryo UI"/>
              <a:ea typeface="Meiryo UI"/>
            </a:endParaRPr>
          </a:p>
        </c:rich>
      </c:tx>
      <c:layout>
        <c:manualLayout>
          <c:xMode val="edge"/>
          <c:yMode val="edge"/>
          <c:x val="0.14741073704831809"/>
          <c:y val="4.0826912835078999E-2"/>
        </c:manualLayout>
      </c:layout>
      <c:overlay val="0"/>
      <c:spPr>
        <a:solidFill>
          <a:srgbClr val="FFFFFF"/>
        </a:solidFill>
        <a:ln w="25400">
          <a:noFill/>
        </a:ln>
      </c:spPr>
    </c:title>
    <c:autoTitleDeleted val="0"/>
    <c:plotArea>
      <c:layout>
        <c:manualLayout>
          <c:layoutTarget val="inner"/>
          <c:xMode val="edge"/>
          <c:yMode val="edge"/>
          <c:x val="4.4080604534005037E-2"/>
          <c:y val="5.8181818181818182E-2"/>
          <c:w val="0.93702770780856426"/>
          <c:h val="0.8298458280950175"/>
        </c:manualLayout>
      </c:layout>
      <c:lineChart>
        <c:grouping val="standard"/>
        <c:varyColors val="0"/>
        <c:ser>
          <c:idx val="1"/>
          <c:order val="0"/>
          <c:tx>
            <c:strRef>
              <c:f>あらめ!$L$195:$M$195</c:f>
              <c:strCache>
                <c:ptCount val="1"/>
                <c:pt idx="0">
                  <c:v>小屋取(山王島)</c:v>
                </c:pt>
              </c:strCache>
            </c:strRef>
          </c:tx>
          <c:spPr>
            <a:ln w="12700">
              <a:solidFill>
                <a:srgbClr val="0066FF"/>
              </a:solidFill>
              <a:prstDash val="solid"/>
            </a:ln>
          </c:spPr>
          <c:marker>
            <c:symbol val="square"/>
            <c:size val="5"/>
            <c:spPr>
              <a:noFill/>
              <a:ln>
                <a:solidFill>
                  <a:srgbClr val="0066FF"/>
                </a:solidFill>
                <a:prstDash val="solid"/>
              </a:ln>
            </c:spPr>
          </c:marker>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あらめ!#REF!</c:f>
              <c:numCache>
                <c:formatCode>General</c:formatCode>
                <c:ptCount val="1"/>
                <c:pt idx="0">
                  <c:v>1</c:v>
                </c:pt>
              </c:numCache>
            </c:numRef>
          </c:val>
          <c:smooth val="0"/>
        </c:ser>
        <c:ser>
          <c:idx val="2"/>
          <c:order val="1"/>
          <c:tx>
            <c:strRef>
              <c:f>あらめ!$C$195:$J$195</c:f>
              <c:strCache>
                <c:ptCount val="1"/>
                <c:pt idx="0">
                  <c:v>放水口(シウリ崎/県)</c:v>
                </c:pt>
              </c:strCache>
            </c:strRef>
          </c:tx>
          <c:spPr>
            <a:ln w="12700">
              <a:solidFill>
                <a:srgbClr val="00B050"/>
              </a:solidFill>
              <a:prstDash val="solid"/>
            </a:ln>
          </c:spPr>
          <c:marker>
            <c:symbol val="diamond"/>
            <c:size val="5"/>
            <c:spPr>
              <a:solidFill>
                <a:srgbClr val="008000"/>
              </a:solidFill>
              <a:ln>
                <a:solidFill>
                  <a:srgbClr val="00B050"/>
                </a:solidFill>
                <a:prstDash val="solid"/>
              </a:ln>
            </c:spPr>
          </c:marker>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あらめ!$C$197:$C$383</c:f>
              <c:numCache>
                <c:formatCode>0.00_);[Red]\(0.00\)</c:formatCode>
                <c:ptCount val="187"/>
                <c:pt idx="1">
                  <c:v>0.66666666666666663</c:v>
                </c:pt>
                <c:pt idx="3" formatCode="0.000">
                  <c:v>0.18518518518518517</c:v>
                </c:pt>
                <c:pt idx="4" formatCode="&quot;(&quot;0.00&quot;)&quot;">
                  <c:v>0.37037037037037035</c:v>
                </c:pt>
                <c:pt idx="5" formatCode="&quot;(&quot;0.00&quot;)&quot;">
                  <c:v>0.62962962962962965</c:v>
                </c:pt>
                <c:pt idx="6" formatCode="0.000">
                  <c:v>0.18518518518518517</c:v>
                </c:pt>
                <c:pt idx="8" formatCode="0.000">
                  <c:v>0.18518518518518517</c:v>
                </c:pt>
                <c:pt idx="9">
                  <c:v>0.88888888888888884</c:v>
                </c:pt>
                <c:pt idx="10" formatCode="0.000">
                  <c:v>0.18518518518518517</c:v>
                </c:pt>
                <c:pt idx="11" formatCode="0.000">
                  <c:v>0.18518518518518517</c:v>
                </c:pt>
                <c:pt idx="12" formatCode="0.000">
                  <c:v>0.18518518518518517</c:v>
                </c:pt>
                <c:pt idx="13">
                  <c:v>0.7407407407407407</c:v>
                </c:pt>
                <c:pt idx="15" formatCode="0.000">
                  <c:v>0.18518518518518517</c:v>
                </c:pt>
                <c:pt idx="16">
                  <c:v>2.2222222222222223</c:v>
                </c:pt>
                <c:pt idx="17" formatCode="0.000">
                  <c:v>0.18518518518518517</c:v>
                </c:pt>
                <c:pt idx="18" formatCode="0.000">
                  <c:v>0.18518518518518517</c:v>
                </c:pt>
                <c:pt idx="19">
                  <c:v>1.5185185185185186</c:v>
                </c:pt>
                <c:pt idx="21" formatCode="0.000">
                  <c:v>0.18518518518518517</c:v>
                </c:pt>
                <c:pt idx="24" formatCode="0.000">
                  <c:v>0.18518518518518517</c:v>
                </c:pt>
                <c:pt idx="25" formatCode="0.000">
                  <c:v>0.18518518518518517</c:v>
                </c:pt>
                <c:pt idx="26" formatCode="0.000">
                  <c:v>0.18518518518518517</c:v>
                </c:pt>
                <c:pt idx="27" formatCode="0.000">
                  <c:v>0.18518518518518517</c:v>
                </c:pt>
                <c:pt idx="28" formatCode="0.000">
                  <c:v>0.18518518518518517</c:v>
                </c:pt>
                <c:pt idx="30" formatCode="0.000">
                  <c:v>0.18518518518518517</c:v>
                </c:pt>
                <c:pt idx="33" formatCode="0.000">
                  <c:v>0.18518518518518517</c:v>
                </c:pt>
                <c:pt idx="34" formatCode="0.00">
                  <c:v>0.66666666666666663</c:v>
                </c:pt>
                <c:pt idx="35" formatCode="0.000">
                  <c:v>0.18518518518518517</c:v>
                </c:pt>
                <c:pt idx="36" formatCode="0.000">
                  <c:v>0.18518518518518517</c:v>
                </c:pt>
                <c:pt idx="37" formatCode="0.000">
                  <c:v>0.18518518518518517</c:v>
                </c:pt>
                <c:pt idx="38" formatCode="0.000">
                  <c:v>0.18518518518518517</c:v>
                </c:pt>
                <c:pt idx="39" formatCode="0.00">
                  <c:v>0.81</c:v>
                </c:pt>
                <c:pt idx="40" formatCode="0.00">
                  <c:v>0.82</c:v>
                </c:pt>
                <c:pt idx="41" formatCode="0.000">
                  <c:v>0.18518518518518517</c:v>
                </c:pt>
                <c:pt idx="42" formatCode="0.000">
                  <c:v>0.18518518518518517</c:v>
                </c:pt>
                <c:pt idx="43" formatCode="&quot;(&quot;0.00&quot;)&quot;">
                  <c:v>0.78</c:v>
                </c:pt>
                <c:pt idx="44" formatCode="0.00">
                  <c:v>0.57999999999999996</c:v>
                </c:pt>
                <c:pt idx="45" formatCode="0.00">
                  <c:v>1.1000000000000001</c:v>
                </c:pt>
                <c:pt idx="46" formatCode="0.000">
                  <c:v>0.18518518518518517</c:v>
                </c:pt>
                <c:pt idx="47" formatCode="0.000">
                  <c:v>0.18518518518518517</c:v>
                </c:pt>
                <c:pt idx="48" formatCode="0.000">
                  <c:v>0.18518518518518517</c:v>
                </c:pt>
                <c:pt idx="49" formatCode="0.000">
                  <c:v>0.18518518518518517</c:v>
                </c:pt>
                <c:pt idx="50" formatCode="0.000">
                  <c:v>0.18518518518518517</c:v>
                </c:pt>
                <c:pt idx="51" formatCode="0.00">
                  <c:v>0.69</c:v>
                </c:pt>
                <c:pt idx="52" formatCode="0.00">
                  <c:v>0.66</c:v>
                </c:pt>
                <c:pt idx="53" formatCode="0.00">
                  <c:v>0.91</c:v>
                </c:pt>
                <c:pt idx="54" formatCode="0.000">
                  <c:v>0.18518518518518517</c:v>
                </c:pt>
                <c:pt idx="55" formatCode="0.00">
                  <c:v>0.77</c:v>
                </c:pt>
                <c:pt idx="56" formatCode="0.00">
                  <c:v>0.64</c:v>
                </c:pt>
                <c:pt idx="57" formatCode="&quot;(&quot;0.00&quot;)&quot;">
                  <c:v>0.68</c:v>
                </c:pt>
                <c:pt idx="58" formatCode="0.000">
                  <c:v>0.18518518518518517</c:v>
                </c:pt>
                <c:pt idx="59" formatCode="0.00">
                  <c:v>1</c:v>
                </c:pt>
                <c:pt idx="60" formatCode="0.00">
                  <c:v>0.88</c:v>
                </c:pt>
                <c:pt idx="61" formatCode="0.00">
                  <c:v>1.4</c:v>
                </c:pt>
                <c:pt idx="63" formatCode="0.00">
                  <c:v>0.64</c:v>
                </c:pt>
                <c:pt idx="64" formatCode="0.00">
                  <c:v>0.74</c:v>
                </c:pt>
                <c:pt idx="65" formatCode="0.00">
                  <c:v>1.6</c:v>
                </c:pt>
                <c:pt idx="66" formatCode="0.000">
                  <c:v>0.18518518518518517</c:v>
                </c:pt>
                <c:pt idx="67" formatCode="0.00">
                  <c:v>0.76</c:v>
                </c:pt>
                <c:pt idx="68" formatCode="0.00">
                  <c:v>0.93</c:v>
                </c:pt>
                <c:pt idx="69" formatCode="0.00">
                  <c:v>2.1</c:v>
                </c:pt>
                <c:pt idx="70" formatCode="0.000">
                  <c:v>0.18518518518518517</c:v>
                </c:pt>
                <c:pt idx="71" formatCode="0.000">
                  <c:v>0.18518518518518517</c:v>
                </c:pt>
                <c:pt idx="72" formatCode="0.00">
                  <c:v>1.4</c:v>
                </c:pt>
                <c:pt idx="73" formatCode="0.00">
                  <c:v>0.54</c:v>
                </c:pt>
                <c:pt idx="74" formatCode="0.000">
                  <c:v>0.18518518518518517</c:v>
                </c:pt>
                <c:pt idx="75" formatCode="0.000">
                  <c:v>0.18518518518518517</c:v>
                </c:pt>
                <c:pt idx="76" formatCode="0.00">
                  <c:v>0.76</c:v>
                </c:pt>
                <c:pt idx="77" formatCode="0.00">
                  <c:v>2.8</c:v>
                </c:pt>
                <c:pt idx="78" formatCode="0.000">
                  <c:v>0.18518518518518517</c:v>
                </c:pt>
                <c:pt idx="79" formatCode="0.00">
                  <c:v>0.76</c:v>
                </c:pt>
                <c:pt idx="80" formatCode="0.000">
                  <c:v>0.18518518518518517</c:v>
                </c:pt>
                <c:pt idx="81" formatCode="0.00">
                  <c:v>1.3</c:v>
                </c:pt>
                <c:pt idx="82" formatCode="0.000">
                  <c:v>0.18518518518518517</c:v>
                </c:pt>
                <c:pt idx="83" formatCode="0.00">
                  <c:v>0.85</c:v>
                </c:pt>
                <c:pt idx="84" formatCode="0.00">
                  <c:v>0.87</c:v>
                </c:pt>
                <c:pt idx="85" formatCode="0.00">
                  <c:v>1.1000000000000001</c:v>
                </c:pt>
                <c:pt idx="86" formatCode="0.000">
                  <c:v>0.18518518518518517</c:v>
                </c:pt>
                <c:pt idx="87" formatCode="0.000">
                  <c:v>0.18518518518518517</c:v>
                </c:pt>
                <c:pt idx="88" formatCode="0.000">
                  <c:v>0.18518518518518517</c:v>
                </c:pt>
                <c:pt idx="89" formatCode="0.00">
                  <c:v>2.2999999999999998</c:v>
                </c:pt>
                <c:pt idx="90" formatCode="0.000">
                  <c:v>0.18518518518518517</c:v>
                </c:pt>
                <c:pt idx="91" formatCode="0.000">
                  <c:v>0.18518518518518517</c:v>
                </c:pt>
                <c:pt idx="92" formatCode="&quot;(&quot;0.00&quot;)&quot;">
                  <c:v>0.53</c:v>
                </c:pt>
                <c:pt idx="93" formatCode="&quot;(&quot;0.00&quot;)&quot;">
                  <c:v>0.86</c:v>
                </c:pt>
                <c:pt idx="94" formatCode="0.000">
                  <c:v>0.18518518518518517</c:v>
                </c:pt>
                <c:pt idx="95" formatCode="0.000">
                  <c:v>0.18518518518518517</c:v>
                </c:pt>
                <c:pt idx="96" formatCode="0.00">
                  <c:v>0.78</c:v>
                </c:pt>
                <c:pt idx="97" formatCode="0.000">
                  <c:v>0.18518518518518517</c:v>
                </c:pt>
                <c:pt idx="98" formatCode="0.000">
                  <c:v>0.18518518518518517</c:v>
                </c:pt>
                <c:pt idx="99" formatCode="0.000">
                  <c:v>0.18518518518518517</c:v>
                </c:pt>
                <c:pt idx="100" formatCode="0.000">
                  <c:v>0.18518518518518517</c:v>
                </c:pt>
                <c:pt idx="101" formatCode="0.00">
                  <c:v>1</c:v>
                </c:pt>
                <c:pt idx="102" formatCode="0.000">
                  <c:v>0.18518518518518517</c:v>
                </c:pt>
                <c:pt idx="103" formatCode="0.000">
                  <c:v>0.18518518518518517</c:v>
                </c:pt>
                <c:pt idx="104" formatCode="&quot;(&quot;0.00&quot;)&quot;">
                  <c:v>0.87</c:v>
                </c:pt>
                <c:pt idx="105" formatCode="0.00">
                  <c:v>2.1</c:v>
                </c:pt>
                <c:pt idx="106" formatCode="0.000">
                  <c:v>0.18518518518518517</c:v>
                </c:pt>
                <c:pt idx="107" formatCode="0.000">
                  <c:v>0.18518518518518517</c:v>
                </c:pt>
                <c:pt idx="108" formatCode="0.00">
                  <c:v>1.1000000000000001</c:v>
                </c:pt>
                <c:pt idx="109" formatCode="0.00">
                  <c:v>1.3</c:v>
                </c:pt>
                <c:pt idx="110" formatCode="0.000">
                  <c:v>0.18518518518518517</c:v>
                </c:pt>
                <c:pt idx="111" formatCode="0.000">
                  <c:v>0.18518518518518517</c:v>
                </c:pt>
                <c:pt idx="112" formatCode="0.00">
                  <c:v>0.56999999999999995</c:v>
                </c:pt>
                <c:pt idx="113" formatCode="0.00">
                  <c:v>2.2999999999999998</c:v>
                </c:pt>
                <c:pt idx="114" formatCode="0.000">
                  <c:v>0.18518518518518517</c:v>
                </c:pt>
                <c:pt idx="115" formatCode="&quot;(&quot;0.00&quot;)&quot;">
                  <c:v>0.6</c:v>
                </c:pt>
                <c:pt idx="116" formatCode="0.00">
                  <c:v>1.3</c:v>
                </c:pt>
                <c:pt idx="117" formatCode="0.00">
                  <c:v>1.2</c:v>
                </c:pt>
                <c:pt idx="118" formatCode="0.000">
                  <c:v>0.18518518518518517</c:v>
                </c:pt>
                <c:pt idx="119" formatCode="0.000">
                  <c:v>0.18518518518518517</c:v>
                </c:pt>
                <c:pt idx="135" formatCode="General">
                  <c:v>1.7</c:v>
                </c:pt>
                <c:pt idx="136" formatCode="&quot;(&quot;0.00&quot;)&quot;">
                  <c:v>0.56000000000000005</c:v>
                </c:pt>
                <c:pt idx="137" formatCode="0.000">
                  <c:v>0.18518518518518517</c:v>
                </c:pt>
                <c:pt idx="138" formatCode="0.000">
                  <c:v>0.18518518518518517</c:v>
                </c:pt>
                <c:pt idx="139" formatCode="General">
                  <c:v>0.7</c:v>
                </c:pt>
                <c:pt idx="140" formatCode="General">
                  <c:v>1.4</c:v>
                </c:pt>
                <c:pt idx="141" formatCode="General">
                  <c:v>0.67</c:v>
                </c:pt>
                <c:pt idx="142" formatCode="&quot;(&quot;0.00&quot;)&quot;">
                  <c:v>0.48</c:v>
                </c:pt>
                <c:pt idx="143" formatCode="&quot;(&quot;0.00&quot;)&quot;">
                  <c:v>0.42</c:v>
                </c:pt>
                <c:pt idx="144" formatCode="0.00">
                  <c:v>2</c:v>
                </c:pt>
                <c:pt idx="150" formatCode="General">
                  <c:v>1.5</c:v>
                </c:pt>
                <c:pt idx="151" formatCode="0.000">
                  <c:v>0.18518518518518517</c:v>
                </c:pt>
                <c:pt idx="152" formatCode="0.000">
                  <c:v>0.18518518518518517</c:v>
                </c:pt>
                <c:pt idx="153" formatCode="0.000">
                  <c:v>0.18518518518518517</c:v>
                </c:pt>
                <c:pt idx="154" formatCode="General">
                  <c:v>1.8</c:v>
                </c:pt>
                <c:pt idx="155" formatCode="0.000">
                  <c:v>0.18518518518518517</c:v>
                </c:pt>
                <c:pt idx="156" formatCode="&quot;(&quot;0.0&quot;)&quot;">
                  <c:v>1.2</c:v>
                </c:pt>
                <c:pt idx="157" formatCode="&quot;(&quot;0.0&quot;)&quot;">
                  <c:v>1.6</c:v>
                </c:pt>
                <c:pt idx="158" formatCode="General">
                  <c:v>1.5</c:v>
                </c:pt>
                <c:pt idx="159" formatCode="0.000">
                  <c:v>0.18518518518518517</c:v>
                </c:pt>
                <c:pt idx="160" formatCode="0.000">
                  <c:v>0.18518518518518517</c:v>
                </c:pt>
                <c:pt idx="161" formatCode="0.000">
                  <c:v>0.18518518518518517</c:v>
                </c:pt>
                <c:pt idx="162" formatCode="0.0">
                  <c:v>2.2999999999999998</c:v>
                </c:pt>
                <c:pt idx="163" formatCode="0.000">
                  <c:v>0.18518518518518517</c:v>
                </c:pt>
                <c:pt idx="164" formatCode="0.000">
                  <c:v>0.18518518518518517</c:v>
                </c:pt>
                <c:pt idx="165" formatCode="0.000">
                  <c:v>0.18518518518518517</c:v>
                </c:pt>
                <c:pt idx="166" formatCode="0.0">
                  <c:v>2.29</c:v>
                </c:pt>
                <c:pt idx="167" formatCode="0.000">
                  <c:v>0.18518518518518517</c:v>
                </c:pt>
                <c:pt idx="168" formatCode="0.0">
                  <c:v>1.3</c:v>
                </c:pt>
                <c:pt idx="169" formatCode="0.0">
                  <c:v>2.1</c:v>
                </c:pt>
                <c:pt idx="170" formatCode="0.0">
                  <c:v>2.4</c:v>
                </c:pt>
                <c:pt idx="171" formatCode="0.000">
                  <c:v>0.18518518518518517</c:v>
                </c:pt>
                <c:pt idx="172" formatCode="0.00">
                  <c:v>1.1000000000000001</c:v>
                </c:pt>
                <c:pt idx="173" formatCode="0.00">
                  <c:v>1.8</c:v>
                </c:pt>
              </c:numCache>
            </c:numRef>
          </c:val>
          <c:smooth val="0"/>
        </c:ser>
        <c:ser>
          <c:idx val="3"/>
          <c:order val="2"/>
          <c:tx>
            <c:strRef>
              <c:f>あらめ!$Q$195:$T$195</c:f>
              <c:strCache>
                <c:ptCount val="1"/>
                <c:pt idx="0">
                  <c:v>東防波堤(県)</c:v>
                </c:pt>
              </c:strCache>
            </c:strRef>
          </c:tx>
          <c:spPr>
            <a:ln w="0">
              <a:solidFill>
                <a:srgbClr val="FF00FF"/>
              </a:solidFill>
              <a:prstDash val="sysDash"/>
            </a:ln>
          </c:spPr>
          <c:marker>
            <c:symbol val="circle"/>
            <c:size val="4"/>
            <c:spPr>
              <a:solidFill>
                <a:srgbClr val="FF00FF"/>
              </a:solidFill>
              <a:ln>
                <a:solidFill>
                  <a:srgbClr val="FF00FF"/>
                </a:solidFill>
                <a:prstDash val="solid"/>
              </a:ln>
            </c:spPr>
          </c:marker>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あらめ!#REF!</c:f>
              <c:numCache>
                <c:formatCode>General</c:formatCode>
                <c:ptCount val="1"/>
                <c:pt idx="0">
                  <c:v>1</c:v>
                </c:pt>
              </c:numCache>
            </c:numRef>
          </c:val>
          <c:smooth val="0"/>
        </c:ser>
        <c:ser>
          <c:idx val="0"/>
          <c:order val="3"/>
          <c:tx>
            <c:strRef>
              <c:f>あらめ!$W$195</c:f>
              <c:strCache>
                <c:ptCount val="1"/>
                <c:pt idx="0">
                  <c:v>前面海域(シウリ崎/電力)</c:v>
                </c:pt>
              </c:strCache>
            </c:strRef>
          </c:tx>
          <c:spPr>
            <a:ln w="0">
              <a:solidFill>
                <a:srgbClr val="FF0000"/>
              </a:solidFill>
              <a:prstDash val="sysDot"/>
            </a:ln>
          </c:spPr>
          <c:marker>
            <c:symbol val="square"/>
            <c:size val="5"/>
            <c:spPr>
              <a:noFill/>
              <a:ln>
                <a:solidFill>
                  <a:srgbClr val="FF0000"/>
                </a:solidFill>
                <a:prstDash val="solid"/>
              </a:ln>
            </c:spPr>
          </c:marker>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あらめ!$W$197:$W$383</c:f>
              <c:numCache>
                <c:formatCode>0.00</c:formatCode>
                <c:ptCount val="187"/>
                <c:pt idx="8" formatCode="0.000">
                  <c:v>0.17499999999999999</c:v>
                </c:pt>
                <c:pt idx="10" formatCode="0.000">
                  <c:v>0.17499999999999999</c:v>
                </c:pt>
                <c:pt idx="11" formatCode="0.000">
                  <c:v>0.17499999999999999</c:v>
                </c:pt>
                <c:pt idx="12" formatCode="0.000">
                  <c:v>0.17499999999999999</c:v>
                </c:pt>
                <c:pt idx="13" formatCode="0.000">
                  <c:v>0.17499999999999999</c:v>
                </c:pt>
                <c:pt idx="15" formatCode="0.000">
                  <c:v>0.17499999999999999</c:v>
                </c:pt>
                <c:pt idx="16" formatCode="0.000">
                  <c:v>0.17499999999999999</c:v>
                </c:pt>
                <c:pt idx="18" formatCode="&quot;(&quot;0.00&quot;)&quot;">
                  <c:v>0.81481481481481477</c:v>
                </c:pt>
                <c:pt idx="19" formatCode="&quot;(&quot;0.00&quot;)&quot;">
                  <c:v>0.92592592592592593</c:v>
                </c:pt>
                <c:pt idx="20" formatCode="0.000">
                  <c:v>0.17499999999999999</c:v>
                </c:pt>
                <c:pt idx="22" formatCode="0.000">
                  <c:v>0.17499999999999999</c:v>
                </c:pt>
                <c:pt idx="25">
                  <c:v>1.0740740740740742</c:v>
                </c:pt>
                <c:pt idx="27" formatCode="&quot;(&quot;0.00&quot;)&quot;">
                  <c:v>0.77777777777777779</c:v>
                </c:pt>
                <c:pt idx="29" formatCode="0.000">
                  <c:v>0.17499999999999999</c:v>
                </c:pt>
                <c:pt idx="31" formatCode="&quot;(&quot;0.00&quot;)&quot;">
                  <c:v>0.70370370370370372</c:v>
                </c:pt>
                <c:pt idx="33">
                  <c:v>0.62962962962962965</c:v>
                </c:pt>
                <c:pt idx="35" formatCode="0.000">
                  <c:v>0.17499999999999999</c:v>
                </c:pt>
                <c:pt idx="36" formatCode="0.000">
                  <c:v>0.17499999999999999</c:v>
                </c:pt>
                <c:pt idx="37" formatCode="0.000">
                  <c:v>0.17499999999999999</c:v>
                </c:pt>
                <c:pt idx="39" formatCode="&quot;(&quot;0.00&quot;)&quot;">
                  <c:v>0.61</c:v>
                </c:pt>
                <c:pt idx="40" formatCode="&quot;(&quot;0.00&quot;)&quot;">
                  <c:v>0.87</c:v>
                </c:pt>
                <c:pt idx="41">
                  <c:v>0.98</c:v>
                </c:pt>
                <c:pt idx="42">
                  <c:v>1.4</c:v>
                </c:pt>
                <c:pt idx="44" formatCode="0.000">
                  <c:v>0.17499999999999999</c:v>
                </c:pt>
                <c:pt idx="45">
                  <c:v>1.5</c:v>
                </c:pt>
                <c:pt idx="46" formatCode="0.000">
                  <c:v>0.17499999999999999</c:v>
                </c:pt>
                <c:pt idx="47" formatCode="0.000">
                  <c:v>0.17499999999999999</c:v>
                </c:pt>
                <c:pt idx="48" formatCode="0.000">
                  <c:v>0.17499999999999999</c:v>
                </c:pt>
                <c:pt idx="49" formatCode="0.000">
                  <c:v>0.17499999999999999</c:v>
                </c:pt>
                <c:pt idx="50" formatCode="0.000">
                  <c:v>0.17499999999999999</c:v>
                </c:pt>
                <c:pt idx="51" formatCode="&quot;(&quot;0.00&quot;)&quot;">
                  <c:v>1.4</c:v>
                </c:pt>
                <c:pt idx="52" formatCode="0.000">
                  <c:v>0.17499999999999999</c:v>
                </c:pt>
                <c:pt idx="53">
                  <c:v>2</c:v>
                </c:pt>
                <c:pt idx="54" formatCode="0.000">
                  <c:v>0.17499999999999999</c:v>
                </c:pt>
                <c:pt idx="55" formatCode="0.000">
                  <c:v>0.17499999999999999</c:v>
                </c:pt>
                <c:pt idx="56">
                  <c:v>0.94</c:v>
                </c:pt>
                <c:pt idx="57" formatCode="0.000">
                  <c:v>0.17499999999999999</c:v>
                </c:pt>
                <c:pt idx="58" formatCode="0.000">
                  <c:v>0.17499999999999999</c:v>
                </c:pt>
                <c:pt idx="59" formatCode="0.000">
                  <c:v>0.17499999999999999</c:v>
                </c:pt>
                <c:pt idx="60" formatCode="0.000">
                  <c:v>0.17499999999999999</c:v>
                </c:pt>
                <c:pt idx="61">
                  <c:v>0.85</c:v>
                </c:pt>
                <c:pt idx="62" formatCode="0.000">
                  <c:v>0.17499999999999999</c:v>
                </c:pt>
                <c:pt idx="63" formatCode="0.000">
                  <c:v>0.17499999999999999</c:v>
                </c:pt>
                <c:pt idx="64">
                  <c:v>0.46</c:v>
                </c:pt>
                <c:pt idx="65">
                  <c:v>1.2</c:v>
                </c:pt>
                <c:pt idx="66" formatCode="0.000">
                  <c:v>0.17499999999999999</c:v>
                </c:pt>
                <c:pt idx="67">
                  <c:v>0.52</c:v>
                </c:pt>
                <c:pt idx="68">
                  <c:v>0.46</c:v>
                </c:pt>
                <c:pt idx="69">
                  <c:v>1.7</c:v>
                </c:pt>
                <c:pt idx="70" formatCode="0.000">
                  <c:v>0.17499999999999999</c:v>
                </c:pt>
                <c:pt idx="71" formatCode="0.000">
                  <c:v>0.17499999999999999</c:v>
                </c:pt>
                <c:pt idx="72">
                  <c:v>0.74</c:v>
                </c:pt>
                <c:pt idx="73">
                  <c:v>0.71</c:v>
                </c:pt>
                <c:pt idx="74" formatCode="0.000">
                  <c:v>0.17499999999999999</c:v>
                </c:pt>
                <c:pt idx="75">
                  <c:v>0.6</c:v>
                </c:pt>
                <c:pt idx="76">
                  <c:v>0.6</c:v>
                </c:pt>
                <c:pt idx="77">
                  <c:v>1.7</c:v>
                </c:pt>
                <c:pt idx="78">
                  <c:v>0.46</c:v>
                </c:pt>
                <c:pt idx="79">
                  <c:v>0.48</c:v>
                </c:pt>
                <c:pt idx="80" formatCode="&quot;(&quot;0.00&quot;)&quot;">
                  <c:v>0.38</c:v>
                </c:pt>
                <c:pt idx="81">
                  <c:v>1.2</c:v>
                </c:pt>
                <c:pt idx="82" formatCode="0.000">
                  <c:v>0.17499999999999999</c:v>
                </c:pt>
                <c:pt idx="83">
                  <c:v>0.66</c:v>
                </c:pt>
                <c:pt idx="84" formatCode="0.00_);[Red]\(0.00\)">
                  <c:v>0.5</c:v>
                </c:pt>
                <c:pt idx="85">
                  <c:v>0.93</c:v>
                </c:pt>
                <c:pt idx="86" formatCode="0.000">
                  <c:v>0.17499999999999999</c:v>
                </c:pt>
                <c:pt idx="87">
                  <c:v>1.1000000000000001</c:v>
                </c:pt>
                <c:pt idx="88" formatCode="0.000">
                  <c:v>0.17499999999999999</c:v>
                </c:pt>
                <c:pt idx="89">
                  <c:v>0.75</c:v>
                </c:pt>
                <c:pt idx="90" formatCode="0.000">
                  <c:v>0.17499999999999999</c:v>
                </c:pt>
                <c:pt idx="91" formatCode="0.000">
                  <c:v>0.17499999999999999</c:v>
                </c:pt>
                <c:pt idx="92" formatCode="&quot;(&quot;0.00&quot;)&quot;">
                  <c:v>0.35</c:v>
                </c:pt>
                <c:pt idx="93">
                  <c:v>0.95</c:v>
                </c:pt>
                <c:pt idx="94" formatCode="0.000">
                  <c:v>0.17499999999999999</c:v>
                </c:pt>
                <c:pt idx="95" formatCode="0.000">
                  <c:v>0.17499999999999999</c:v>
                </c:pt>
                <c:pt idx="96" formatCode="&quot;(&quot;0.00&quot;)&quot;">
                  <c:v>0.61</c:v>
                </c:pt>
                <c:pt idx="97">
                  <c:v>1.1000000000000001</c:v>
                </c:pt>
                <c:pt idx="98" formatCode="0.000">
                  <c:v>0.17499999999999999</c:v>
                </c:pt>
                <c:pt idx="99" formatCode="0.000">
                  <c:v>0.17499999999999999</c:v>
                </c:pt>
                <c:pt idx="100" formatCode="0.000">
                  <c:v>0.17499999999999999</c:v>
                </c:pt>
                <c:pt idx="101" formatCode="&quot;(&quot;0.00&quot;)&quot;">
                  <c:v>0.56000000000000005</c:v>
                </c:pt>
                <c:pt idx="102" formatCode="0.000">
                  <c:v>0.17499999999999999</c:v>
                </c:pt>
                <c:pt idx="103" formatCode="0.000">
                  <c:v>0.17499999999999999</c:v>
                </c:pt>
                <c:pt idx="104" formatCode="0.000">
                  <c:v>0.17499999999999999</c:v>
                </c:pt>
                <c:pt idx="105">
                  <c:v>1.8</c:v>
                </c:pt>
                <c:pt idx="106" formatCode="0.000">
                  <c:v>0.17499999999999999</c:v>
                </c:pt>
                <c:pt idx="107" formatCode="0.000">
                  <c:v>0.17499999999999999</c:v>
                </c:pt>
                <c:pt idx="108" formatCode="0.000">
                  <c:v>0.17499999999999999</c:v>
                </c:pt>
                <c:pt idx="109">
                  <c:v>1.2</c:v>
                </c:pt>
                <c:pt idx="110" formatCode="0.000">
                  <c:v>0.17499999999999999</c:v>
                </c:pt>
                <c:pt idx="111" formatCode="0.000">
                  <c:v>0.17499999999999999</c:v>
                </c:pt>
                <c:pt idx="112">
                  <c:v>1.1000000000000001</c:v>
                </c:pt>
                <c:pt idx="113">
                  <c:v>0.56000000000000005</c:v>
                </c:pt>
                <c:pt idx="114" formatCode="0.000">
                  <c:v>0.17499999999999999</c:v>
                </c:pt>
                <c:pt idx="115">
                  <c:v>0.53</c:v>
                </c:pt>
                <c:pt idx="116">
                  <c:v>0.95</c:v>
                </c:pt>
                <c:pt idx="117">
                  <c:v>1.9</c:v>
                </c:pt>
                <c:pt idx="118">
                  <c:v>0.6</c:v>
                </c:pt>
                <c:pt idx="119" formatCode="0.000">
                  <c:v>0.17499999999999999</c:v>
                </c:pt>
                <c:pt idx="135" formatCode="General">
                  <c:v>0.66</c:v>
                </c:pt>
                <c:pt idx="136" formatCode="General">
                  <c:v>0.53</c:v>
                </c:pt>
                <c:pt idx="137" formatCode="0.000">
                  <c:v>0.17499999999999999</c:v>
                </c:pt>
                <c:pt idx="138" formatCode="0.000">
                  <c:v>0.17499999999999999</c:v>
                </c:pt>
                <c:pt idx="139" formatCode="General">
                  <c:v>0.89</c:v>
                </c:pt>
                <c:pt idx="140" formatCode="General">
                  <c:v>0.99</c:v>
                </c:pt>
                <c:pt idx="141" formatCode="&quot;(&quot;0.00&quot;)&quot;">
                  <c:v>0.46</c:v>
                </c:pt>
                <c:pt idx="142" formatCode="General">
                  <c:v>0.56000000000000005</c:v>
                </c:pt>
                <c:pt idx="143" formatCode="General">
                  <c:v>0.56000000000000005</c:v>
                </c:pt>
                <c:pt idx="145" formatCode="0.000">
                  <c:v>0.17499999999999999</c:v>
                </c:pt>
                <c:pt idx="148" formatCode="0.000">
                  <c:v>0.17499999999999999</c:v>
                </c:pt>
                <c:pt idx="149" formatCode="0.000">
                  <c:v>0.17499999999999999</c:v>
                </c:pt>
                <c:pt idx="150" formatCode="0.000">
                  <c:v>0.17499999999999999</c:v>
                </c:pt>
                <c:pt idx="151" formatCode="0.000">
                  <c:v>0.17499999999999999</c:v>
                </c:pt>
                <c:pt idx="152" formatCode="0.000">
                  <c:v>0.17499999999999999</c:v>
                </c:pt>
                <c:pt idx="153" formatCode="0.000">
                  <c:v>0.17499999999999999</c:v>
                </c:pt>
                <c:pt idx="154" formatCode="0.000">
                  <c:v>0.17499999999999999</c:v>
                </c:pt>
                <c:pt idx="155" formatCode="0.000">
                  <c:v>0.17499999999999999</c:v>
                </c:pt>
                <c:pt idx="156" formatCode="0.000">
                  <c:v>0.17499999999999999</c:v>
                </c:pt>
                <c:pt idx="157" formatCode="0.000">
                  <c:v>0.17499999999999999</c:v>
                </c:pt>
                <c:pt idx="158" formatCode="0.000">
                  <c:v>0.17499999999999999</c:v>
                </c:pt>
                <c:pt idx="159" formatCode="0.000">
                  <c:v>0.17499999999999999</c:v>
                </c:pt>
                <c:pt idx="160" formatCode="&quot;(&quot;0.00&quot;)&quot;">
                  <c:v>0.57999999999999996</c:v>
                </c:pt>
                <c:pt idx="161" formatCode="0.0">
                  <c:v>1.1000000000000001</c:v>
                </c:pt>
                <c:pt idx="162" formatCode="0.0">
                  <c:v>1.4</c:v>
                </c:pt>
                <c:pt idx="163" formatCode="0.000">
                  <c:v>0.17499999999999999</c:v>
                </c:pt>
                <c:pt idx="164" formatCode="&quot;(&quot;0.00&quot;)&quot;">
                  <c:v>0.56999999999999995</c:v>
                </c:pt>
                <c:pt idx="165" formatCode="0.0">
                  <c:v>2.4</c:v>
                </c:pt>
                <c:pt idx="166">
                  <c:v>0.63</c:v>
                </c:pt>
                <c:pt idx="167" formatCode="0.000">
                  <c:v>0.17499999999999999</c:v>
                </c:pt>
                <c:pt idx="168" formatCode="&quot;(&quot;0.00&quot;)&quot;">
                  <c:v>0.51</c:v>
                </c:pt>
                <c:pt idx="169">
                  <c:v>0.99</c:v>
                </c:pt>
                <c:pt idx="170">
                  <c:v>0.98</c:v>
                </c:pt>
                <c:pt idx="171" formatCode="0.000">
                  <c:v>0.17499999999999999</c:v>
                </c:pt>
                <c:pt idx="172">
                  <c:v>0.77</c:v>
                </c:pt>
                <c:pt idx="173" formatCode="0.0">
                  <c:v>2</c:v>
                </c:pt>
              </c:numCache>
            </c:numRef>
          </c:val>
          <c:smooth val="0"/>
        </c:ser>
        <c:ser>
          <c:idx val="4"/>
          <c:order val="4"/>
          <c:tx>
            <c:strRef>
              <c:f>あらめ!$AF$195:$AI$195</c:f>
              <c:strCache>
                <c:ptCount val="1"/>
                <c:pt idx="0">
                  <c:v>東防波堤</c:v>
                </c:pt>
              </c:strCache>
            </c:strRef>
          </c:tx>
          <c:spPr>
            <a:ln w="12700">
              <a:solidFill>
                <a:srgbClr val="FF0000"/>
              </a:solidFill>
              <a:prstDash val="solid"/>
            </a:ln>
          </c:spPr>
          <c:marker>
            <c:symbol val="square"/>
            <c:size val="3"/>
            <c:spPr>
              <a:solidFill>
                <a:srgbClr val="FF0000"/>
              </a:solidFill>
              <a:ln>
                <a:solidFill>
                  <a:srgbClr val="FF0000"/>
                </a:solidFill>
                <a:prstDash val="solid"/>
              </a:ln>
            </c:spPr>
          </c:marker>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あらめ!$AE$326:$AE$328</c:f>
              <c:numCache>
                <c:formatCode>General</c:formatCode>
                <c:ptCount val="3"/>
                <c:pt idx="2" formatCode="[$-411]m\.d\.ge">
                  <c:v>0</c:v>
                </c:pt>
              </c:numCache>
            </c:numRef>
          </c:val>
          <c:smooth val="0"/>
        </c:ser>
        <c:ser>
          <c:idx val="5"/>
          <c:order val="5"/>
          <c:tx>
            <c:strRef>
              <c:f>あらめ!$AL$195</c:f>
              <c:strCache>
                <c:ptCount val="1"/>
                <c:pt idx="0">
                  <c:v>鮎川</c:v>
                </c:pt>
              </c:strCache>
            </c:strRef>
          </c:tx>
          <c:spPr>
            <a:ln w="12700">
              <a:solidFill>
                <a:srgbClr val="800000"/>
              </a:solidFill>
              <a:prstDash val="solid"/>
            </a:ln>
          </c:spPr>
          <c:marker>
            <c:symbol val="circle"/>
            <c:size val="5"/>
            <c:spPr>
              <a:solidFill>
                <a:srgbClr val="800000"/>
              </a:solidFill>
              <a:ln>
                <a:solidFill>
                  <a:srgbClr val="800000"/>
                </a:solidFill>
                <a:prstDash val="solid"/>
              </a:ln>
            </c:spPr>
          </c:marker>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あらめ!$AJ$326:$AJ$328</c:f>
              <c:numCache>
                <c:formatCode>General</c:formatCode>
                <c:ptCount val="3"/>
              </c:numCache>
            </c:numRef>
          </c:val>
          <c:smooth val="0"/>
        </c:ser>
        <c:ser>
          <c:idx val="6"/>
          <c:order val="6"/>
          <c:tx>
            <c:strRef>
              <c:f>あらめ!$AT$195</c:f>
              <c:strCache>
                <c:ptCount val="1"/>
                <c:pt idx="0">
                  <c:v>Be7崩壊</c:v>
                </c:pt>
              </c:strCache>
            </c:strRef>
          </c:tx>
          <c:spPr>
            <a:ln>
              <a:solidFill>
                <a:srgbClr val="C00000"/>
              </a:solidFill>
              <a:prstDash val="sysDash"/>
            </a:ln>
          </c:spPr>
          <c:marker>
            <c:symbol val="none"/>
          </c:marker>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あらめ!$AT$197:$AT$383</c:f>
              <c:numCache>
                <c:formatCode>0.00</c:formatCode>
                <c:ptCount val="187"/>
                <c:pt idx="0">
                  <c:v>10</c:v>
                </c:pt>
                <c:pt idx="1">
                  <c:v>6.8577429855183532</c:v>
                </c:pt>
                <c:pt idx="2">
                  <c:v>3.1422864004414941</c:v>
                </c:pt>
                <c:pt idx="3">
                  <c:v>1.4777745230668013</c:v>
                </c:pt>
                <c:pt idx="4">
                  <c:v>0.87831685267523607</c:v>
                </c:pt>
                <c:pt idx="5">
                  <c:v>0.11849961054230591</c:v>
                </c:pt>
                <c:pt idx="6" formatCode="0.000">
                  <c:v>8.1263987298315576E-2</c:v>
                </c:pt>
                <c:pt idx="7" formatCode="0.000">
                  <c:v>1.498090363011808E-2</c:v>
                </c:pt>
                <c:pt idx="8" formatCode="0.000">
                  <c:v>1.2329475621061701E-3</c:v>
                </c:pt>
                <c:pt idx="9" formatCode="0.000">
                  <c:v>6.0291180489733002E-4</c:v>
                </c:pt>
                <c:pt idx="10" formatCode="0.000">
                  <c:v>2.021827843329389E-4</c:v>
                </c:pt>
                <c:pt idx="11" formatCode="0.000">
                  <c:v>7.2356771157715372E-5</c:v>
                </c:pt>
                <c:pt idx="12" formatCode="0.000">
                  <c:v>2.2736569798874642E-5</c:v>
                </c:pt>
                <c:pt idx="13" formatCode="0.000">
                  <c:v>6.7822690556604277E-6</c:v>
                </c:pt>
                <c:pt idx="14" formatCode="0.000">
                  <c:v>2.8372467539679353E-6</c:v>
                </c:pt>
                <c:pt idx="15" formatCode="0.000">
                  <c:v>2.1311831817736904E-6</c:v>
                </c:pt>
                <c:pt idx="16" formatCode="0.000">
                  <c:v>8.4634450283974965E-7</c:v>
                </c:pt>
                <c:pt idx="17" formatCode="0.000">
                  <c:v>6.0349705379756689E-7</c:v>
                </c:pt>
                <c:pt idx="18" formatCode="0.000">
                  <c:v>1.8237871361982566E-7</c:v>
                </c:pt>
                <c:pt idx="19" formatCode="0.000">
                  <c:v>5.6568021591674421E-8</c:v>
                </c:pt>
                <c:pt idx="20" formatCode="0.000">
                  <c:v>1.9982833585743464E-8</c:v>
                </c:pt>
                <c:pt idx="21" formatCode="0.000">
                  <c:v>1.4435571168085729E-8</c:v>
                </c:pt>
                <c:pt idx="23" formatCode="0.000">
                  <c:v>10</c:v>
                </c:pt>
                <c:pt idx="24" formatCode="0.000">
                  <c:v>7.2239860809252807</c:v>
                </c:pt>
                <c:pt idx="25" formatCode="0.000">
                  <c:v>5.356136655430717</c:v>
                </c:pt>
                <c:pt idx="26" formatCode="0.000">
                  <c:v>1.9931199056611999</c:v>
                </c:pt>
                <c:pt idx="27" formatCode="0.000">
                  <c:v>1.683051537126613</c:v>
                </c:pt>
                <c:pt idx="28" formatCode="0.000">
                  <c:v>0.80187882990691772</c:v>
                </c:pt>
                <c:pt idx="29" formatCode="0.000">
                  <c:v>0.47043850896963724</c:v>
                </c:pt>
                <c:pt idx="30" formatCode="0.000">
                  <c:v>0.29839430183232812</c:v>
                </c:pt>
                <c:pt idx="31" formatCode="0.000">
                  <c:v>0.21002431557242154</c:v>
                </c:pt>
                <c:pt idx="32" formatCode="0.000">
                  <c:v>9.7495161566055352E-2</c:v>
                </c:pt>
                <c:pt idx="33" formatCode="0.000">
                  <c:v>7.1352449656591085E-2</c:v>
                </c:pt>
                <c:pt idx="34" formatCode="0.000">
                  <c:v>1.9180837494503236E-2</c:v>
                </c:pt>
                <c:pt idx="35" formatCode="0.000">
                  <c:v>6.0271684808055875E-3</c:v>
                </c:pt>
                <c:pt idx="36" formatCode="0.000">
                  <c:v>1.4792090047064026E-3</c:v>
                </c:pt>
                <c:pt idx="37" formatCode="0.000">
                  <c:v>8.6780801871190157E-4</c:v>
                </c:pt>
                <c:pt idx="38" formatCode="0.000">
                  <c:v>5.4332838640906928E-4</c:v>
                </c:pt>
                <c:pt idx="39" formatCode="0.000">
                  <c:v>1.8945215651945194E-4</c:v>
                </c:pt>
                <c:pt idx="40" formatCode="0.000">
                  <c:v>3.9262662934112991E-5</c:v>
                </c:pt>
                <c:pt idx="41" formatCode="0.000">
                  <c:v>1.7528569096838101E-5</c:v>
                </c:pt>
                <c:pt idx="42" formatCode="0.000">
                  <c:v>7.1444814071692481E-6</c:v>
                </c:pt>
                <c:pt idx="43" formatCode="0.000">
                  <c:v>4.9636464371987309E-6</c:v>
                </c:pt>
                <c:pt idx="44" formatCode="0.000">
                  <c:v>1.7996363990919481E-6</c:v>
                </c:pt>
                <c:pt idx="45" formatCode="0.000">
                  <c:v>4.1928109686678023E-7</c:v>
                </c:pt>
                <c:pt idx="46" formatCode="0.000">
                  <c:v>1.0839698157002359E-7</c:v>
                </c:pt>
                <c:pt idx="47" formatCode="0.000">
                  <c:v>3.981530459905807E-8</c:v>
                </c:pt>
                <c:pt idx="48" formatCode="0.000">
                  <c:v>1.5607290572713527E-8</c:v>
                </c:pt>
                <c:pt idx="49" formatCode="0.000">
                  <c:v>3.0705206227273767E-9</c:v>
                </c:pt>
                <c:pt idx="50" formatCode="0.000">
                  <c:v>9.4006944370655768E-10</c:v>
                </c:pt>
                <c:pt idx="51" formatCode="0.000">
                  <c:v>3.5439749053710349E-10</c:v>
                </c:pt>
                <c:pt idx="52" formatCode="0.000">
                  <c:v>1.1884502976285148E-10</c:v>
                </c:pt>
                <c:pt idx="53" formatCode="0.000">
                  <c:v>3.3218993813783527E-11</c:v>
                </c:pt>
                <c:pt idx="54" formatCode="0.000">
                  <c:v>1.0853729944067365E-11</c:v>
                </c:pt>
                <c:pt idx="55" formatCode="0.000">
                  <c:v>3.4105527997307631E-12</c:v>
                </c:pt>
                <c:pt idx="56" formatCode="0.000">
                  <c:v>1.044173567649539E-12</c:v>
                </c:pt>
                <c:pt idx="57" formatCode="0.000">
                  <c:v>2.5961981100130312E-13</c:v>
                </c:pt>
                <c:pt idx="58" formatCode="0.000">
                  <c:v>1.0581861544911929E-13</c:v>
                </c:pt>
                <c:pt idx="59" formatCode="0.000">
                  <c:v>2.6310385355914783E-14</c:v>
                </c:pt>
                <c:pt idx="60" formatCode="0.000">
                  <c:v>7.9510814607277269E-15</c:v>
                </c:pt>
                <c:pt idx="61" formatCode="0.000">
                  <c:v>2.2515447180190664E-15</c:v>
                </c:pt>
                <c:pt idx="62" formatCode="0.000">
                  <c:v>7.1676248540621769E-16</c:v>
                </c:pt>
                <c:pt idx="63" formatCode="0.000">
                  <c:v>2.1660788439106897E-16</c:v>
                </c:pt>
                <c:pt idx="64" formatCode="0.000">
                  <c:v>7.8534085377052939E-17</c:v>
                </c:pt>
                <c:pt idx="65" formatCode="0.000">
                  <c:v>2.138778414123938E-17</c:v>
                </c:pt>
                <c:pt idx="66" formatCode="0.000">
                  <c:v>5.6751264983172543E-18</c:v>
                </c:pt>
                <c:pt idx="67" formatCode="0.000">
                  <c:v>1.8542491309775394E-18</c:v>
                </c:pt>
                <c:pt idx="68" formatCode="0.000">
                  <c:v>6.9903478221569692E-19</c:v>
                </c:pt>
                <c:pt idx="69" formatCode="0.000">
                  <c:v>1.9037345322692353E-19</c:v>
                </c:pt>
                <c:pt idx="70" formatCode="0.000">
                  <c:v>6.6380962526667784E-20</c:v>
                </c:pt>
                <c:pt idx="71" formatCode="0.000">
                  <c:v>1.6939731703482294E-20</c:v>
                </c:pt>
                <c:pt idx="72" formatCode="0.000">
                  <c:v>5.9840141142155205E-21</c:v>
                </c:pt>
                <c:pt idx="73" formatCode="0.000">
                  <c:v>1.4496391035588298E-21</c:v>
                </c:pt>
                <c:pt idx="74" formatCode="0.000">
                  <c:v>4.6148180779772979E-22</c:v>
                </c:pt>
                <c:pt idx="75" formatCode="0.000">
                  <c:v>1.6091322645518868E-22</c:v>
                </c:pt>
                <c:pt idx="76" formatCode="0.000">
                  <c:v>4.9265133137061296E-23</c:v>
                </c:pt>
                <c:pt idx="77" formatCode="0.000">
                  <c:v>1.3416748003953375E-23</c:v>
                </c:pt>
                <c:pt idx="78" formatCode="0.000">
                  <c:v>3.1667713057671357E-24</c:v>
                </c:pt>
                <c:pt idx="79" formatCode="0.000">
                  <c:v>1.4137851459584777E-24</c:v>
                </c:pt>
                <c:pt idx="80" formatCode="0.000">
                  <c:v>3.951744562757841E-25</c:v>
                </c:pt>
                <c:pt idx="81" formatCode="0.000">
                  <c:v>1.2580084383066786E-25</c:v>
                </c:pt>
                <c:pt idx="82" formatCode="0.000">
                  <c:v>3.4260299584799708E-26</c:v>
                </c:pt>
                <c:pt idx="83" formatCode="0.000">
                  <c:v>1.0489120487748136E-26</c:v>
                </c:pt>
                <c:pt idx="84" formatCode="0.000">
                  <c:v>3.753825496476983E-27</c:v>
                </c:pt>
                <c:pt idx="85" formatCode="0.000">
                  <c:v>1.0223078175172693E-27</c:v>
                </c:pt>
                <c:pt idx="86" formatCode="0.000">
                  <c:v>2.8575058741332852E-28</c:v>
                </c:pt>
                <c:pt idx="87" formatCode="0.000">
                  <c:v>8.4137243149736295E-29</c:v>
                </c:pt>
                <c:pt idx="88" formatCode="0.000">
                  <c:v>3.2554934603644701E-29</c:v>
                </c:pt>
                <c:pt idx="89" formatCode="0.000">
                  <c:v>9.3394247071781265E-30</c:v>
                </c:pt>
                <c:pt idx="90" formatCode="0.000">
                  <c:v>2.7499276714691968E-30</c:v>
                </c:pt>
                <c:pt idx="91" formatCode="0.000">
                  <c:v>8.5293927568477272E-31</c:v>
                </c:pt>
                <c:pt idx="92" formatCode="0.000">
                  <c:v>1.7222669338292954E-31</c:v>
                </c:pt>
                <c:pt idx="93" formatCode="0.000">
                  <c:v>8.6438553906613592E-32</c:v>
                </c:pt>
                <c:pt idx="94" formatCode="0.000">
                  <c:v>2.1214055604991845E-32</c:v>
                </c:pt>
                <c:pt idx="95" formatCode="0.000">
                  <c:v>6.4948873177182044E-33</c:v>
                </c:pt>
                <c:pt idx="96" formatCode="0.000">
                  <c:v>1.937410685280354E-33</c:v>
                </c:pt>
                <c:pt idx="97" formatCode="0.000">
                  <c:v>7.6939274730262717E-34</c:v>
                </c:pt>
                <c:pt idx="98" formatCode="0.000">
                  <c:v>1.3819429759378276E-34</c:v>
                </c:pt>
                <c:pt idx="99" formatCode="0.000">
                  <c:v>5.4171092743298266E-35</c:v>
                </c:pt>
                <c:pt idx="100" formatCode="0.000">
                  <c:v>2.2079632557134793E-35</c:v>
                </c:pt>
                <c:pt idx="101" formatCode="0.000">
                  <c:v>6.7598920331608089E-36</c:v>
                </c:pt>
                <c:pt idx="102" formatCode="0.000">
                  <c:v>2.0696060127696918E-36</c:v>
                </c:pt>
                <c:pt idx="103" formatCode="0.000">
                  <c:v>6.2544146642246505E-37</c:v>
                </c:pt>
                <c:pt idx="104" formatCode="0.000">
                  <c:v>1.9910463086138113E-37</c:v>
                </c:pt>
                <c:pt idx="105" formatCode="0.000">
                  <c:v>5.1474633994399289E-38</c:v>
                </c:pt>
                <c:pt idx="106" formatCode="0.000">
                  <c:v>1.5555796789521301E-38</c:v>
                </c:pt>
                <c:pt idx="107" formatCode="0.000">
                  <c:v>4.2364283264000096E-39</c:v>
                </c:pt>
                <c:pt idx="108" formatCode="0.000">
                  <c:v>1.2312665616202986E-39</c:v>
                </c:pt>
                <c:pt idx="109" formatCode="0.000">
                  <c:v>3.9709617061323004E-40</c:v>
                </c:pt>
                <c:pt idx="110" formatCode="0.000">
                  <c:v>1.2641260727188363E-40</c:v>
                </c:pt>
                <c:pt idx="111" formatCode="0.000">
                  <c:v>4.1843870613397042E-41</c:v>
                </c:pt>
                <c:pt idx="112" formatCode="0.000">
                  <c:v>1.4975000865260757E-41</c:v>
                </c:pt>
                <c:pt idx="113" formatCode="0.000">
                  <c:v>3.1852601082941239E-42</c:v>
                </c:pt>
                <c:pt idx="114" formatCode="0.000">
                  <c:v>1.28150476112007E-42</c:v>
                </c:pt>
                <c:pt idx="115" formatCode="0.000">
                  <c:v>3.6764064723482022E-43</c:v>
                </c:pt>
                <c:pt idx="116" formatCode="0.000">
                  <c:v>9.8828499160487168E-44</c:v>
                </c:pt>
                <c:pt idx="117" formatCode="0.000">
                  <c:v>2.8723305807661214E-44</c:v>
                </c:pt>
                <c:pt idx="118" formatCode="0.000">
                  <c:v>9.3848418794630561E-45</c:v>
                </c:pt>
                <c:pt idx="119" formatCode="0.000">
                  <c:v>3.4922774314346702E-45</c:v>
                </c:pt>
                <c:pt idx="135" formatCode="0.000">
                  <c:v>6.8705774545217546E-46</c:v>
                </c:pt>
                <c:pt idx="136" formatCode="0.000">
                  <c:v>2.6932130700713594E-46</c:v>
                </c:pt>
                <c:pt idx="137" formatCode="0.000">
                  <c:v>9.2695563119589947E-47</c:v>
                </c:pt>
                <c:pt idx="138" formatCode="0.000">
                  <c:v>2.837963888302969E-47</c:v>
                </c:pt>
                <c:pt idx="139" formatCode="0.000">
                  <c:v>9.5169382339617367E-48</c:v>
                </c:pt>
                <c:pt idx="140" formatCode="0.000">
                  <c:v>2.660129018024411E-48</c:v>
                </c:pt>
                <c:pt idx="141" formatCode="0.000">
                  <c:v>8.2508661642345679E-49</c:v>
                </c:pt>
                <c:pt idx="142" formatCode="0.000">
                  <c:v>2.3062426137213382E-49</c:v>
                </c:pt>
                <c:pt idx="143" formatCode="0.000">
                  <c:v>7.733843477635197E-50</c:v>
                </c:pt>
                <c:pt idx="144" formatCode="0.000">
                  <c:v>2.2771756133560714E-50</c:v>
                </c:pt>
                <c:pt idx="145" formatCode="0.000">
                  <c:v>7.2492188996874981E-51</c:v>
                </c:pt>
                <c:pt idx="147" formatCode="0.000">
                  <c:v>10</c:v>
                </c:pt>
                <c:pt idx="148" formatCode="0.000">
                  <c:v>1.9931199056611999</c:v>
                </c:pt>
                <c:pt idx="149" formatCode="0.000">
                  <c:v>1.0815186165877242</c:v>
                </c:pt>
                <c:pt idx="150" formatCode="0.000">
                  <c:v>0.39725269583429113</c:v>
                </c:pt>
                <c:pt idx="151" formatCode="0.000">
                  <c:v>0.13321626061247921</c:v>
                </c:pt>
                <c:pt idx="152" formatCode="0.000">
                  <c:v>3.5810956158214009E-2</c:v>
                </c:pt>
                <c:pt idx="153" formatCode="0.000">
                  <c:v>1.232548877704898E-2</c:v>
                </c:pt>
                <c:pt idx="154" formatCode="0.000">
                  <c:v>3.1046897564207124E-3</c:v>
                </c:pt>
                <c:pt idx="155" formatCode="0.000">
                  <c:v>1.1704393392826904E-3</c:v>
                </c:pt>
                <c:pt idx="156" formatCode="0.000">
                  <c:v>3.1463540315719536E-4</c:v>
                </c:pt>
                <c:pt idx="157" formatCode="0.000">
                  <c:v>1.0016183634236385E-4</c:v>
                </c:pt>
                <c:pt idx="158" formatCode="0.000">
                  <c:v>2.949194559824898E-5</c:v>
                </c:pt>
                <c:pt idx="159" formatCode="0.000">
                  <c:v>7.8255195043246706E-6</c:v>
                </c:pt>
                <c:pt idx="160" formatCode="0.000">
                  <c:v>3.0675429465211751E-6</c:v>
                </c:pt>
                <c:pt idx="161" formatCode="0.000">
                  <c:v>9.5145333678532738E-7</c:v>
                </c:pt>
                <c:pt idx="162" formatCode="0.000">
                  <c:v>2.6250889240524559E-7</c:v>
                </c:pt>
                <c:pt idx="163" formatCode="0.000">
                  <c:v>7.9331015469535283E-8</c:v>
                </c:pt>
                <c:pt idx="164" formatCode="0.000">
                  <c:v>2.5254437703449559E-8</c:v>
                </c:pt>
                <c:pt idx="165" formatCode="0.000">
                  <c:v>8.2514494044903962E-9</c:v>
                </c:pt>
                <c:pt idx="166" formatCode="0.000">
                  <c:v>2.1611806535156003E-9</c:v>
                </c:pt>
                <c:pt idx="167" formatCode="0.000">
                  <c:v>7.7343901704015591E-10</c:v>
                </c:pt>
                <c:pt idx="168" formatCode="0.000">
                  <c:v>2.1901832374979195E-10</c:v>
                </c:pt>
                <c:pt idx="169" formatCode="0.000">
                  <c:v>5.4455980863162295E-11</c:v>
                </c:pt>
                <c:pt idx="170" formatCode="0.000">
                  <c:v>2.0798174155806934E-11</c:v>
                </c:pt>
                <c:pt idx="171" formatCode="0.000">
                  <c:v>5.7382800087064419E-12</c:v>
                </c:pt>
                <c:pt idx="172" formatCode="0.000">
                  <c:v>1.7117163793850286E-12</c:v>
                </c:pt>
                <c:pt idx="173" formatCode="0.000">
                  <c:v>1.8037151704386896E-13</c:v>
                </c:pt>
              </c:numCache>
            </c:numRef>
          </c:val>
          <c:smooth val="0"/>
        </c:ser>
        <c:dLbls>
          <c:showLegendKey val="0"/>
          <c:showVal val="0"/>
          <c:showCatName val="0"/>
          <c:showSerName val="0"/>
          <c:showPercent val="0"/>
          <c:showBubbleSize val="0"/>
        </c:dLbls>
        <c:marker val="1"/>
        <c:smooth val="0"/>
        <c:axId val="232430208"/>
        <c:axId val="232444288"/>
      </c:lineChart>
      <c:dateAx>
        <c:axId val="232430208"/>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2444288"/>
        <c:crossesAt val="1.0000000000000002E-3"/>
        <c:auto val="0"/>
        <c:lblOffset val="100"/>
        <c:baseTimeUnit val="days"/>
        <c:majorUnit val="24"/>
        <c:majorTimeUnit val="months"/>
        <c:minorUnit val="6"/>
        <c:minorTimeUnit val="months"/>
      </c:dateAx>
      <c:valAx>
        <c:axId val="232444288"/>
        <c:scaling>
          <c:logBase val="10"/>
          <c:orientation val="minMax"/>
          <c:min val="1.0000000000000002E-3"/>
        </c:scaling>
        <c:delete val="0"/>
        <c:axPos val="l"/>
        <c:minorGridlines>
          <c:spPr>
            <a:ln>
              <a:solidFill>
                <a:schemeClr val="bg1">
                  <a:lumMod val="85000"/>
                </a:schemeClr>
              </a:solidFill>
            </a:ln>
          </c:spPr>
        </c:min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Bq/kg生</a:t>
                </a:r>
              </a:p>
            </c:rich>
          </c:tx>
          <c:layout>
            <c:manualLayout>
              <c:xMode val="edge"/>
              <c:yMode val="edge"/>
              <c:x val="6.2972292191435771E-3"/>
              <c:y val="9.0909090909090912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2430208"/>
        <c:crosses val="autoZero"/>
        <c:crossBetween val="midCat"/>
      </c:valAx>
      <c:spPr>
        <a:solidFill>
          <a:srgbClr val="FFFFFF"/>
        </a:solidFill>
        <a:ln w="12700">
          <a:solidFill>
            <a:srgbClr val="808080"/>
          </a:solidFill>
          <a:prstDash val="solid"/>
        </a:ln>
      </c:spPr>
    </c:plotArea>
    <c:legend>
      <c:legendPos val="r"/>
      <c:layout>
        <c:manualLayout>
          <c:xMode val="edge"/>
          <c:yMode val="edge"/>
          <c:x val="0.29705675757316174"/>
          <c:y val="0.52516985119614734"/>
          <c:w val="0.64324810755490225"/>
          <c:h val="0.24602906785386389"/>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あらめ </a:t>
            </a:r>
            <a:r>
              <a:rPr lang="en-US" altLang="ja-JP" sz="1200" b="0" i="0" u="none" strike="noStrike" baseline="0">
                <a:solidFill>
                  <a:srgbClr val="000000"/>
                </a:solidFill>
                <a:latin typeface="Meiryo UI"/>
                <a:ea typeface="Meiryo UI"/>
              </a:rPr>
              <a:t>(</a:t>
            </a:r>
            <a:r>
              <a:rPr lang="ja-JP" altLang="en-US" sz="1200" b="0" i="0" u="none" strike="noStrike" baseline="0">
                <a:solidFill>
                  <a:srgbClr val="000000"/>
                </a:solidFill>
                <a:latin typeface="Meiryo UI"/>
                <a:ea typeface="Meiryo UI"/>
              </a:rPr>
              <a:t>K-40</a:t>
            </a:r>
            <a:r>
              <a:rPr lang="en-US" altLang="ja-JP" sz="1200" b="0" i="0" u="none" strike="noStrike" baseline="0">
                <a:solidFill>
                  <a:srgbClr val="000000"/>
                </a:solidFill>
                <a:latin typeface="Meiryo UI"/>
                <a:ea typeface="Meiryo UI"/>
              </a:rPr>
              <a:t>)</a:t>
            </a:r>
            <a:endParaRPr lang="ja-JP" altLang="en-US" sz="1200" b="0" i="0" u="none" strike="noStrike" baseline="0">
              <a:solidFill>
                <a:srgbClr val="000000"/>
              </a:solidFill>
              <a:latin typeface="Meiryo UI"/>
              <a:ea typeface="Meiryo UI"/>
            </a:endParaRPr>
          </a:p>
        </c:rich>
      </c:tx>
      <c:layout>
        <c:manualLayout>
          <c:xMode val="edge"/>
          <c:yMode val="edge"/>
          <c:x val="0.15174506087106013"/>
          <c:y val="3.7681391236348456E-2"/>
        </c:manualLayout>
      </c:layout>
      <c:overlay val="0"/>
      <c:spPr>
        <a:solidFill>
          <a:srgbClr val="FFFFFF"/>
        </a:solidFill>
        <a:ln w="25400">
          <a:noFill/>
        </a:ln>
      </c:spPr>
    </c:title>
    <c:autoTitleDeleted val="0"/>
    <c:plotArea>
      <c:layout>
        <c:manualLayout>
          <c:layoutTarget val="inner"/>
          <c:xMode val="edge"/>
          <c:yMode val="edge"/>
          <c:x val="4.8284655116253822E-2"/>
          <c:y val="5.8394264645345015E-2"/>
          <c:w val="0.932656233035008"/>
          <c:h val="0.82083410943091728"/>
        </c:manualLayout>
      </c:layout>
      <c:lineChart>
        <c:grouping val="standard"/>
        <c:varyColors val="0"/>
        <c:ser>
          <c:idx val="1"/>
          <c:order val="0"/>
          <c:tx>
            <c:strRef>
              <c:f>あらめ!$L$195:$O$195</c:f>
              <c:strCache>
                <c:ptCount val="1"/>
                <c:pt idx="0">
                  <c:v>小屋取(山王島)</c:v>
                </c:pt>
              </c:strCache>
            </c:strRef>
          </c:tx>
          <c:spPr>
            <a:ln w="12700">
              <a:solidFill>
                <a:srgbClr val="0066FF"/>
              </a:solidFill>
              <a:prstDash val="solid"/>
            </a:ln>
          </c:spPr>
          <c:marker>
            <c:symbol val="square"/>
            <c:size val="4"/>
            <c:spPr>
              <a:noFill/>
              <a:ln>
                <a:solidFill>
                  <a:srgbClr val="0066FF"/>
                </a:solidFill>
                <a:prstDash val="solid"/>
              </a:ln>
            </c:spPr>
          </c:marker>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あらめ!#REF!</c:f>
              <c:numCache>
                <c:formatCode>General</c:formatCode>
                <c:ptCount val="1"/>
                <c:pt idx="0">
                  <c:v>1</c:v>
                </c:pt>
              </c:numCache>
            </c:numRef>
          </c:val>
          <c:smooth val="0"/>
        </c:ser>
        <c:ser>
          <c:idx val="2"/>
          <c:order val="1"/>
          <c:tx>
            <c:strRef>
              <c:f>あらめ!$C$195:$J$195</c:f>
              <c:strCache>
                <c:ptCount val="1"/>
                <c:pt idx="0">
                  <c:v>放水口(シウリ崎/県)</c:v>
                </c:pt>
              </c:strCache>
            </c:strRef>
          </c:tx>
          <c:spPr>
            <a:ln w="12700">
              <a:solidFill>
                <a:srgbClr val="00B050"/>
              </a:solidFill>
              <a:prstDash val="solid"/>
            </a:ln>
          </c:spPr>
          <c:marker>
            <c:symbol val="diamond"/>
            <c:size val="5"/>
            <c:spPr>
              <a:solidFill>
                <a:srgbClr val="008000"/>
              </a:solidFill>
              <a:ln>
                <a:solidFill>
                  <a:srgbClr val="00B050"/>
                </a:solidFill>
                <a:prstDash val="solid"/>
              </a:ln>
            </c:spPr>
          </c:marker>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あらめ!$D$197:$D$383</c:f>
              <c:numCache>
                <c:formatCode>0</c:formatCode>
                <c:ptCount val="187"/>
                <c:pt idx="1">
                  <c:v>377.77777777777777</c:v>
                </c:pt>
                <c:pt idx="3">
                  <c:v>315.55555555555554</c:v>
                </c:pt>
                <c:pt idx="4">
                  <c:v>271.11111111111109</c:v>
                </c:pt>
                <c:pt idx="5">
                  <c:v>267.77777777777777</c:v>
                </c:pt>
                <c:pt idx="6">
                  <c:v>349.62962962962962</c:v>
                </c:pt>
                <c:pt idx="8">
                  <c:v>281.85185185185185</c:v>
                </c:pt>
                <c:pt idx="9">
                  <c:v>562.96296296296293</c:v>
                </c:pt>
                <c:pt idx="10">
                  <c:v>385.18518518518516</c:v>
                </c:pt>
                <c:pt idx="11">
                  <c:v>292.22222222222223</c:v>
                </c:pt>
                <c:pt idx="12">
                  <c:v>306.2962962962963</c:v>
                </c:pt>
                <c:pt idx="13">
                  <c:v>355.55555555555554</c:v>
                </c:pt>
                <c:pt idx="15">
                  <c:v>369.62962962962962</c:v>
                </c:pt>
                <c:pt idx="16">
                  <c:v>392.59259259259261</c:v>
                </c:pt>
                <c:pt idx="17">
                  <c:v>333.7037037037037</c:v>
                </c:pt>
                <c:pt idx="18">
                  <c:v>333.7037037037037</c:v>
                </c:pt>
                <c:pt idx="19">
                  <c:v>422.22222222222223</c:v>
                </c:pt>
                <c:pt idx="21">
                  <c:v>374.44444444444446</c:v>
                </c:pt>
                <c:pt idx="24">
                  <c:v>321.11111111111109</c:v>
                </c:pt>
                <c:pt idx="25">
                  <c:v>283.7037037037037</c:v>
                </c:pt>
                <c:pt idx="26">
                  <c:v>374.07407407407408</c:v>
                </c:pt>
                <c:pt idx="27">
                  <c:v>396.2962962962963</c:v>
                </c:pt>
                <c:pt idx="28">
                  <c:v>448.14814814814815</c:v>
                </c:pt>
                <c:pt idx="30">
                  <c:v>408.14814814814815</c:v>
                </c:pt>
                <c:pt idx="33">
                  <c:v>238.14814814814815</c:v>
                </c:pt>
                <c:pt idx="34">
                  <c:v>249.62962962962962</c:v>
                </c:pt>
                <c:pt idx="35">
                  <c:v>392.59259259259261</c:v>
                </c:pt>
                <c:pt idx="36">
                  <c:v>324.07407407407408</c:v>
                </c:pt>
                <c:pt idx="37">
                  <c:v>327</c:v>
                </c:pt>
                <c:pt idx="38">
                  <c:v>361</c:v>
                </c:pt>
                <c:pt idx="39">
                  <c:v>351</c:v>
                </c:pt>
                <c:pt idx="40">
                  <c:v>436</c:v>
                </c:pt>
                <c:pt idx="41">
                  <c:v>450</c:v>
                </c:pt>
                <c:pt idx="42">
                  <c:v>332</c:v>
                </c:pt>
                <c:pt idx="43">
                  <c:v>295</c:v>
                </c:pt>
                <c:pt idx="44">
                  <c:v>227</c:v>
                </c:pt>
                <c:pt idx="45">
                  <c:v>378</c:v>
                </c:pt>
                <c:pt idx="46">
                  <c:v>334</c:v>
                </c:pt>
                <c:pt idx="47">
                  <c:v>300</c:v>
                </c:pt>
                <c:pt idx="48">
                  <c:v>219</c:v>
                </c:pt>
                <c:pt idx="49">
                  <c:v>380</c:v>
                </c:pt>
                <c:pt idx="50">
                  <c:v>335</c:v>
                </c:pt>
                <c:pt idx="51">
                  <c:v>274</c:v>
                </c:pt>
                <c:pt idx="52">
                  <c:v>317</c:v>
                </c:pt>
                <c:pt idx="53">
                  <c:v>351</c:v>
                </c:pt>
                <c:pt idx="54">
                  <c:v>407</c:v>
                </c:pt>
                <c:pt idx="55">
                  <c:v>309</c:v>
                </c:pt>
                <c:pt idx="56">
                  <c:v>274</c:v>
                </c:pt>
                <c:pt idx="57">
                  <c:v>379</c:v>
                </c:pt>
                <c:pt idx="58">
                  <c:v>386</c:v>
                </c:pt>
                <c:pt idx="59">
                  <c:v>309</c:v>
                </c:pt>
                <c:pt idx="60">
                  <c:v>288</c:v>
                </c:pt>
                <c:pt idx="61">
                  <c:v>405</c:v>
                </c:pt>
                <c:pt idx="63">
                  <c:v>285</c:v>
                </c:pt>
                <c:pt idx="64">
                  <c:v>252</c:v>
                </c:pt>
                <c:pt idx="65">
                  <c:v>347</c:v>
                </c:pt>
                <c:pt idx="66">
                  <c:v>428</c:v>
                </c:pt>
                <c:pt idx="67">
                  <c:v>340</c:v>
                </c:pt>
                <c:pt idx="68">
                  <c:v>292</c:v>
                </c:pt>
                <c:pt idx="69">
                  <c:v>352</c:v>
                </c:pt>
                <c:pt idx="70">
                  <c:v>345</c:v>
                </c:pt>
                <c:pt idx="71">
                  <c:v>326</c:v>
                </c:pt>
                <c:pt idx="72">
                  <c:v>271</c:v>
                </c:pt>
                <c:pt idx="73">
                  <c:v>390</c:v>
                </c:pt>
                <c:pt idx="74">
                  <c:v>415</c:v>
                </c:pt>
                <c:pt idx="75">
                  <c:v>300</c:v>
                </c:pt>
                <c:pt idx="76">
                  <c:v>244</c:v>
                </c:pt>
                <c:pt idx="77">
                  <c:v>354</c:v>
                </c:pt>
                <c:pt idx="78">
                  <c:v>369</c:v>
                </c:pt>
                <c:pt idx="79">
                  <c:v>306</c:v>
                </c:pt>
                <c:pt idx="80">
                  <c:v>280</c:v>
                </c:pt>
                <c:pt idx="81">
                  <c:v>356</c:v>
                </c:pt>
                <c:pt idx="82">
                  <c:v>405</c:v>
                </c:pt>
                <c:pt idx="83">
                  <c:v>276</c:v>
                </c:pt>
                <c:pt idx="84">
                  <c:v>250</c:v>
                </c:pt>
                <c:pt idx="85">
                  <c:v>366</c:v>
                </c:pt>
                <c:pt idx="86">
                  <c:v>396</c:v>
                </c:pt>
                <c:pt idx="87">
                  <c:v>392</c:v>
                </c:pt>
                <c:pt idx="88">
                  <c:v>311</c:v>
                </c:pt>
                <c:pt idx="89">
                  <c:v>373</c:v>
                </c:pt>
                <c:pt idx="90">
                  <c:v>387</c:v>
                </c:pt>
                <c:pt idx="91">
                  <c:v>375</c:v>
                </c:pt>
                <c:pt idx="92">
                  <c:v>267</c:v>
                </c:pt>
                <c:pt idx="93">
                  <c:v>391</c:v>
                </c:pt>
                <c:pt idx="94">
                  <c:v>411</c:v>
                </c:pt>
                <c:pt idx="95">
                  <c:v>387</c:v>
                </c:pt>
                <c:pt idx="96">
                  <c:v>266</c:v>
                </c:pt>
                <c:pt idx="97">
                  <c:v>387</c:v>
                </c:pt>
                <c:pt idx="98">
                  <c:v>417</c:v>
                </c:pt>
                <c:pt idx="99">
                  <c:v>362</c:v>
                </c:pt>
                <c:pt idx="100">
                  <c:v>372</c:v>
                </c:pt>
                <c:pt idx="101">
                  <c:v>371</c:v>
                </c:pt>
                <c:pt idx="102">
                  <c:v>439</c:v>
                </c:pt>
                <c:pt idx="103">
                  <c:v>332</c:v>
                </c:pt>
                <c:pt idx="104">
                  <c:v>264</c:v>
                </c:pt>
                <c:pt idx="105">
                  <c:v>377</c:v>
                </c:pt>
                <c:pt idx="106">
                  <c:v>414</c:v>
                </c:pt>
                <c:pt idx="107">
                  <c:v>330</c:v>
                </c:pt>
                <c:pt idx="108">
                  <c:v>263</c:v>
                </c:pt>
                <c:pt idx="109">
                  <c:v>383</c:v>
                </c:pt>
                <c:pt idx="110">
                  <c:v>395</c:v>
                </c:pt>
                <c:pt idx="111">
                  <c:v>380</c:v>
                </c:pt>
                <c:pt idx="112">
                  <c:v>331</c:v>
                </c:pt>
                <c:pt idx="113">
                  <c:v>462</c:v>
                </c:pt>
                <c:pt idx="114">
                  <c:v>520</c:v>
                </c:pt>
                <c:pt idx="115">
                  <c:v>384</c:v>
                </c:pt>
                <c:pt idx="116">
                  <c:v>297</c:v>
                </c:pt>
                <c:pt idx="117">
                  <c:v>403</c:v>
                </c:pt>
                <c:pt idx="118">
                  <c:v>443</c:v>
                </c:pt>
                <c:pt idx="119">
                  <c:v>328</c:v>
                </c:pt>
                <c:pt idx="135">
                  <c:v>302</c:v>
                </c:pt>
                <c:pt idx="136">
                  <c:v>411</c:v>
                </c:pt>
                <c:pt idx="137">
                  <c:v>484</c:v>
                </c:pt>
                <c:pt idx="138">
                  <c:v>374</c:v>
                </c:pt>
                <c:pt idx="139">
                  <c:v>296</c:v>
                </c:pt>
                <c:pt idx="140">
                  <c:v>390</c:v>
                </c:pt>
                <c:pt idx="141">
                  <c:v>421</c:v>
                </c:pt>
                <c:pt idx="142">
                  <c:v>350</c:v>
                </c:pt>
                <c:pt idx="143">
                  <c:v>289</c:v>
                </c:pt>
                <c:pt idx="144">
                  <c:v>365</c:v>
                </c:pt>
                <c:pt idx="150">
                  <c:v>300</c:v>
                </c:pt>
                <c:pt idx="151">
                  <c:v>382</c:v>
                </c:pt>
                <c:pt idx="152">
                  <c:v>375</c:v>
                </c:pt>
                <c:pt idx="153">
                  <c:v>300</c:v>
                </c:pt>
                <c:pt idx="154">
                  <c:v>380</c:v>
                </c:pt>
                <c:pt idx="155">
                  <c:v>410</c:v>
                </c:pt>
                <c:pt idx="156">
                  <c:v>319</c:v>
                </c:pt>
                <c:pt idx="157">
                  <c:v>281</c:v>
                </c:pt>
                <c:pt idx="158">
                  <c:v>358</c:v>
                </c:pt>
                <c:pt idx="159">
                  <c:v>373</c:v>
                </c:pt>
                <c:pt idx="160">
                  <c:v>254</c:v>
                </c:pt>
                <c:pt idx="161">
                  <c:v>295</c:v>
                </c:pt>
                <c:pt idx="162">
                  <c:v>281</c:v>
                </c:pt>
                <c:pt idx="163">
                  <c:v>369</c:v>
                </c:pt>
                <c:pt idx="164">
                  <c:v>268</c:v>
                </c:pt>
                <c:pt idx="165">
                  <c:v>242</c:v>
                </c:pt>
                <c:pt idx="166">
                  <c:v>299</c:v>
                </c:pt>
                <c:pt idx="167">
                  <c:v>385</c:v>
                </c:pt>
                <c:pt idx="168">
                  <c:v>331</c:v>
                </c:pt>
                <c:pt idx="169">
                  <c:v>260</c:v>
                </c:pt>
                <c:pt idx="170">
                  <c:v>312</c:v>
                </c:pt>
                <c:pt idx="171">
                  <c:v>402</c:v>
                </c:pt>
                <c:pt idx="172">
                  <c:v>319</c:v>
                </c:pt>
                <c:pt idx="173">
                  <c:v>361</c:v>
                </c:pt>
              </c:numCache>
            </c:numRef>
          </c:val>
          <c:smooth val="0"/>
        </c:ser>
        <c:ser>
          <c:idx val="3"/>
          <c:order val="2"/>
          <c:tx>
            <c:strRef>
              <c:f>あらめ!$Q$195:$T$195</c:f>
              <c:strCache>
                <c:ptCount val="1"/>
                <c:pt idx="0">
                  <c:v>東防波堤(県)</c:v>
                </c:pt>
              </c:strCache>
            </c:strRef>
          </c:tx>
          <c:spPr>
            <a:ln w="0">
              <a:solidFill>
                <a:srgbClr val="FF00FF"/>
              </a:solidFill>
              <a:prstDash val="sysDash"/>
            </a:ln>
          </c:spPr>
          <c:marker>
            <c:symbol val="circle"/>
            <c:size val="4"/>
            <c:spPr>
              <a:solidFill>
                <a:srgbClr val="FF00FF"/>
              </a:solidFill>
              <a:ln>
                <a:solidFill>
                  <a:srgbClr val="FF00FF"/>
                </a:solidFill>
                <a:prstDash val="solid"/>
              </a:ln>
            </c:spPr>
          </c:marker>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あらめ!#REF!</c:f>
              <c:numCache>
                <c:formatCode>General</c:formatCode>
                <c:ptCount val="1"/>
                <c:pt idx="0">
                  <c:v>1</c:v>
                </c:pt>
              </c:numCache>
            </c:numRef>
          </c:val>
          <c:smooth val="0"/>
        </c:ser>
        <c:ser>
          <c:idx val="0"/>
          <c:order val="3"/>
          <c:tx>
            <c:strRef>
              <c:f>あらめ!$W$195:$AD$195</c:f>
              <c:strCache>
                <c:ptCount val="1"/>
                <c:pt idx="0">
                  <c:v>前面海域(シウリ崎/電力)</c:v>
                </c:pt>
              </c:strCache>
            </c:strRef>
          </c:tx>
          <c:spPr>
            <a:ln w="0">
              <a:solidFill>
                <a:srgbClr val="FF0000"/>
              </a:solidFill>
              <a:prstDash val="sysDot"/>
            </a:ln>
          </c:spPr>
          <c:marker>
            <c:symbol val="square"/>
            <c:size val="5"/>
            <c:spPr>
              <a:noFill/>
              <a:ln>
                <a:solidFill>
                  <a:srgbClr val="FF0000"/>
                </a:solidFill>
                <a:prstDash val="solid"/>
              </a:ln>
            </c:spPr>
          </c:marker>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あらめ!$X$197:$X$383</c:f>
              <c:numCache>
                <c:formatCode>0_);[Red]\(0\)</c:formatCode>
                <c:ptCount val="187"/>
                <c:pt idx="8">
                  <c:v>337.03703703703701</c:v>
                </c:pt>
                <c:pt idx="10">
                  <c:v>418.51851851851853</c:v>
                </c:pt>
                <c:pt idx="11">
                  <c:v>322.22222222222223</c:v>
                </c:pt>
                <c:pt idx="12">
                  <c:v>332.59259259259261</c:v>
                </c:pt>
                <c:pt idx="13">
                  <c:v>282.59259259259261</c:v>
                </c:pt>
                <c:pt idx="15">
                  <c:v>477.77777777777777</c:v>
                </c:pt>
                <c:pt idx="16">
                  <c:v>339.62962962962962</c:v>
                </c:pt>
                <c:pt idx="18">
                  <c:v>325.18518518518516</c:v>
                </c:pt>
                <c:pt idx="19">
                  <c:v>319.25925925925924</c:v>
                </c:pt>
                <c:pt idx="20">
                  <c:v>429.62962962962962</c:v>
                </c:pt>
                <c:pt idx="22">
                  <c:v>360.74074074074076</c:v>
                </c:pt>
                <c:pt idx="25">
                  <c:v>330.74074074074076</c:v>
                </c:pt>
                <c:pt idx="27">
                  <c:v>345.18518518518516</c:v>
                </c:pt>
                <c:pt idx="29">
                  <c:v>437.03703703703701</c:v>
                </c:pt>
                <c:pt idx="31">
                  <c:v>306.2962962962963</c:v>
                </c:pt>
                <c:pt idx="33">
                  <c:v>280.37037037037038</c:v>
                </c:pt>
                <c:pt idx="35">
                  <c:v>320.74074074074076</c:v>
                </c:pt>
                <c:pt idx="36">
                  <c:v>374.07407407407408</c:v>
                </c:pt>
                <c:pt idx="37">
                  <c:v>366</c:v>
                </c:pt>
                <c:pt idx="39">
                  <c:v>277</c:v>
                </c:pt>
                <c:pt idx="40">
                  <c:v>357</c:v>
                </c:pt>
                <c:pt idx="41">
                  <c:v>432</c:v>
                </c:pt>
                <c:pt idx="42">
                  <c:v>374</c:v>
                </c:pt>
                <c:pt idx="44">
                  <c:v>348</c:v>
                </c:pt>
                <c:pt idx="45">
                  <c:v>379</c:v>
                </c:pt>
                <c:pt idx="46">
                  <c:v>479</c:v>
                </c:pt>
                <c:pt idx="47">
                  <c:v>325</c:v>
                </c:pt>
                <c:pt idx="48">
                  <c:v>351</c:v>
                </c:pt>
                <c:pt idx="49">
                  <c:v>378</c:v>
                </c:pt>
                <c:pt idx="50">
                  <c:v>447</c:v>
                </c:pt>
                <c:pt idx="51">
                  <c:v>362</c:v>
                </c:pt>
                <c:pt idx="52">
                  <c:v>340</c:v>
                </c:pt>
                <c:pt idx="53">
                  <c:v>370</c:v>
                </c:pt>
                <c:pt idx="54">
                  <c:v>446</c:v>
                </c:pt>
                <c:pt idx="55">
                  <c:v>429</c:v>
                </c:pt>
                <c:pt idx="56">
                  <c:v>332</c:v>
                </c:pt>
                <c:pt idx="57">
                  <c:v>374</c:v>
                </c:pt>
                <c:pt idx="58">
                  <c:v>468</c:v>
                </c:pt>
                <c:pt idx="59">
                  <c:v>260</c:v>
                </c:pt>
                <c:pt idx="60">
                  <c:v>290</c:v>
                </c:pt>
                <c:pt idx="61">
                  <c:v>310</c:v>
                </c:pt>
                <c:pt idx="62">
                  <c:v>400</c:v>
                </c:pt>
                <c:pt idx="63">
                  <c:v>324</c:v>
                </c:pt>
                <c:pt idx="64">
                  <c:v>281</c:v>
                </c:pt>
                <c:pt idx="65">
                  <c:v>281</c:v>
                </c:pt>
                <c:pt idx="66">
                  <c:v>394</c:v>
                </c:pt>
                <c:pt idx="67">
                  <c:v>336</c:v>
                </c:pt>
                <c:pt idx="68">
                  <c:v>378</c:v>
                </c:pt>
                <c:pt idx="69">
                  <c:v>316</c:v>
                </c:pt>
                <c:pt idx="70">
                  <c:v>407</c:v>
                </c:pt>
                <c:pt idx="71">
                  <c:v>337</c:v>
                </c:pt>
                <c:pt idx="72">
                  <c:v>320</c:v>
                </c:pt>
                <c:pt idx="73">
                  <c:v>360</c:v>
                </c:pt>
                <c:pt idx="74">
                  <c:v>414</c:v>
                </c:pt>
                <c:pt idx="75">
                  <c:v>337</c:v>
                </c:pt>
                <c:pt idx="76">
                  <c:v>247</c:v>
                </c:pt>
                <c:pt idx="77">
                  <c:v>289</c:v>
                </c:pt>
                <c:pt idx="78">
                  <c:v>400</c:v>
                </c:pt>
                <c:pt idx="79">
                  <c:v>266</c:v>
                </c:pt>
                <c:pt idx="80">
                  <c:v>321</c:v>
                </c:pt>
                <c:pt idx="81">
                  <c:v>290</c:v>
                </c:pt>
                <c:pt idx="82">
                  <c:v>398</c:v>
                </c:pt>
                <c:pt idx="83">
                  <c:v>309</c:v>
                </c:pt>
                <c:pt idx="84">
                  <c:v>307</c:v>
                </c:pt>
                <c:pt idx="85">
                  <c:v>330</c:v>
                </c:pt>
                <c:pt idx="86">
                  <c:v>439</c:v>
                </c:pt>
                <c:pt idx="87">
                  <c:v>286</c:v>
                </c:pt>
                <c:pt idx="88">
                  <c:v>282</c:v>
                </c:pt>
                <c:pt idx="89">
                  <c:v>304</c:v>
                </c:pt>
                <c:pt idx="90">
                  <c:v>325</c:v>
                </c:pt>
                <c:pt idx="91">
                  <c:v>324</c:v>
                </c:pt>
                <c:pt idx="92">
                  <c:v>300</c:v>
                </c:pt>
                <c:pt idx="93">
                  <c:v>342</c:v>
                </c:pt>
                <c:pt idx="94">
                  <c:v>445</c:v>
                </c:pt>
                <c:pt idx="95">
                  <c:v>388</c:v>
                </c:pt>
                <c:pt idx="96">
                  <c:v>298</c:v>
                </c:pt>
                <c:pt idx="97">
                  <c:v>372</c:v>
                </c:pt>
                <c:pt idx="98">
                  <c:v>430</c:v>
                </c:pt>
                <c:pt idx="99">
                  <c:v>330</c:v>
                </c:pt>
                <c:pt idx="100">
                  <c:v>293</c:v>
                </c:pt>
                <c:pt idx="101">
                  <c:v>313</c:v>
                </c:pt>
                <c:pt idx="102">
                  <c:v>468</c:v>
                </c:pt>
                <c:pt idx="103">
                  <c:v>410</c:v>
                </c:pt>
                <c:pt idx="104">
                  <c:v>273</c:v>
                </c:pt>
                <c:pt idx="105">
                  <c:v>360</c:v>
                </c:pt>
                <c:pt idx="106">
                  <c:v>447</c:v>
                </c:pt>
                <c:pt idx="107">
                  <c:v>358</c:v>
                </c:pt>
                <c:pt idx="108">
                  <c:v>340</c:v>
                </c:pt>
                <c:pt idx="109">
                  <c:v>356</c:v>
                </c:pt>
                <c:pt idx="110">
                  <c:v>405</c:v>
                </c:pt>
                <c:pt idx="111">
                  <c:v>337</c:v>
                </c:pt>
                <c:pt idx="112">
                  <c:v>343</c:v>
                </c:pt>
                <c:pt idx="113">
                  <c:v>378</c:v>
                </c:pt>
                <c:pt idx="114">
                  <c:v>417</c:v>
                </c:pt>
                <c:pt idx="115">
                  <c:v>316</c:v>
                </c:pt>
                <c:pt idx="116">
                  <c:v>208</c:v>
                </c:pt>
                <c:pt idx="117">
                  <c:v>309</c:v>
                </c:pt>
                <c:pt idx="118">
                  <c:v>447</c:v>
                </c:pt>
                <c:pt idx="119">
                  <c:v>372</c:v>
                </c:pt>
                <c:pt idx="135" formatCode="0">
                  <c:v>267</c:v>
                </c:pt>
                <c:pt idx="136" formatCode="0">
                  <c:v>410</c:v>
                </c:pt>
                <c:pt idx="137" formatCode="0">
                  <c:v>468</c:v>
                </c:pt>
                <c:pt idx="138" formatCode="0">
                  <c:v>330</c:v>
                </c:pt>
                <c:pt idx="139" formatCode="0">
                  <c:v>287</c:v>
                </c:pt>
                <c:pt idx="140" formatCode="0">
                  <c:v>375</c:v>
                </c:pt>
                <c:pt idx="141" formatCode="0">
                  <c:v>409</c:v>
                </c:pt>
                <c:pt idx="142" formatCode="0">
                  <c:v>339</c:v>
                </c:pt>
                <c:pt idx="143" formatCode="0">
                  <c:v>288</c:v>
                </c:pt>
                <c:pt idx="145" formatCode="0">
                  <c:v>322</c:v>
                </c:pt>
                <c:pt idx="148" formatCode="0">
                  <c:v>291</c:v>
                </c:pt>
                <c:pt idx="149" formatCode="0">
                  <c:v>242</c:v>
                </c:pt>
                <c:pt idx="150" formatCode="0">
                  <c:v>365</c:v>
                </c:pt>
                <c:pt idx="151" formatCode="0">
                  <c:v>448</c:v>
                </c:pt>
                <c:pt idx="152" formatCode="0">
                  <c:v>369</c:v>
                </c:pt>
                <c:pt idx="153" formatCode="0">
                  <c:v>268</c:v>
                </c:pt>
                <c:pt idx="154" formatCode="0">
                  <c:v>418</c:v>
                </c:pt>
                <c:pt idx="155" formatCode="0">
                  <c:v>456</c:v>
                </c:pt>
                <c:pt idx="156" formatCode="0">
                  <c:v>365</c:v>
                </c:pt>
                <c:pt idx="157" formatCode="0">
                  <c:v>310</c:v>
                </c:pt>
                <c:pt idx="158" formatCode="0">
                  <c:v>443</c:v>
                </c:pt>
                <c:pt idx="159" formatCode="0">
                  <c:v>412</c:v>
                </c:pt>
                <c:pt idx="160" formatCode="0">
                  <c:v>302</c:v>
                </c:pt>
                <c:pt idx="161" formatCode="0">
                  <c:v>289</c:v>
                </c:pt>
                <c:pt idx="162" formatCode="0">
                  <c:v>404</c:v>
                </c:pt>
                <c:pt idx="163" formatCode="0">
                  <c:v>446</c:v>
                </c:pt>
                <c:pt idx="164" formatCode="0">
                  <c:v>299</c:v>
                </c:pt>
                <c:pt idx="165" formatCode="0">
                  <c:v>311</c:v>
                </c:pt>
                <c:pt idx="166" formatCode="0">
                  <c:v>412</c:v>
                </c:pt>
                <c:pt idx="167" formatCode="0">
                  <c:v>424</c:v>
                </c:pt>
                <c:pt idx="168" formatCode="0">
                  <c:v>307</c:v>
                </c:pt>
                <c:pt idx="169" formatCode="0">
                  <c:v>296</c:v>
                </c:pt>
                <c:pt idx="170" formatCode="0">
                  <c:v>429</c:v>
                </c:pt>
                <c:pt idx="171" formatCode="0">
                  <c:v>366</c:v>
                </c:pt>
                <c:pt idx="172" formatCode="0">
                  <c:v>394</c:v>
                </c:pt>
                <c:pt idx="173" formatCode="0">
                  <c:v>354</c:v>
                </c:pt>
              </c:numCache>
            </c:numRef>
          </c:val>
          <c:smooth val="0"/>
        </c:ser>
        <c:ser>
          <c:idx val="4"/>
          <c:order val="4"/>
          <c:tx>
            <c:strRef>
              <c:f>あらめ!$AF$195:$AI$195</c:f>
              <c:strCache>
                <c:ptCount val="1"/>
                <c:pt idx="0">
                  <c:v>東防波堤</c:v>
                </c:pt>
              </c:strCache>
            </c:strRef>
          </c:tx>
          <c:spPr>
            <a:ln w="0">
              <a:solidFill>
                <a:srgbClr val="FF0000"/>
              </a:solidFill>
              <a:prstDash val="sysDot"/>
            </a:ln>
          </c:spPr>
          <c:marker>
            <c:symbol val="square"/>
            <c:size val="3"/>
            <c:spPr>
              <a:solidFill>
                <a:srgbClr val="FF0000"/>
              </a:solidFill>
              <a:ln>
                <a:solidFill>
                  <a:srgbClr val="FF0000"/>
                </a:solidFill>
                <a:prstDash val="solid"/>
              </a:ln>
            </c:spPr>
          </c:marker>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あらめ!$AF$326:$AF$328</c:f>
              <c:numCache>
                <c:formatCode>General</c:formatCode>
                <c:ptCount val="3"/>
              </c:numCache>
            </c:numRef>
          </c:val>
          <c:smooth val="0"/>
        </c:ser>
        <c:ser>
          <c:idx val="5"/>
          <c:order val="5"/>
          <c:tx>
            <c:strRef>
              <c:f>あらめ!$AL$195:$AO$195</c:f>
              <c:strCache>
                <c:ptCount val="1"/>
                <c:pt idx="0">
                  <c:v>鮎川</c:v>
                </c:pt>
              </c:strCache>
            </c:strRef>
          </c:tx>
          <c:spPr>
            <a:ln w="12700">
              <a:solidFill>
                <a:srgbClr val="800000"/>
              </a:solidFill>
              <a:prstDash val="solid"/>
            </a:ln>
          </c:spPr>
          <c:marker>
            <c:symbol val="circle"/>
            <c:size val="5"/>
            <c:spPr>
              <a:solidFill>
                <a:srgbClr val="800000"/>
              </a:solidFill>
              <a:ln>
                <a:solidFill>
                  <a:srgbClr val="800000"/>
                </a:solidFill>
                <a:prstDash val="solid"/>
              </a:ln>
            </c:spPr>
          </c:marker>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あらめ!$AK$326:$AK$328</c:f>
              <c:numCache>
                <c:formatCode>General</c:formatCode>
                <c:ptCount val="3"/>
              </c:numCache>
            </c:numRef>
          </c:val>
          <c:smooth val="0"/>
        </c:ser>
        <c:ser>
          <c:idx val="6"/>
          <c:order val="6"/>
          <c:tx>
            <c:strRef>
              <c:f>あらめ!$AU$195</c:f>
              <c:strCache>
                <c:ptCount val="1"/>
                <c:pt idx="0">
                  <c:v>K40崩壊</c:v>
                </c:pt>
              </c:strCache>
            </c:strRef>
          </c:tx>
          <c:spPr>
            <a:ln w="31750">
              <a:solidFill>
                <a:srgbClr val="C00000"/>
              </a:solidFill>
              <a:prstDash val="sysDash"/>
            </a:ln>
          </c:spPr>
          <c:marker>
            <c:symbol val="none"/>
          </c:marker>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あらめ!$AU$197:$AU$383</c:f>
              <c:numCache>
                <c:formatCode>0</c:formatCode>
                <c:ptCount val="187"/>
                <c:pt idx="0">
                  <c:v>200</c:v>
                </c:pt>
                <c:pt idx="1">
                  <c:v>199.99999999138066</c:v>
                </c:pt>
                <c:pt idx="2">
                  <c:v>199.99999997354757</c:v>
                </c:pt>
                <c:pt idx="3">
                  <c:v>199.9999999563089</c:v>
                </c:pt>
                <c:pt idx="4">
                  <c:v>199.99999994442015</c:v>
                </c:pt>
                <c:pt idx="5">
                  <c:v>199.9999998986485</c:v>
                </c:pt>
                <c:pt idx="6">
                  <c:v>199.99999989002916</c:v>
                </c:pt>
                <c:pt idx="7">
                  <c:v>199.99999985139075</c:v>
                </c:pt>
                <c:pt idx="8">
                  <c:v>199.99999979432479</c:v>
                </c:pt>
                <c:pt idx="9">
                  <c:v>199.99999977797779</c:v>
                </c:pt>
                <c:pt idx="10">
                  <c:v>199.99999975301142</c:v>
                </c:pt>
                <c:pt idx="11">
                  <c:v>199.9999997295312</c:v>
                </c:pt>
                <c:pt idx="12">
                  <c:v>199.99999970307874</c:v>
                </c:pt>
                <c:pt idx="13">
                  <c:v>199.99999967543741</c:v>
                </c:pt>
                <c:pt idx="14">
                  <c:v>199.99999965552377</c:v>
                </c:pt>
                <c:pt idx="15">
                  <c:v>199.99999964898495</c:v>
                </c:pt>
                <c:pt idx="16">
                  <c:v>199.99999962788246</c:v>
                </c:pt>
                <c:pt idx="17">
                  <c:v>199.99999962015477</c:v>
                </c:pt>
                <c:pt idx="18">
                  <c:v>199.9999995928107</c:v>
                </c:pt>
                <c:pt idx="19">
                  <c:v>199.99999956606104</c:v>
                </c:pt>
                <c:pt idx="20">
                  <c:v>199.99999954228355</c:v>
                </c:pt>
                <c:pt idx="21">
                  <c:v>199.99999953485306</c:v>
                </c:pt>
                <c:pt idx="23">
                  <c:v>200</c:v>
                </c:pt>
                <c:pt idx="24">
                  <c:v>199.99999999256954</c:v>
                </c:pt>
                <c:pt idx="25">
                  <c:v>199.9999999857335</c:v>
                </c:pt>
                <c:pt idx="26">
                  <c:v>199.99999996314492</c:v>
                </c:pt>
                <c:pt idx="27">
                  <c:v>199.99999995928107</c:v>
                </c:pt>
                <c:pt idx="28">
                  <c:v>199.99999994233963</c:v>
                </c:pt>
                <c:pt idx="29">
                  <c:v>199.99999993015365</c:v>
                </c:pt>
                <c:pt idx="30">
                  <c:v>199.99999991975099</c:v>
                </c:pt>
                <c:pt idx="31">
                  <c:v>199.99999991172612</c:v>
                </c:pt>
                <c:pt idx="32">
                  <c:v>199.99999989419024</c:v>
                </c:pt>
                <c:pt idx="33">
                  <c:v>199.99999988705696</c:v>
                </c:pt>
                <c:pt idx="34">
                  <c:v>199.99999985703792</c:v>
                </c:pt>
                <c:pt idx="35">
                  <c:v>199.99999983058547</c:v>
                </c:pt>
                <c:pt idx="36">
                  <c:v>199.99999979848587</c:v>
                </c:pt>
                <c:pt idx="37">
                  <c:v>199.99999978629992</c:v>
                </c:pt>
                <c:pt idx="38">
                  <c:v>199.99999977560003</c:v>
                </c:pt>
                <c:pt idx="39">
                  <c:v>199.99999975152534</c:v>
                </c:pt>
                <c:pt idx="40">
                  <c:v>199.99999971556193</c:v>
                </c:pt>
                <c:pt idx="41">
                  <c:v>199.99999969713434</c:v>
                </c:pt>
                <c:pt idx="42">
                  <c:v>199.99999967662626</c:v>
                </c:pt>
                <c:pt idx="43">
                  <c:v>199.99999966830418</c:v>
                </c:pt>
                <c:pt idx="44">
                  <c:v>199.99999964512111</c:v>
                </c:pt>
                <c:pt idx="45">
                  <c:v>199.99999961183269</c:v>
                </c:pt>
                <c:pt idx="46">
                  <c:v>199.99999958092195</c:v>
                </c:pt>
                <c:pt idx="47">
                  <c:v>199.99999955803611</c:v>
                </c:pt>
                <c:pt idx="48">
                  <c:v>199.99999953663638</c:v>
                </c:pt>
                <c:pt idx="49">
                  <c:v>199.99999949948406</c:v>
                </c:pt>
                <c:pt idx="50">
                  <c:v>199.9999994724372</c:v>
                </c:pt>
                <c:pt idx="51">
                  <c:v>199.99999945014579</c:v>
                </c:pt>
                <c:pt idx="52">
                  <c:v>199.99999942517945</c:v>
                </c:pt>
                <c:pt idx="53">
                  <c:v>199.99999939605203</c:v>
                </c:pt>
                <c:pt idx="54">
                  <c:v>199.99999937049125</c:v>
                </c:pt>
                <c:pt idx="55">
                  <c:v>199.9999993440388</c:v>
                </c:pt>
                <c:pt idx="56">
                  <c:v>199.99999931699196</c:v>
                </c:pt>
                <c:pt idx="57">
                  <c:v>199.99999928518957</c:v>
                </c:pt>
                <c:pt idx="58">
                  <c:v>199.99999926468149</c:v>
                </c:pt>
                <c:pt idx="59">
                  <c:v>199.99999923287911</c:v>
                </c:pt>
                <c:pt idx="60">
                  <c:v>199.999999205535</c:v>
                </c:pt>
                <c:pt idx="61">
                  <c:v>199.99999917670479</c:v>
                </c:pt>
                <c:pt idx="62">
                  <c:v>199.99999915054957</c:v>
                </c:pt>
                <c:pt idx="63">
                  <c:v>199.9999991232055</c:v>
                </c:pt>
                <c:pt idx="64">
                  <c:v>199.99999910002245</c:v>
                </c:pt>
                <c:pt idx="65">
                  <c:v>199.99999907030056</c:v>
                </c:pt>
                <c:pt idx="66">
                  <c:v>199.99999903998429</c:v>
                </c:pt>
                <c:pt idx="67">
                  <c:v>199.99999901442354</c:v>
                </c:pt>
                <c:pt idx="68">
                  <c:v>199.99999899213213</c:v>
                </c:pt>
                <c:pt idx="69">
                  <c:v>199.9999989624103</c:v>
                </c:pt>
                <c:pt idx="70">
                  <c:v>199.99999893833561</c:v>
                </c:pt>
                <c:pt idx="71">
                  <c:v>199.99999890712763</c:v>
                </c:pt>
                <c:pt idx="72">
                  <c:v>199.99999888335017</c:v>
                </c:pt>
                <c:pt idx="73">
                  <c:v>199.99999885095338</c:v>
                </c:pt>
                <c:pt idx="74">
                  <c:v>199.9999988247981</c:v>
                </c:pt>
                <c:pt idx="75">
                  <c:v>199.9999988007234</c:v>
                </c:pt>
                <c:pt idx="76">
                  <c:v>199.99999877367657</c:v>
                </c:pt>
                <c:pt idx="77">
                  <c:v>199.99999874395468</c:v>
                </c:pt>
                <c:pt idx="78">
                  <c:v>199.99999871096344</c:v>
                </c:pt>
                <c:pt idx="79">
                  <c:v>199.99999869253591</c:v>
                </c:pt>
                <c:pt idx="80">
                  <c:v>199.99999866340849</c:v>
                </c:pt>
                <c:pt idx="81">
                  <c:v>199.99999863725327</c:v>
                </c:pt>
                <c:pt idx="82">
                  <c:v>199.99999860753141</c:v>
                </c:pt>
                <c:pt idx="83">
                  <c:v>199.99999858048452</c:v>
                </c:pt>
                <c:pt idx="84">
                  <c:v>199.99999855700429</c:v>
                </c:pt>
                <c:pt idx="85">
                  <c:v>199.9999985272824</c:v>
                </c:pt>
                <c:pt idx="86">
                  <c:v>199.99999849815501</c:v>
                </c:pt>
                <c:pt idx="87">
                  <c:v>199.99999847021647</c:v>
                </c:pt>
                <c:pt idx="88">
                  <c:v>199.99999844851956</c:v>
                </c:pt>
                <c:pt idx="89">
                  <c:v>199.99999841998658</c:v>
                </c:pt>
                <c:pt idx="90">
                  <c:v>199.99999839204804</c:v>
                </c:pt>
                <c:pt idx="91">
                  <c:v>199.99999836529835</c:v>
                </c:pt>
                <c:pt idx="92">
                  <c:v>199.9999983287405</c:v>
                </c:pt>
                <c:pt idx="93">
                  <c:v>199.99999831298794</c:v>
                </c:pt>
                <c:pt idx="94">
                  <c:v>199.99999828088832</c:v>
                </c:pt>
                <c:pt idx="95">
                  <c:v>199.99999825384143</c:v>
                </c:pt>
                <c:pt idx="96">
                  <c:v>199.99999822620012</c:v>
                </c:pt>
                <c:pt idx="97">
                  <c:v>199.99999820509763</c:v>
                </c:pt>
                <c:pt idx="98">
                  <c:v>199.99999816586478</c:v>
                </c:pt>
                <c:pt idx="99">
                  <c:v>199.99999814446505</c:v>
                </c:pt>
                <c:pt idx="100">
                  <c:v>199.99999812395697</c:v>
                </c:pt>
                <c:pt idx="101">
                  <c:v>199.99999809691008</c:v>
                </c:pt>
                <c:pt idx="102">
                  <c:v>199.99999806986321</c:v>
                </c:pt>
                <c:pt idx="103">
                  <c:v>199.99999804251908</c:v>
                </c:pt>
                <c:pt idx="104">
                  <c:v>199.99999801636389</c:v>
                </c:pt>
                <c:pt idx="105">
                  <c:v>199.99999798545315</c:v>
                </c:pt>
                <c:pt idx="106">
                  <c:v>199.99999795810905</c:v>
                </c:pt>
                <c:pt idx="107">
                  <c:v>199.99999792838719</c:v>
                </c:pt>
                <c:pt idx="108">
                  <c:v>199.99999790015147</c:v>
                </c:pt>
                <c:pt idx="109">
                  <c:v>199.99999787429343</c:v>
                </c:pt>
                <c:pt idx="110">
                  <c:v>199.99999784813824</c:v>
                </c:pt>
                <c:pt idx="111">
                  <c:v>199.99999782287466</c:v>
                </c:pt>
                <c:pt idx="112">
                  <c:v>199.99999779939438</c:v>
                </c:pt>
                <c:pt idx="113">
                  <c:v>199.99999776402538</c:v>
                </c:pt>
                <c:pt idx="114">
                  <c:v>199.99999774322009</c:v>
                </c:pt>
                <c:pt idx="115">
                  <c:v>199.99999771468711</c:v>
                </c:pt>
                <c:pt idx="116">
                  <c:v>199.99999768466805</c:v>
                </c:pt>
                <c:pt idx="117">
                  <c:v>199.99999765643227</c:v>
                </c:pt>
                <c:pt idx="118">
                  <c:v>199.99999763087149</c:v>
                </c:pt>
                <c:pt idx="119">
                  <c:v>199.99999760828288</c:v>
                </c:pt>
                <c:pt idx="135">
                  <c:v>199.99999757113059</c:v>
                </c:pt>
                <c:pt idx="136">
                  <c:v>199.99999754973084</c:v>
                </c:pt>
                <c:pt idx="137">
                  <c:v>199.99999752535896</c:v>
                </c:pt>
                <c:pt idx="138">
                  <c:v>199.99999749831204</c:v>
                </c:pt>
                <c:pt idx="139">
                  <c:v>199.9999974733457</c:v>
                </c:pt>
                <c:pt idx="140">
                  <c:v>199.99999744421831</c:v>
                </c:pt>
                <c:pt idx="141">
                  <c:v>199.99999741746865</c:v>
                </c:pt>
                <c:pt idx="142">
                  <c:v>199.99999738834126</c:v>
                </c:pt>
                <c:pt idx="143">
                  <c:v>199.99999736337492</c:v>
                </c:pt>
                <c:pt idx="144">
                  <c:v>199.99999733543638</c:v>
                </c:pt>
                <c:pt idx="145">
                  <c:v>199.9999973092811</c:v>
                </c:pt>
                <c:pt idx="147">
                  <c:v>200</c:v>
                </c:pt>
                <c:pt idx="148">
                  <c:v>199.99999996314492</c:v>
                </c:pt>
                <c:pt idx="149">
                  <c:v>199.99999994917565</c:v>
                </c:pt>
                <c:pt idx="150">
                  <c:v>199.9999999262898</c:v>
                </c:pt>
                <c:pt idx="151">
                  <c:v>199.99999990132346</c:v>
                </c:pt>
                <c:pt idx="152">
                  <c:v>199.99999987130442</c:v>
                </c:pt>
                <c:pt idx="153">
                  <c:v>199.9999998469325</c:v>
                </c:pt>
                <c:pt idx="154">
                  <c:v>199.99999981542734</c:v>
                </c:pt>
                <c:pt idx="155">
                  <c:v>199.99999979313591</c:v>
                </c:pt>
                <c:pt idx="156">
                  <c:v>199.99999976311688</c:v>
                </c:pt>
                <c:pt idx="157">
                  <c:v>199.99999973696166</c:v>
                </c:pt>
                <c:pt idx="158">
                  <c:v>199.99999970902311</c:v>
                </c:pt>
                <c:pt idx="159">
                  <c:v>199.99999967870684</c:v>
                </c:pt>
                <c:pt idx="160">
                  <c:v>199.99999965730711</c:v>
                </c:pt>
                <c:pt idx="161">
                  <c:v>199.99999963055743</c:v>
                </c:pt>
                <c:pt idx="162">
                  <c:v>199.9999996011328</c:v>
                </c:pt>
                <c:pt idx="163">
                  <c:v>199.9999995737887</c:v>
                </c:pt>
                <c:pt idx="164">
                  <c:v>199.99999954763345</c:v>
                </c:pt>
                <c:pt idx="165">
                  <c:v>199.9999995220727</c:v>
                </c:pt>
                <c:pt idx="166">
                  <c:v>199.99999949145919</c:v>
                </c:pt>
                <c:pt idx="167">
                  <c:v>199.99999946797891</c:v>
                </c:pt>
                <c:pt idx="168">
                  <c:v>199.99999943914872</c:v>
                </c:pt>
                <c:pt idx="169">
                  <c:v>199.99999940734634</c:v>
                </c:pt>
                <c:pt idx="170">
                  <c:v>199.9999993853522</c:v>
                </c:pt>
                <c:pt idx="171">
                  <c:v>199.99999935592757</c:v>
                </c:pt>
                <c:pt idx="172">
                  <c:v>199.99999932828624</c:v>
                </c:pt>
                <c:pt idx="173">
                  <c:v>199.99999927686741</c:v>
                </c:pt>
              </c:numCache>
            </c:numRef>
          </c:val>
          <c:smooth val="0"/>
        </c:ser>
        <c:dLbls>
          <c:showLegendKey val="0"/>
          <c:showVal val="0"/>
          <c:showCatName val="0"/>
          <c:showSerName val="0"/>
          <c:showPercent val="0"/>
          <c:showBubbleSize val="0"/>
        </c:dLbls>
        <c:marker val="1"/>
        <c:smooth val="0"/>
        <c:axId val="232642432"/>
        <c:axId val="232643968"/>
      </c:lineChart>
      <c:dateAx>
        <c:axId val="232642432"/>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2643968"/>
        <c:crossesAt val="10"/>
        <c:auto val="0"/>
        <c:lblOffset val="100"/>
        <c:baseTimeUnit val="days"/>
        <c:majorUnit val="24"/>
        <c:majorTimeUnit val="months"/>
        <c:minorUnit val="6"/>
        <c:minorTimeUnit val="months"/>
      </c:dateAx>
      <c:valAx>
        <c:axId val="232643968"/>
        <c:scaling>
          <c:logBase val="10"/>
          <c:orientation val="minMax"/>
          <c:min val="10"/>
        </c:scaling>
        <c:delete val="0"/>
        <c:axPos val="l"/>
        <c:minorGridlines>
          <c:spPr>
            <a:ln>
              <a:solidFill>
                <a:schemeClr val="bg1">
                  <a:lumMod val="85000"/>
                </a:schemeClr>
              </a:solidFill>
            </a:ln>
          </c:spPr>
        </c:min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Bq/kg生</a:t>
                </a:r>
              </a:p>
            </c:rich>
          </c:tx>
          <c:layout>
            <c:manualLayout>
              <c:xMode val="edge"/>
              <c:yMode val="edge"/>
              <c:x val="6.3532401524777635E-3"/>
              <c:y val="9.1240875912408759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2642432"/>
        <c:crosses val="autoZero"/>
        <c:crossBetween val="midCat"/>
      </c:valAx>
      <c:spPr>
        <a:solidFill>
          <a:srgbClr val="FFFFFF"/>
        </a:solidFill>
        <a:ln w="12700">
          <a:solidFill>
            <a:srgbClr val="808080"/>
          </a:solidFill>
          <a:prstDash val="solid"/>
        </a:ln>
      </c:spPr>
    </c:plotArea>
    <c:legend>
      <c:legendPos val="r"/>
      <c:layout>
        <c:manualLayout>
          <c:xMode val="edge"/>
          <c:yMode val="edge"/>
          <c:x val="0.21586822312469267"/>
          <c:y val="0.61486624988077376"/>
          <c:w val="0.63800677459889632"/>
          <c:h val="0.22215370208190624"/>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あらめ </a:t>
            </a:r>
            <a:r>
              <a:rPr lang="en-US" altLang="ja-JP" sz="1200" b="0" i="0" u="none" strike="noStrike" baseline="0">
                <a:solidFill>
                  <a:srgbClr val="000000"/>
                </a:solidFill>
                <a:latin typeface="Meiryo UI"/>
                <a:ea typeface="Meiryo UI"/>
              </a:rPr>
              <a:t>(I-131/</a:t>
            </a:r>
            <a:r>
              <a:rPr lang="ja-JP" altLang="en-US" sz="1200" b="0" i="0" u="none" strike="noStrike" baseline="0">
                <a:solidFill>
                  <a:srgbClr val="000000"/>
                </a:solidFill>
                <a:latin typeface="Meiryo UI"/>
                <a:ea typeface="Meiryo UI"/>
              </a:rPr>
              <a:t>電力</a:t>
            </a:r>
            <a:r>
              <a:rPr lang="en-US" altLang="ja-JP" sz="1200" b="0" i="0" u="none" strike="noStrike" baseline="0">
                <a:solidFill>
                  <a:srgbClr val="000000"/>
                </a:solidFill>
                <a:latin typeface="Meiryo UI"/>
                <a:ea typeface="Meiryo UI"/>
              </a:rPr>
              <a:t>)</a:t>
            </a:r>
            <a:endParaRPr lang="ja-JP" altLang="en-US" sz="1200" b="0" i="0" u="none" strike="noStrike" baseline="0">
              <a:solidFill>
                <a:srgbClr val="000000"/>
              </a:solidFill>
              <a:latin typeface="Meiryo UI"/>
              <a:ea typeface="Meiryo UI"/>
            </a:endParaRPr>
          </a:p>
        </c:rich>
      </c:tx>
      <c:layout>
        <c:manualLayout>
          <c:xMode val="edge"/>
          <c:yMode val="edge"/>
          <c:x val="0.1081258594338219"/>
          <c:y val="7.9611111111111115E-3"/>
        </c:manualLayout>
      </c:layout>
      <c:overlay val="0"/>
      <c:spPr>
        <a:solidFill>
          <a:srgbClr val="FFFFFF"/>
        </a:solidFill>
        <a:ln w="25400">
          <a:noFill/>
        </a:ln>
      </c:spPr>
    </c:title>
    <c:autoTitleDeleted val="0"/>
    <c:plotArea>
      <c:layout>
        <c:manualLayout>
          <c:layoutTarget val="inner"/>
          <c:xMode val="edge"/>
          <c:yMode val="edge"/>
          <c:x val="4.0814858660671208E-2"/>
          <c:y val="6.476354166666666E-2"/>
          <c:w val="0.89124421220632721"/>
          <c:h val="0.8041194444444445"/>
        </c:manualLayout>
      </c:layout>
      <c:lineChart>
        <c:grouping val="standard"/>
        <c:varyColors val="0"/>
        <c:ser>
          <c:idx val="4"/>
          <c:order val="0"/>
          <c:tx>
            <c:strRef>
              <c:f>あらめ!$AX$195</c:f>
              <c:strCache>
                <c:ptCount val="1"/>
                <c:pt idx="0">
                  <c:v>I131崩壊</c:v>
                </c:pt>
              </c:strCache>
            </c:strRef>
          </c:tx>
          <c:spPr>
            <a:ln>
              <a:solidFill>
                <a:srgbClr val="C00000"/>
              </a:solidFill>
              <a:prstDash val="sysDash"/>
            </a:ln>
          </c:spPr>
          <c:marker>
            <c:symbol val="none"/>
          </c:marker>
          <c:cat>
            <c:numRef>
              <c:f>あらめ!$AE$332:$AE$383</c:f>
              <c:numCache>
                <c:formatCode>[$-411]m\.d\.ge</c:formatCode>
                <c:ptCount val="52"/>
                <c:pt idx="0">
                  <c:v>39680</c:v>
                </c:pt>
                <c:pt idx="1">
                  <c:v>39765</c:v>
                </c:pt>
                <c:pt idx="2">
                  <c:v>39853</c:v>
                </c:pt>
                <c:pt idx="3">
                  <c:v>39953</c:v>
                </c:pt>
                <c:pt idx="4">
                  <c:v>40031</c:v>
                </c:pt>
                <c:pt idx="5">
                  <c:v>40126</c:v>
                </c:pt>
                <c:pt idx="6">
                  <c:v>40217</c:v>
                </c:pt>
                <c:pt idx="7">
                  <c:v>40309</c:v>
                </c:pt>
                <c:pt idx="8">
                  <c:v>40400</c:v>
                </c:pt>
                <c:pt idx="9">
                  <c:v>40491</c:v>
                </c:pt>
                <c:pt idx="10">
                  <c:v>40596</c:v>
                </c:pt>
                <c:pt idx="11">
                  <c:v>40612</c:v>
                </c:pt>
                <c:pt idx="12">
                  <c:v>40613</c:v>
                </c:pt>
                <c:pt idx="13">
                  <c:v>40737</c:v>
                </c:pt>
                <c:pt idx="14">
                  <c:v>40781</c:v>
                </c:pt>
                <c:pt idx="15">
                  <c:v>40858</c:v>
                </c:pt>
                <c:pt idx="16">
                  <c:v>40948</c:v>
                </c:pt>
                <c:pt idx="17">
                  <c:v>41045</c:v>
                </c:pt>
                <c:pt idx="18">
                  <c:v>41144</c:v>
                </c:pt>
                <c:pt idx="19">
                  <c:v>41243</c:v>
                </c:pt>
                <c:pt idx="20">
                  <c:v>41323</c:v>
                </c:pt>
                <c:pt idx="21">
                  <c:v>41416</c:v>
                </c:pt>
                <c:pt idx="22">
                  <c:v>41512</c:v>
                </c:pt>
                <c:pt idx="23">
                  <c:v>41605</c:v>
                </c:pt>
                <c:pt idx="24">
                  <c:v>41691</c:v>
                </c:pt>
                <c:pt idx="25">
                  <c:v>41780</c:v>
                </c:pt>
                <c:pt idx="26">
                  <c:v>41870</c:v>
                </c:pt>
                <c:pt idx="27">
                  <c:v>41955</c:v>
                </c:pt>
                <c:pt idx="28">
                  <c:v>42051</c:v>
                </c:pt>
                <c:pt idx="29">
                  <c:v>42151</c:v>
                </c:pt>
                <c:pt idx="30">
                  <c:v>42247</c:v>
                </c:pt>
                <c:pt idx="31">
                  <c:v>42325</c:v>
                </c:pt>
                <c:pt idx="32">
                  <c:v>42410</c:v>
                </c:pt>
                <c:pt idx="33">
                  <c:v>42508</c:v>
                </c:pt>
                <c:pt idx="34">
                  <c:v>42586</c:v>
                </c:pt>
                <c:pt idx="35">
                  <c:v>42695</c:v>
                </c:pt>
                <c:pt idx="36">
                  <c:v>42794</c:v>
                </c:pt>
                <c:pt idx="37">
                  <c:v>42877</c:v>
                </c:pt>
                <c:pt idx="38">
                  <c:v>43054</c:v>
                </c:pt>
              </c:numCache>
            </c:numRef>
          </c:cat>
          <c:val>
            <c:numRef>
              <c:f>あらめ!$AX$332:$AX$383</c:f>
              <c:numCache>
                <c:formatCode>.00000</c:formatCode>
                <c:ptCount val="52"/>
                <c:pt idx="0" formatCode=".00">
                  <c:v>10</c:v>
                </c:pt>
                <c:pt idx="1">
                  <c:v>6.9357069796977498E-3</c:v>
                </c:pt>
                <c:pt idx="2" formatCode="0.E+00">
                  <c:v>3.7212646578716332E-6</c:v>
                </c:pt>
                <c:pt idx="3" formatCode="0.E+00">
                  <c:v>7.150340430146322E-10</c:v>
                </c:pt>
                <c:pt idx="4" formatCode="0.E+00">
                  <c:v>9.0274049556824096E-13</c:v>
                </c:pt>
                <c:pt idx="5" formatCode="0.E+00">
                  <c:v>2.6608309134454203E-16</c:v>
                </c:pt>
                <c:pt idx="6" formatCode="0.E+00">
                  <c:v>1.104399455694145E-19</c:v>
                </c:pt>
                <c:pt idx="7" formatCode="0.E+00">
                  <c:v>4.2079585377283704E-23</c:v>
                </c:pt>
                <c:pt idx="8" formatCode="0.E+00">
                  <c:v>1.746547326689461E-26</c:v>
                </c:pt>
                <c:pt idx="9" formatCode="0.E+00">
                  <c:v>7.2491863620233882E-30</c:v>
                </c:pt>
                <c:pt idx="10" formatCode="0.E+00">
                  <c:v>9.080447120182773E-34</c:v>
                </c:pt>
                <c:pt idx="12" formatCode=".00">
                  <c:v>10</c:v>
                </c:pt>
                <c:pt idx="13">
                  <c:v>2.4643866046606376E-4</c:v>
                </c:pt>
                <c:pt idx="14">
                  <c:v>5.7083257733896701E-6</c:v>
                </c:pt>
                <c:pt idx="15" formatCode="0.E+00">
                  <c:v>7.8507038366471586E-9</c:v>
                </c:pt>
                <c:pt idx="16" formatCode="0.E+00">
                  <c:v>3.5496140844986186E-12</c:v>
                </c:pt>
                <c:pt idx="17" formatCode="0.E+00">
                  <c:v>8.816743676255119E-16</c:v>
                </c:pt>
                <c:pt idx="18" formatCode="0.E+00">
                  <c:v>1.8454743538178941E-19</c:v>
                </c:pt>
                <c:pt idx="19" formatCode="0.E+00">
                  <c:v>3.8628497273566163E-23</c:v>
                </c:pt>
                <c:pt idx="20" formatCode="0.E+00">
                  <c:v>4.1097626626472831E-26</c:v>
                </c:pt>
                <c:pt idx="21" formatCode="0.E+00">
                  <c:v>1.4374686169081326E-29</c:v>
                </c:pt>
                <c:pt idx="22" formatCode="0.E+00">
                  <c:v>3.8894580013670919E-33</c:v>
                </c:pt>
                <c:pt idx="23" formatCode="0.E+00">
                  <c:v>1.3604128200790036E-36</c:v>
                </c:pt>
                <c:pt idx="24" formatCode="0.E+00">
                  <c:v>8.6615938275622077E-40</c:v>
                </c:pt>
                <c:pt idx="25" formatCode="0.E+00">
                  <c:v>4.2661291363209234E-43</c:v>
                </c:pt>
                <c:pt idx="26" formatCode="0.E+00">
                  <c:v>1.9288859169399185E-46</c:v>
                </c:pt>
                <c:pt idx="27" formatCode="0.E+00">
                  <c:v>1.3378187517160699E-49</c:v>
                </c:pt>
                <c:pt idx="28" formatCode="0.E+00">
                  <c:v>3.619828486713701E-53</c:v>
                </c:pt>
                <c:pt idx="29" formatCode="0.E+00">
                  <c:v>6.9554327247309404E-57</c:v>
                </c:pt>
                <c:pt idx="30" formatCode="0.E+00">
                  <c:v>1.8819794147828826E-60</c:v>
                </c:pt>
                <c:pt idx="31" formatCode="0.E+00">
                  <c:v>2.3760253741030886E-63</c:v>
                </c:pt>
                <c:pt idx="32" formatCode="0.E+00">
                  <c:v>1.6479415771105516E-66</c:v>
                </c:pt>
                <c:pt idx="33" formatCode="0.E+00">
                  <c:v>3.7575541565960843E-70</c:v>
                </c:pt>
                <c:pt idx="34" formatCode="0.E+00">
                  <c:v>4.743964758864845E-73</c:v>
                </c:pt>
                <c:pt idx="35" formatCode="0.E+00">
                  <c:v>4.2199263324272844E-77</c:v>
                </c:pt>
                <c:pt idx="36" formatCode="0.E+00">
                  <c:v>8.8329275608508607E-81</c:v>
                </c:pt>
                <c:pt idx="37" formatCode="0.E+00">
                  <c:v>7.2698036692844615E-84</c:v>
                </c:pt>
                <c:pt idx="38" formatCode="0.E+00">
                  <c:v>1.9211385514742715E-90</c:v>
                </c:pt>
              </c:numCache>
            </c:numRef>
          </c:val>
          <c:smooth val="0"/>
        </c:ser>
        <c:ser>
          <c:idx val="1"/>
          <c:order val="1"/>
          <c:tx>
            <c:strRef>
              <c:f>あらめ!$AF$330</c:f>
              <c:strCache>
                <c:ptCount val="1"/>
                <c:pt idx="0">
                  <c:v>周辺海域(10km圏内)</c:v>
                </c:pt>
              </c:strCache>
            </c:strRef>
          </c:tx>
          <c:spPr>
            <a:ln w="12700">
              <a:solidFill>
                <a:srgbClr val="0066FF"/>
              </a:solidFill>
              <a:prstDash val="solid"/>
            </a:ln>
          </c:spPr>
          <c:marker>
            <c:symbol val="square"/>
            <c:size val="5"/>
            <c:spPr>
              <a:noFill/>
              <a:ln>
                <a:solidFill>
                  <a:srgbClr val="0066FF"/>
                </a:solidFill>
                <a:prstDash val="solid"/>
              </a:ln>
            </c:spPr>
          </c:marker>
          <c:cat>
            <c:numRef>
              <c:f>あらめ!$AE$332:$AE$383</c:f>
              <c:numCache>
                <c:formatCode>[$-411]m\.d\.ge</c:formatCode>
                <c:ptCount val="52"/>
                <c:pt idx="0">
                  <c:v>39680</c:v>
                </c:pt>
                <c:pt idx="1">
                  <c:v>39765</c:v>
                </c:pt>
                <c:pt idx="2">
                  <c:v>39853</c:v>
                </c:pt>
                <c:pt idx="3">
                  <c:v>39953</c:v>
                </c:pt>
                <c:pt idx="4">
                  <c:v>40031</c:v>
                </c:pt>
                <c:pt idx="5">
                  <c:v>40126</c:v>
                </c:pt>
                <c:pt idx="6">
                  <c:v>40217</c:v>
                </c:pt>
                <c:pt idx="7">
                  <c:v>40309</c:v>
                </c:pt>
                <c:pt idx="8">
                  <c:v>40400</c:v>
                </c:pt>
                <c:pt idx="9">
                  <c:v>40491</c:v>
                </c:pt>
                <c:pt idx="10">
                  <c:v>40596</c:v>
                </c:pt>
                <c:pt idx="11">
                  <c:v>40612</c:v>
                </c:pt>
                <c:pt idx="12">
                  <c:v>40613</c:v>
                </c:pt>
                <c:pt idx="13">
                  <c:v>40737</c:v>
                </c:pt>
                <c:pt idx="14">
                  <c:v>40781</c:v>
                </c:pt>
                <c:pt idx="15">
                  <c:v>40858</c:v>
                </c:pt>
                <c:pt idx="16">
                  <c:v>40948</c:v>
                </c:pt>
                <c:pt idx="17">
                  <c:v>41045</c:v>
                </c:pt>
                <c:pt idx="18">
                  <c:v>41144</c:v>
                </c:pt>
                <c:pt idx="19">
                  <c:v>41243</c:v>
                </c:pt>
                <c:pt idx="20">
                  <c:v>41323</c:v>
                </c:pt>
                <c:pt idx="21">
                  <c:v>41416</c:v>
                </c:pt>
                <c:pt idx="22">
                  <c:v>41512</c:v>
                </c:pt>
                <c:pt idx="23">
                  <c:v>41605</c:v>
                </c:pt>
                <c:pt idx="24">
                  <c:v>41691</c:v>
                </c:pt>
                <c:pt idx="25">
                  <c:v>41780</c:v>
                </c:pt>
                <c:pt idx="26">
                  <c:v>41870</c:v>
                </c:pt>
                <c:pt idx="27">
                  <c:v>41955</c:v>
                </c:pt>
                <c:pt idx="28">
                  <c:v>42051</c:v>
                </c:pt>
                <c:pt idx="29">
                  <c:v>42151</c:v>
                </c:pt>
                <c:pt idx="30">
                  <c:v>42247</c:v>
                </c:pt>
                <c:pt idx="31">
                  <c:v>42325</c:v>
                </c:pt>
                <c:pt idx="32">
                  <c:v>42410</c:v>
                </c:pt>
                <c:pt idx="33">
                  <c:v>42508</c:v>
                </c:pt>
                <c:pt idx="34">
                  <c:v>42586</c:v>
                </c:pt>
                <c:pt idx="35">
                  <c:v>42695</c:v>
                </c:pt>
                <c:pt idx="36">
                  <c:v>42794</c:v>
                </c:pt>
                <c:pt idx="37">
                  <c:v>42877</c:v>
                </c:pt>
                <c:pt idx="38">
                  <c:v>43054</c:v>
                </c:pt>
              </c:numCache>
            </c:numRef>
          </c:cat>
          <c:val>
            <c:numRef>
              <c:f>あらめ!$AJ$332:$AJ$383</c:f>
              <c:numCache>
                <c:formatCode>.00000</c:formatCode>
                <c:ptCount val="52"/>
                <c:pt idx="0">
                  <c:v>4.2000000000000003E-2</c:v>
                </c:pt>
                <c:pt idx="1">
                  <c:v>2.9129969314730551E-5</c:v>
                </c:pt>
                <c:pt idx="2">
                  <c:v>1.5629311563060861E-8</c:v>
                </c:pt>
                <c:pt idx="3">
                  <c:v>3.0031429806614553E-12</c:v>
                </c:pt>
                <c:pt idx="4" formatCode="0.000">
                  <c:v>0.13</c:v>
                </c:pt>
                <c:pt idx="5">
                  <c:v>1.1175489836470765E-18</c:v>
                </c:pt>
                <c:pt idx="6">
                  <c:v>4.638477713915409E-22</c:v>
                </c:pt>
                <c:pt idx="7" formatCode="&quot;(&quot;0.00&quot;)&quot;">
                  <c:v>8.4000000000000005E-2</c:v>
                </c:pt>
                <c:pt idx="8">
                  <c:v>7.3354987720957375E-29</c:v>
                </c:pt>
                <c:pt idx="9">
                  <c:v>3.0446582720498227E-32</c:v>
                </c:pt>
                <c:pt idx="10">
                  <c:v>3.8137877904767656E-36</c:v>
                </c:pt>
                <c:pt idx="14">
                  <c:v>2.3974968248236618E-8</c:v>
                </c:pt>
                <c:pt idx="15">
                  <c:v>3.2972956113918071E-11</c:v>
                </c:pt>
                <c:pt idx="16">
                  <c:v>1.4908379154894197E-14</c:v>
                </c:pt>
                <c:pt idx="17">
                  <c:v>3.7030323440271504E-18</c:v>
                </c:pt>
                <c:pt idx="18">
                  <c:v>7.750992286035155E-22</c:v>
                </c:pt>
                <c:pt idx="19">
                  <c:v>1.6223968854897791E-25</c:v>
                </c:pt>
                <c:pt idx="20">
                  <c:v>1.726100318311859E-28</c:v>
                </c:pt>
                <c:pt idx="21">
                  <c:v>6.0373681910141573E-32</c:v>
                </c:pt>
                <c:pt idx="22">
                  <c:v>1.6335723605741787E-35</c:v>
                </c:pt>
                <c:pt idx="23">
                  <c:v>5.7137338443318155E-39</c:v>
                </c:pt>
                <c:pt idx="24">
                  <c:v>3.6378694075761278E-42</c:v>
                </c:pt>
                <c:pt idx="25">
                  <c:v>1.791774237254788E-45</c:v>
                </c:pt>
                <c:pt idx="26" formatCode="0.000">
                  <c:v>9.2999999999999999E-2</c:v>
                </c:pt>
                <c:pt idx="27">
                  <c:v>5.618838757207494E-52</c:v>
                </c:pt>
                <c:pt idx="28">
                  <c:v>1.5203279644197545E-55</c:v>
                </c:pt>
                <c:pt idx="29">
                  <c:v>2.9212817443869951E-59</c:v>
                </c:pt>
                <c:pt idx="30">
                  <c:v>7.9043135420881074E-63</c:v>
                </c:pt>
                <c:pt idx="31">
                  <c:v>9.9793065712329715E-66</c:v>
                </c:pt>
                <c:pt idx="32">
                  <c:v>6.9213546238643168E-69</c:v>
                </c:pt>
                <c:pt idx="33" formatCode="&quot;(&quot;0.00&quot;)&quot;">
                  <c:v>7.8E-2</c:v>
                </c:pt>
                <c:pt idx="35">
                  <c:v>1.7723690596194594E-79</c:v>
                </c:pt>
                <c:pt idx="36">
                  <c:v>3.7098295755573617E-83</c:v>
                </c:pt>
                <c:pt idx="37">
                  <c:v>3.0533175410994738E-86</c:v>
                </c:pt>
              </c:numCache>
            </c:numRef>
          </c:val>
          <c:smooth val="0"/>
        </c:ser>
        <c:ser>
          <c:idx val="3"/>
          <c:order val="2"/>
          <c:tx>
            <c:strRef>
              <c:f>あらめ!$W$391</c:f>
              <c:strCache>
                <c:ptCount val="1"/>
                <c:pt idx="0">
                  <c:v>前面海域(大貝崎と早崎の内側)</c:v>
                </c:pt>
              </c:strCache>
            </c:strRef>
          </c:tx>
          <c:spPr>
            <a:ln w="0">
              <a:solidFill>
                <a:srgbClr val="FF00FF"/>
              </a:solidFill>
              <a:prstDash val="sysDash"/>
            </a:ln>
          </c:spPr>
          <c:marker>
            <c:symbol val="circle"/>
            <c:size val="6"/>
            <c:spPr>
              <a:solidFill>
                <a:srgbClr val="FF00FF"/>
              </a:solidFill>
              <a:ln>
                <a:solidFill>
                  <a:srgbClr val="FF00FF"/>
                </a:solidFill>
                <a:prstDash val="solid"/>
              </a:ln>
            </c:spPr>
          </c:marker>
          <c:cat>
            <c:numRef>
              <c:f>あらめ!$AE$332:$AE$383</c:f>
              <c:numCache>
                <c:formatCode>[$-411]m\.d\.ge</c:formatCode>
                <c:ptCount val="52"/>
                <c:pt idx="0">
                  <c:v>39680</c:v>
                </c:pt>
                <c:pt idx="1">
                  <c:v>39765</c:v>
                </c:pt>
                <c:pt idx="2">
                  <c:v>39853</c:v>
                </c:pt>
                <c:pt idx="3">
                  <c:v>39953</c:v>
                </c:pt>
                <c:pt idx="4">
                  <c:v>40031</c:v>
                </c:pt>
                <c:pt idx="5">
                  <c:v>40126</c:v>
                </c:pt>
                <c:pt idx="6">
                  <c:v>40217</c:v>
                </c:pt>
                <c:pt idx="7">
                  <c:v>40309</c:v>
                </c:pt>
                <c:pt idx="8">
                  <c:v>40400</c:v>
                </c:pt>
                <c:pt idx="9">
                  <c:v>40491</c:v>
                </c:pt>
                <c:pt idx="10">
                  <c:v>40596</c:v>
                </c:pt>
                <c:pt idx="11">
                  <c:v>40612</c:v>
                </c:pt>
                <c:pt idx="12">
                  <c:v>40613</c:v>
                </c:pt>
                <c:pt idx="13">
                  <c:v>40737</c:v>
                </c:pt>
                <c:pt idx="14">
                  <c:v>40781</c:v>
                </c:pt>
                <c:pt idx="15">
                  <c:v>40858</c:v>
                </c:pt>
                <c:pt idx="16">
                  <c:v>40948</c:v>
                </c:pt>
                <c:pt idx="17">
                  <c:v>41045</c:v>
                </c:pt>
                <c:pt idx="18">
                  <c:v>41144</c:v>
                </c:pt>
                <c:pt idx="19">
                  <c:v>41243</c:v>
                </c:pt>
                <c:pt idx="20">
                  <c:v>41323</c:v>
                </c:pt>
                <c:pt idx="21">
                  <c:v>41416</c:v>
                </c:pt>
                <c:pt idx="22">
                  <c:v>41512</c:v>
                </c:pt>
                <c:pt idx="23">
                  <c:v>41605</c:v>
                </c:pt>
                <c:pt idx="24">
                  <c:v>41691</c:v>
                </c:pt>
                <c:pt idx="25">
                  <c:v>41780</c:v>
                </c:pt>
                <c:pt idx="26">
                  <c:v>41870</c:v>
                </c:pt>
                <c:pt idx="27">
                  <c:v>41955</c:v>
                </c:pt>
                <c:pt idx="28">
                  <c:v>42051</c:v>
                </c:pt>
                <c:pt idx="29">
                  <c:v>42151</c:v>
                </c:pt>
                <c:pt idx="30">
                  <c:v>42247</c:v>
                </c:pt>
                <c:pt idx="31">
                  <c:v>42325</c:v>
                </c:pt>
                <c:pt idx="32">
                  <c:v>42410</c:v>
                </c:pt>
                <c:pt idx="33">
                  <c:v>42508</c:v>
                </c:pt>
                <c:pt idx="34">
                  <c:v>42586</c:v>
                </c:pt>
                <c:pt idx="35">
                  <c:v>42695</c:v>
                </c:pt>
                <c:pt idx="36">
                  <c:v>42794</c:v>
                </c:pt>
                <c:pt idx="37">
                  <c:v>42877</c:v>
                </c:pt>
                <c:pt idx="38">
                  <c:v>43054</c:v>
                </c:pt>
              </c:numCache>
            </c:numRef>
          </c:cat>
          <c:val>
            <c:numRef>
              <c:f>あらめ!$AA$332:$AA$383</c:f>
              <c:numCache>
                <c:formatCode>0.000</c:formatCode>
                <c:ptCount val="52"/>
                <c:pt idx="0" formatCode="0.000;&quot;△ &quot;0.000">
                  <c:v>0.13</c:v>
                </c:pt>
                <c:pt idx="4" formatCode="0.000;&quot;△ &quot;0.000">
                  <c:v>0.11</c:v>
                </c:pt>
                <c:pt idx="13" formatCode="0.000;&quot;△ &quot;0.000">
                  <c:v>1.34</c:v>
                </c:pt>
                <c:pt idx="14" formatCode=".00000">
                  <c:v>9.9357430866970312E-9</c:v>
                </c:pt>
                <c:pt idx="15" formatCode=".00000">
                  <c:v>1.7664083632456107E-11</c:v>
                </c:pt>
                <c:pt idx="16" formatCode=".00000">
                  <c:v>7.9866316901218915E-15</c:v>
                </c:pt>
                <c:pt idx="17" formatCode="0.000;&quot;△ &quot;0.000">
                  <c:v>0.13</c:v>
                </c:pt>
                <c:pt idx="18" formatCode=".00000">
                  <c:v>4.5232872751166693E-22</c:v>
                </c:pt>
                <c:pt idx="19" formatCode=".00000">
                  <c:v>9.4679067098888327E-26</c:v>
                </c:pt>
                <c:pt idx="20" formatCode=".00000">
                  <c:v>4.6632656159073613E-29</c:v>
                </c:pt>
                <c:pt idx="21" formatCode=".00000">
                  <c:v>5.8874381635342488E-32</c:v>
                </c:pt>
                <c:pt idx="22" formatCode=".00000">
                  <c:v>1.3424242734308087E-35</c:v>
                </c:pt>
                <c:pt idx="23" formatCode=".00000">
                  <c:v>3.632289964531781E-39</c:v>
                </c:pt>
                <c:pt idx="24" formatCode=".00000">
                  <c:v>1.507611415472413E-42</c:v>
                </c:pt>
                <c:pt idx="25" formatCode=".00000">
                  <c:v>1.0456351016964319E-45</c:v>
                </c:pt>
                <c:pt idx="26" formatCode="0.000;&quot;△ &quot;0.000">
                  <c:v>9.2999999999999999E-2</c:v>
                </c:pt>
                <c:pt idx="27" formatCode=".00000">
                  <c:v>3.2790152426290146E-52</c:v>
                </c:pt>
                <c:pt idx="28" formatCode=".00000">
                  <c:v>1.7455207686230873E-56</c:v>
                </c:pt>
                <c:pt idx="29" formatCode=".00000">
                  <c:v>2.4006279843133733E-59</c:v>
                </c:pt>
                <c:pt idx="30" formatCode=".00000">
                  <c:v>3.8566969282001154E-64</c:v>
                </c:pt>
                <c:pt idx="31" formatCode=".00000">
                  <c:v>7.4691281251616903E-67</c:v>
                </c:pt>
                <c:pt idx="32" formatCode=".00000">
                  <c:v>4.0391312675024837E-69</c:v>
                </c:pt>
                <c:pt idx="33" formatCode="&quot;(&quot;0.00&quot;)&quot;">
                  <c:v>7.8E-2</c:v>
                </c:pt>
                <c:pt idx="34" formatCode="0.000;&quot;△ &quot;0.000">
                  <c:v>0.1</c:v>
                </c:pt>
                <c:pt idx="35" formatCode=".00000">
                  <c:v>2.2166929241351132E-80</c:v>
                </c:pt>
                <c:pt idx="36" formatCode=".00000">
                  <c:v>1.9874087011914433E-83</c:v>
                </c:pt>
                <c:pt idx="37" formatCode=".00000">
                  <c:v>3.5055786027224938E-87</c:v>
                </c:pt>
                <c:pt idx="38" formatCode=".00000">
                  <c:v>4.3225617408171108E-93</c:v>
                </c:pt>
              </c:numCache>
            </c:numRef>
          </c:val>
          <c:smooth val="0"/>
        </c:ser>
        <c:ser>
          <c:idx val="0"/>
          <c:order val="3"/>
          <c:tx>
            <c:strRef>
              <c:f>あらめ!$AL$330</c:f>
              <c:strCache>
                <c:ptCount val="1"/>
                <c:pt idx="0">
                  <c:v>牡鹿半島南側(対照海域10km圏外)</c:v>
                </c:pt>
              </c:strCache>
            </c:strRef>
          </c:tx>
          <c:spPr>
            <a:ln w="0">
              <a:solidFill>
                <a:srgbClr val="FF0000"/>
              </a:solidFill>
            </a:ln>
          </c:spPr>
          <c:marker>
            <c:symbol val="square"/>
            <c:size val="4"/>
            <c:spPr>
              <a:solidFill>
                <a:srgbClr val="FF0000"/>
              </a:solidFill>
              <a:ln w="0">
                <a:solidFill>
                  <a:srgbClr val="FF0000"/>
                </a:solidFill>
              </a:ln>
            </c:spPr>
          </c:marker>
          <c:cat>
            <c:numRef>
              <c:f>あらめ!$AE$332:$AE$383</c:f>
              <c:numCache>
                <c:formatCode>[$-411]m\.d\.ge</c:formatCode>
                <c:ptCount val="52"/>
                <c:pt idx="0">
                  <c:v>39680</c:v>
                </c:pt>
                <c:pt idx="1">
                  <c:v>39765</c:v>
                </c:pt>
                <c:pt idx="2">
                  <c:v>39853</c:v>
                </c:pt>
                <c:pt idx="3">
                  <c:v>39953</c:v>
                </c:pt>
                <c:pt idx="4">
                  <c:v>40031</c:v>
                </c:pt>
                <c:pt idx="5">
                  <c:v>40126</c:v>
                </c:pt>
                <c:pt idx="6">
                  <c:v>40217</c:v>
                </c:pt>
                <c:pt idx="7">
                  <c:v>40309</c:v>
                </c:pt>
                <c:pt idx="8">
                  <c:v>40400</c:v>
                </c:pt>
                <c:pt idx="9">
                  <c:v>40491</c:v>
                </c:pt>
                <c:pt idx="10">
                  <c:v>40596</c:v>
                </c:pt>
                <c:pt idx="11">
                  <c:v>40612</c:v>
                </c:pt>
                <c:pt idx="12">
                  <c:v>40613</c:v>
                </c:pt>
                <c:pt idx="13">
                  <c:v>40737</c:v>
                </c:pt>
                <c:pt idx="14">
                  <c:v>40781</c:v>
                </c:pt>
                <c:pt idx="15">
                  <c:v>40858</c:v>
                </c:pt>
                <c:pt idx="16">
                  <c:v>40948</c:v>
                </c:pt>
                <c:pt idx="17">
                  <c:v>41045</c:v>
                </c:pt>
                <c:pt idx="18">
                  <c:v>41144</c:v>
                </c:pt>
                <c:pt idx="19">
                  <c:v>41243</c:v>
                </c:pt>
                <c:pt idx="20">
                  <c:v>41323</c:v>
                </c:pt>
                <c:pt idx="21">
                  <c:v>41416</c:v>
                </c:pt>
                <c:pt idx="22">
                  <c:v>41512</c:v>
                </c:pt>
                <c:pt idx="23">
                  <c:v>41605</c:v>
                </c:pt>
                <c:pt idx="24">
                  <c:v>41691</c:v>
                </c:pt>
                <c:pt idx="25">
                  <c:v>41780</c:v>
                </c:pt>
                <c:pt idx="26">
                  <c:v>41870</c:v>
                </c:pt>
                <c:pt idx="27">
                  <c:v>41955</c:v>
                </c:pt>
                <c:pt idx="28">
                  <c:v>42051</c:v>
                </c:pt>
                <c:pt idx="29">
                  <c:v>42151</c:v>
                </c:pt>
                <c:pt idx="30">
                  <c:v>42247</c:v>
                </c:pt>
                <c:pt idx="31">
                  <c:v>42325</c:v>
                </c:pt>
                <c:pt idx="32">
                  <c:v>42410</c:v>
                </c:pt>
                <c:pt idx="33">
                  <c:v>42508</c:v>
                </c:pt>
                <c:pt idx="34">
                  <c:v>42586</c:v>
                </c:pt>
                <c:pt idx="35">
                  <c:v>42695</c:v>
                </c:pt>
                <c:pt idx="36">
                  <c:v>42794</c:v>
                </c:pt>
                <c:pt idx="37">
                  <c:v>42877</c:v>
                </c:pt>
                <c:pt idx="38">
                  <c:v>43054</c:v>
                </c:pt>
              </c:numCache>
            </c:numRef>
          </c:cat>
          <c:val>
            <c:numRef>
              <c:f>あらめ!$AP$332:$AP$383</c:f>
              <c:numCache>
                <c:formatCode>.00000</c:formatCode>
                <c:ptCount val="52"/>
                <c:pt idx="0">
                  <c:v>8.127177518205032E-3</c:v>
                </c:pt>
                <c:pt idx="1">
                  <c:v>4.0345413015881743E-5</c:v>
                </c:pt>
                <c:pt idx="2">
                  <c:v>2.5687465980253515E-8</c:v>
                </c:pt>
                <c:pt idx="3">
                  <c:v>2.9537626500007929E-12</c:v>
                </c:pt>
                <c:pt idx="4" formatCode="0.000">
                  <c:v>9.7000000000000003E-2</c:v>
                </c:pt>
                <c:pt idx="5">
                  <c:v>5.5431552947550177E-19</c:v>
                </c:pt>
                <c:pt idx="6">
                  <c:v>4.9697975506236522E-22</c:v>
                </c:pt>
                <c:pt idx="7">
                  <c:v>1.1331884396369178E-25</c:v>
                </c:pt>
                <c:pt idx="8">
                  <c:v>8.5616310861863492E-29</c:v>
                </c:pt>
                <c:pt idx="9">
                  <c:v>1.7920755299895677E-32</c:v>
                </c:pt>
                <c:pt idx="10">
                  <c:v>1.35397512273144E-35</c:v>
                </c:pt>
                <c:pt idx="14" formatCode="0.000">
                  <c:v>0.18</c:v>
                </c:pt>
                <c:pt idx="15">
                  <c:v>4.1922616928453841E-11</c:v>
                </c:pt>
                <c:pt idx="16">
                  <c:v>1.134329166791416E-14</c:v>
                </c:pt>
                <c:pt idx="17" formatCode="0.000">
                  <c:v>0.14000000000000001</c:v>
                </c:pt>
                <c:pt idx="18" formatCode="&quot;(&quot;0.00&quot;)&quot;">
                  <c:v>7.6999999999999999E-2</c:v>
                </c:pt>
                <c:pt idx="19">
                  <c:v>2.0627547891465826E-25</c:v>
                </c:pt>
                <c:pt idx="20">
                  <c:v>8.5616310861863492E-29</c:v>
                </c:pt>
                <c:pt idx="21">
                  <c:v>1.0809179178421484E-31</c:v>
                </c:pt>
                <c:pt idx="22">
                  <c:v>1.35397512273144E-35</c:v>
                </c:pt>
                <c:pt idx="23">
                  <c:v>3.9908466278918126E-39</c:v>
                </c:pt>
                <c:pt idx="24">
                  <c:v>1.5205836125703971E-42</c:v>
                </c:pt>
                <c:pt idx="25" formatCode="0.000">
                  <c:v>0.11</c:v>
                </c:pt>
                <c:pt idx="26" formatCode="0.000">
                  <c:v>9.2999999999999999E-2</c:v>
                </c:pt>
                <c:pt idx="27">
                  <c:v>3.9245656724305056E-52</c:v>
                </c:pt>
                <c:pt idx="28">
                  <c:v>1.4953293885679837E-55</c:v>
                </c:pt>
                <c:pt idx="29">
                  <c:v>2.0404148524127592E-59</c:v>
                </c:pt>
                <c:pt idx="30">
                  <c:v>7.7743438340627608E-63</c:v>
                </c:pt>
                <c:pt idx="31" formatCode="&quot;(&quot;0.00&quot;)&quot;">
                  <c:v>8.1000000000000003E-2</c:v>
                </c:pt>
                <c:pt idx="32">
                  <c:v>8.7999783070638849E-69</c:v>
                </c:pt>
                <c:pt idx="33">
                  <c:v>2.5937968255589881E-72</c:v>
                </c:pt>
                <c:pt idx="34">
                  <c:v>1.380757908576218E-76</c:v>
                </c:pt>
                <c:pt idx="35">
                  <c:v>3.4567092518895175E-79</c:v>
                </c:pt>
                <c:pt idx="36">
                  <c:v>4.006225759896969E-82</c:v>
                </c:pt>
                <c:pt idx="37">
                  <c:v>4.606698078413477E-86</c:v>
                </c:pt>
                <c:pt idx="38">
                  <c:v>1.0258845224040119E-92</c:v>
                </c:pt>
              </c:numCache>
            </c:numRef>
          </c:val>
          <c:smooth val="0"/>
        </c:ser>
        <c:dLbls>
          <c:showLegendKey val="0"/>
          <c:showVal val="0"/>
          <c:showCatName val="0"/>
          <c:showSerName val="0"/>
          <c:showPercent val="0"/>
          <c:showBubbleSize val="0"/>
        </c:dLbls>
        <c:marker val="1"/>
        <c:smooth val="0"/>
        <c:axId val="232765312"/>
        <c:axId val="232783872"/>
      </c:lineChart>
      <c:dateAx>
        <c:axId val="232765312"/>
        <c:scaling>
          <c:orientation val="minMax"/>
          <c:min val="39539"/>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2783872"/>
        <c:crossesAt val="1.0000000000000002E-3"/>
        <c:auto val="0"/>
        <c:lblOffset val="100"/>
        <c:baseTimeUnit val="days"/>
        <c:majorUnit val="24"/>
        <c:majorTimeUnit val="months"/>
      </c:dateAx>
      <c:valAx>
        <c:axId val="232783872"/>
        <c:scaling>
          <c:logBase val="10"/>
          <c:orientation val="minMax"/>
          <c:min val="1.0000000000000002E-3"/>
        </c:scaling>
        <c:delete val="0"/>
        <c:axPos val="l"/>
        <c:minorGridlines>
          <c:spPr>
            <a:ln>
              <a:solidFill>
                <a:schemeClr val="bg1">
                  <a:lumMod val="85000"/>
                </a:schemeClr>
              </a:solidFill>
            </a:ln>
          </c:spPr>
        </c:min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Bq/kg生</a:t>
                </a:r>
              </a:p>
            </c:rich>
          </c:tx>
          <c:layout>
            <c:manualLayout>
              <c:xMode val="edge"/>
              <c:yMode val="edge"/>
              <c:x val="4.0269969297078954E-3"/>
              <c:y val="0.24282256944444444"/>
            </c:manualLayout>
          </c:layout>
          <c:overlay val="0"/>
          <c:spPr>
            <a:solidFill>
              <a:srgbClr val="FFFFFF"/>
            </a:solid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2765312"/>
        <c:crosses val="autoZero"/>
        <c:crossBetween val="midCat"/>
      </c:valAx>
      <c:spPr>
        <a:solidFill>
          <a:srgbClr val="FFFFFF"/>
        </a:solidFill>
        <a:ln w="12700">
          <a:solidFill>
            <a:srgbClr val="808080"/>
          </a:solidFill>
          <a:prstDash val="solid"/>
        </a:ln>
      </c:spPr>
    </c:plotArea>
    <c:legend>
      <c:legendPos val="r"/>
      <c:layout>
        <c:manualLayout>
          <c:xMode val="edge"/>
          <c:yMode val="edge"/>
          <c:x val="0.44201732258462839"/>
          <c:y val="1.0864984153848701E-3"/>
          <c:w val="0.46456864875587794"/>
          <c:h val="0.25375972222222221"/>
        </c:manualLayout>
      </c:layout>
      <c:overlay val="0"/>
      <c:spPr>
        <a:solidFill>
          <a:schemeClr val="bg1"/>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あらめ </a:t>
            </a:r>
            <a:r>
              <a:rPr lang="en-US" altLang="ja-JP" sz="1200" b="0" i="0" u="none" strike="noStrike" baseline="0">
                <a:solidFill>
                  <a:srgbClr val="000000"/>
                </a:solidFill>
                <a:latin typeface="Meiryo UI"/>
                <a:ea typeface="Meiryo UI"/>
              </a:rPr>
              <a:t>(</a:t>
            </a:r>
            <a:r>
              <a:rPr lang="ja-JP" altLang="en-US" sz="1200" b="0" i="0" u="none" strike="noStrike" baseline="0">
                <a:solidFill>
                  <a:srgbClr val="000000"/>
                </a:solidFill>
                <a:latin typeface="Meiryo UI"/>
                <a:ea typeface="Meiryo UI"/>
              </a:rPr>
              <a:t>牡鹿半島南側</a:t>
            </a:r>
            <a:r>
              <a:rPr lang="en-US" altLang="ja-JP" sz="1200" b="0" i="0" u="none" strike="noStrike" baseline="0">
                <a:solidFill>
                  <a:srgbClr val="000000"/>
                </a:solidFill>
                <a:latin typeface="Meiryo UI"/>
                <a:ea typeface="Meiryo UI"/>
              </a:rPr>
              <a:t>/</a:t>
            </a:r>
            <a:r>
              <a:rPr lang="ja-JP" altLang="en-US" sz="1200" b="0" i="0" u="none" strike="noStrike" baseline="0">
                <a:solidFill>
                  <a:srgbClr val="000000"/>
                </a:solidFill>
                <a:latin typeface="Meiryo UI"/>
                <a:ea typeface="Meiryo UI"/>
              </a:rPr>
              <a:t>電力</a:t>
            </a:r>
            <a:r>
              <a:rPr lang="en-US" altLang="ja-JP" sz="1200" b="0" i="0" u="none" strike="noStrike" baseline="0">
                <a:solidFill>
                  <a:srgbClr val="000000"/>
                </a:solidFill>
                <a:latin typeface="Meiryo UI"/>
                <a:ea typeface="Meiryo UI"/>
              </a:rPr>
              <a:t>)</a:t>
            </a:r>
            <a:endParaRPr lang="ja-JP" altLang="en-US" sz="1200" b="0" i="0" u="none" strike="noStrike" baseline="0">
              <a:solidFill>
                <a:srgbClr val="000000"/>
              </a:solidFill>
              <a:latin typeface="Meiryo UI"/>
              <a:ea typeface="Meiryo UI"/>
            </a:endParaRPr>
          </a:p>
        </c:rich>
      </c:tx>
      <c:layout>
        <c:manualLayout>
          <c:xMode val="edge"/>
          <c:yMode val="edge"/>
          <c:x val="0.50667706093189968"/>
          <c:y val="0.17926770833333336"/>
        </c:manualLayout>
      </c:layout>
      <c:overlay val="0"/>
      <c:spPr>
        <a:solidFill>
          <a:srgbClr val="FFFFFF"/>
        </a:solidFill>
        <a:ln w="25400">
          <a:noFill/>
        </a:ln>
      </c:spPr>
    </c:title>
    <c:autoTitleDeleted val="0"/>
    <c:plotArea>
      <c:layout>
        <c:manualLayout>
          <c:layoutTarget val="inner"/>
          <c:xMode val="edge"/>
          <c:yMode val="edge"/>
          <c:x val="9.5640681003584235E-2"/>
          <c:y val="3.9176388888888886E-2"/>
          <c:w val="0.89357831541218635"/>
          <c:h val="0.84145451388888892"/>
        </c:manualLayout>
      </c:layout>
      <c:lineChart>
        <c:grouping val="standard"/>
        <c:varyColors val="0"/>
        <c:ser>
          <c:idx val="1"/>
          <c:order val="0"/>
          <c:tx>
            <c:strRef>
              <c:f>あらめ!$AL$331</c:f>
              <c:strCache>
                <c:ptCount val="1"/>
                <c:pt idx="0">
                  <c:v>Be-7</c:v>
                </c:pt>
              </c:strCache>
            </c:strRef>
          </c:tx>
          <c:spPr>
            <a:ln w="6350">
              <a:solidFill>
                <a:srgbClr val="0066FF"/>
              </a:solidFill>
              <a:prstDash val="sysDash"/>
            </a:ln>
          </c:spPr>
          <c:marker>
            <c:symbol val="circle"/>
            <c:size val="5"/>
            <c:spPr>
              <a:solidFill>
                <a:srgbClr val="FFFFFF"/>
              </a:solidFill>
              <a:ln w="0">
                <a:solidFill>
                  <a:srgbClr val="0066FF"/>
                </a:solidFill>
                <a:prstDash val="solid"/>
              </a:ln>
            </c:spPr>
          </c:marker>
          <c:cat>
            <c:numRef>
              <c:f>あらめ!$AK$332:$AK$383</c:f>
              <c:numCache>
                <c:formatCode>[$-411]m\.d\.ge</c:formatCode>
                <c:ptCount val="52"/>
                <c:pt idx="0">
                  <c:v>39700</c:v>
                </c:pt>
                <c:pt idx="1">
                  <c:v>39762</c:v>
                </c:pt>
                <c:pt idx="2">
                  <c:v>39848</c:v>
                </c:pt>
                <c:pt idx="3">
                  <c:v>39954</c:v>
                </c:pt>
                <c:pt idx="4">
                  <c:v>40030</c:v>
                </c:pt>
                <c:pt idx="5">
                  <c:v>40135</c:v>
                </c:pt>
                <c:pt idx="6">
                  <c:v>40217</c:v>
                </c:pt>
                <c:pt idx="7">
                  <c:v>40315</c:v>
                </c:pt>
                <c:pt idx="8">
                  <c:v>40399</c:v>
                </c:pt>
                <c:pt idx="9">
                  <c:v>40498</c:v>
                </c:pt>
                <c:pt idx="10">
                  <c:v>40582</c:v>
                </c:pt>
                <c:pt idx="11">
                  <c:v>40612</c:v>
                </c:pt>
                <c:pt idx="12">
                  <c:v>40613</c:v>
                </c:pt>
                <c:pt idx="13">
                  <c:v>40778</c:v>
                </c:pt>
                <c:pt idx="14">
                  <c:v>40778</c:v>
                </c:pt>
                <c:pt idx="15">
                  <c:v>40856</c:v>
                </c:pt>
                <c:pt idx="16">
                  <c:v>40952</c:v>
                </c:pt>
                <c:pt idx="17">
                  <c:v>41038</c:v>
                </c:pt>
                <c:pt idx="18">
                  <c:v>41124</c:v>
                </c:pt>
                <c:pt idx="19">
                  <c:v>41241</c:v>
                </c:pt>
                <c:pt idx="20">
                  <c:v>41332</c:v>
                </c:pt>
                <c:pt idx="21">
                  <c:v>41410</c:v>
                </c:pt>
                <c:pt idx="22">
                  <c:v>41515</c:v>
                </c:pt>
                <c:pt idx="23">
                  <c:v>41610</c:v>
                </c:pt>
                <c:pt idx="24">
                  <c:v>41702</c:v>
                </c:pt>
                <c:pt idx="25">
                  <c:v>41778</c:v>
                </c:pt>
                <c:pt idx="26">
                  <c:v>41872</c:v>
                </c:pt>
                <c:pt idx="27">
                  <c:v>41960</c:v>
                </c:pt>
                <c:pt idx="28">
                  <c:v>42052</c:v>
                </c:pt>
                <c:pt idx="29">
                  <c:v>42156</c:v>
                </c:pt>
                <c:pt idx="30">
                  <c:v>42248</c:v>
                </c:pt>
                <c:pt idx="31">
                  <c:v>42319</c:v>
                </c:pt>
                <c:pt idx="32">
                  <c:v>42408</c:v>
                </c:pt>
                <c:pt idx="33">
                  <c:v>42503</c:v>
                </c:pt>
                <c:pt idx="34">
                  <c:v>42618</c:v>
                </c:pt>
                <c:pt idx="35">
                  <c:v>42688</c:v>
                </c:pt>
                <c:pt idx="36">
                  <c:v>42767</c:v>
                </c:pt>
                <c:pt idx="37">
                  <c:v>42873</c:v>
                </c:pt>
                <c:pt idx="38">
                  <c:v>43052</c:v>
                </c:pt>
              </c:numCache>
            </c:numRef>
          </c:cat>
          <c:val>
            <c:numRef>
              <c:f>あらめ!$AL$332:$AL$383</c:f>
              <c:numCache>
                <c:formatCode>General</c:formatCode>
                <c:ptCount val="52"/>
                <c:pt idx="0">
                  <c:v>1.5</c:v>
                </c:pt>
                <c:pt idx="1">
                  <c:v>0.65</c:v>
                </c:pt>
                <c:pt idx="2" formatCode="0.000">
                  <c:v>0.32500000000000001</c:v>
                </c:pt>
                <c:pt idx="3" formatCode="0.000">
                  <c:v>0.32500000000000001</c:v>
                </c:pt>
                <c:pt idx="4">
                  <c:v>1.8</c:v>
                </c:pt>
                <c:pt idx="5">
                  <c:v>0.73</c:v>
                </c:pt>
                <c:pt idx="6" formatCode="0.000">
                  <c:v>0.32500000000000001</c:v>
                </c:pt>
                <c:pt idx="7" formatCode="0.000">
                  <c:v>0.32500000000000001</c:v>
                </c:pt>
                <c:pt idx="8">
                  <c:v>1.2</c:v>
                </c:pt>
                <c:pt idx="9">
                  <c:v>1.2</c:v>
                </c:pt>
                <c:pt idx="10" formatCode="0.000">
                  <c:v>0.32500000000000001</c:v>
                </c:pt>
                <c:pt idx="13" formatCode="0.000">
                  <c:v>0.32500000000000001</c:v>
                </c:pt>
                <c:pt idx="14" formatCode="0.000">
                  <c:v>0.32500000000000001</c:v>
                </c:pt>
                <c:pt idx="15" formatCode="0.000">
                  <c:v>0.32500000000000001</c:v>
                </c:pt>
                <c:pt idx="16" formatCode="0.000">
                  <c:v>0.32500000000000001</c:v>
                </c:pt>
                <c:pt idx="17" formatCode="0.000">
                  <c:v>0.32500000000000001</c:v>
                </c:pt>
                <c:pt idx="18" formatCode="0.00">
                  <c:v>0.82</c:v>
                </c:pt>
                <c:pt idx="19" formatCode="0.00">
                  <c:v>0.79</c:v>
                </c:pt>
                <c:pt idx="20" formatCode="0.000">
                  <c:v>0.32500000000000001</c:v>
                </c:pt>
                <c:pt idx="21" formatCode="0.000">
                  <c:v>0.32500000000000001</c:v>
                </c:pt>
                <c:pt idx="22" formatCode="0.00">
                  <c:v>0.72</c:v>
                </c:pt>
                <c:pt idx="23" formatCode="0.00">
                  <c:v>0.81</c:v>
                </c:pt>
                <c:pt idx="24" formatCode="0.000">
                  <c:v>0.32500000000000001</c:v>
                </c:pt>
                <c:pt idx="25" formatCode="0.000">
                  <c:v>0.32500000000000001</c:v>
                </c:pt>
                <c:pt idx="26" formatCode="0.00">
                  <c:v>0.94</c:v>
                </c:pt>
                <c:pt idx="27" formatCode="0.0">
                  <c:v>1.2</c:v>
                </c:pt>
                <c:pt idx="28" formatCode="0.000">
                  <c:v>0.32500000000000001</c:v>
                </c:pt>
                <c:pt idx="29" formatCode="0.000">
                  <c:v>0.32500000000000001</c:v>
                </c:pt>
                <c:pt idx="30" formatCode="0.00">
                  <c:v>0.92</c:v>
                </c:pt>
                <c:pt idx="31" formatCode="&quot;(&quot;0.00&quot;)&quot;">
                  <c:v>0.64</c:v>
                </c:pt>
                <c:pt idx="32" formatCode="0.000">
                  <c:v>0.32500000000000001</c:v>
                </c:pt>
                <c:pt idx="33" formatCode="0.000">
                  <c:v>0.32500000000000001</c:v>
                </c:pt>
                <c:pt idx="34" formatCode="0.0">
                  <c:v>1.2</c:v>
                </c:pt>
                <c:pt idx="35" formatCode="0.0">
                  <c:v>1.8</c:v>
                </c:pt>
                <c:pt idx="36" formatCode="0.000">
                  <c:v>0.32500000000000001</c:v>
                </c:pt>
                <c:pt idx="37" formatCode="0.0">
                  <c:v>0.48</c:v>
                </c:pt>
                <c:pt idx="38" formatCode="0.0">
                  <c:v>1.8</c:v>
                </c:pt>
              </c:numCache>
            </c:numRef>
          </c:val>
          <c:smooth val="0"/>
        </c:ser>
        <c:ser>
          <c:idx val="0"/>
          <c:order val="1"/>
          <c:tx>
            <c:strRef>
              <c:f>あらめ!$AM$331</c:f>
              <c:strCache>
                <c:ptCount val="1"/>
                <c:pt idx="0">
                  <c:v>K-40</c:v>
                </c:pt>
              </c:strCache>
            </c:strRef>
          </c:tx>
          <c:spPr>
            <a:ln w="12700">
              <a:solidFill>
                <a:srgbClr val="00B050"/>
              </a:solidFill>
              <a:prstDash val="solid"/>
            </a:ln>
          </c:spPr>
          <c:marker>
            <c:symbol val="square"/>
            <c:size val="5"/>
            <c:spPr>
              <a:solidFill>
                <a:srgbClr val="FFFFFF"/>
              </a:solidFill>
              <a:ln w="0">
                <a:solidFill>
                  <a:srgbClr val="00B050"/>
                </a:solidFill>
                <a:prstDash val="solid"/>
              </a:ln>
            </c:spPr>
          </c:marker>
          <c:cat>
            <c:numRef>
              <c:f>あらめ!$AK$332:$AK$383</c:f>
              <c:numCache>
                <c:formatCode>[$-411]m\.d\.ge</c:formatCode>
                <c:ptCount val="52"/>
                <c:pt idx="0">
                  <c:v>39700</c:v>
                </c:pt>
                <c:pt idx="1">
                  <c:v>39762</c:v>
                </c:pt>
                <c:pt idx="2">
                  <c:v>39848</c:v>
                </c:pt>
                <c:pt idx="3">
                  <c:v>39954</c:v>
                </c:pt>
                <c:pt idx="4">
                  <c:v>40030</c:v>
                </c:pt>
                <c:pt idx="5">
                  <c:v>40135</c:v>
                </c:pt>
                <c:pt idx="6">
                  <c:v>40217</c:v>
                </c:pt>
                <c:pt idx="7">
                  <c:v>40315</c:v>
                </c:pt>
                <c:pt idx="8">
                  <c:v>40399</c:v>
                </c:pt>
                <c:pt idx="9">
                  <c:v>40498</c:v>
                </c:pt>
                <c:pt idx="10">
                  <c:v>40582</c:v>
                </c:pt>
                <c:pt idx="11">
                  <c:v>40612</c:v>
                </c:pt>
                <c:pt idx="12">
                  <c:v>40613</c:v>
                </c:pt>
                <c:pt idx="13">
                  <c:v>40778</c:v>
                </c:pt>
                <c:pt idx="14">
                  <c:v>40778</c:v>
                </c:pt>
                <c:pt idx="15">
                  <c:v>40856</c:v>
                </c:pt>
                <c:pt idx="16">
                  <c:v>40952</c:v>
                </c:pt>
                <c:pt idx="17">
                  <c:v>41038</c:v>
                </c:pt>
                <c:pt idx="18">
                  <c:v>41124</c:v>
                </c:pt>
                <c:pt idx="19">
                  <c:v>41241</c:v>
                </c:pt>
                <c:pt idx="20">
                  <c:v>41332</c:v>
                </c:pt>
                <c:pt idx="21">
                  <c:v>41410</c:v>
                </c:pt>
                <c:pt idx="22">
                  <c:v>41515</c:v>
                </c:pt>
                <c:pt idx="23">
                  <c:v>41610</c:v>
                </c:pt>
                <c:pt idx="24">
                  <c:v>41702</c:v>
                </c:pt>
                <c:pt idx="25">
                  <c:v>41778</c:v>
                </c:pt>
                <c:pt idx="26">
                  <c:v>41872</c:v>
                </c:pt>
                <c:pt idx="27">
                  <c:v>41960</c:v>
                </c:pt>
                <c:pt idx="28">
                  <c:v>42052</c:v>
                </c:pt>
                <c:pt idx="29">
                  <c:v>42156</c:v>
                </c:pt>
                <c:pt idx="30">
                  <c:v>42248</c:v>
                </c:pt>
                <c:pt idx="31">
                  <c:v>42319</c:v>
                </c:pt>
                <c:pt idx="32">
                  <c:v>42408</c:v>
                </c:pt>
                <c:pt idx="33">
                  <c:v>42503</c:v>
                </c:pt>
                <c:pt idx="34">
                  <c:v>42618</c:v>
                </c:pt>
                <c:pt idx="35">
                  <c:v>42688</c:v>
                </c:pt>
                <c:pt idx="36">
                  <c:v>42767</c:v>
                </c:pt>
                <c:pt idx="37">
                  <c:v>42873</c:v>
                </c:pt>
                <c:pt idx="38">
                  <c:v>43052</c:v>
                </c:pt>
              </c:numCache>
            </c:numRef>
          </c:cat>
          <c:val>
            <c:numRef>
              <c:f>あらめ!$AM$332:$AM$383</c:f>
              <c:numCache>
                <c:formatCode>0</c:formatCode>
                <c:ptCount val="52"/>
                <c:pt idx="0">
                  <c:v>274</c:v>
                </c:pt>
                <c:pt idx="1">
                  <c:v>350</c:v>
                </c:pt>
                <c:pt idx="2">
                  <c:v>374</c:v>
                </c:pt>
                <c:pt idx="3">
                  <c:v>391</c:v>
                </c:pt>
                <c:pt idx="4">
                  <c:v>313</c:v>
                </c:pt>
                <c:pt idx="5">
                  <c:v>421</c:v>
                </c:pt>
                <c:pt idx="6">
                  <c:v>415</c:v>
                </c:pt>
                <c:pt idx="7">
                  <c:v>327</c:v>
                </c:pt>
                <c:pt idx="8">
                  <c:v>329</c:v>
                </c:pt>
                <c:pt idx="9">
                  <c:v>374</c:v>
                </c:pt>
                <c:pt idx="10">
                  <c:v>341</c:v>
                </c:pt>
                <c:pt idx="13">
                  <c:v>283</c:v>
                </c:pt>
                <c:pt idx="14">
                  <c:v>283</c:v>
                </c:pt>
                <c:pt idx="15">
                  <c:v>408</c:v>
                </c:pt>
                <c:pt idx="16">
                  <c:v>360</c:v>
                </c:pt>
                <c:pt idx="17">
                  <c:v>354</c:v>
                </c:pt>
                <c:pt idx="18">
                  <c:v>262</c:v>
                </c:pt>
                <c:pt idx="19">
                  <c:v>416</c:v>
                </c:pt>
                <c:pt idx="20">
                  <c:v>345</c:v>
                </c:pt>
                <c:pt idx="21">
                  <c:v>392</c:v>
                </c:pt>
                <c:pt idx="22">
                  <c:v>392</c:v>
                </c:pt>
                <c:pt idx="23">
                  <c:v>423</c:v>
                </c:pt>
                <c:pt idx="24">
                  <c:v>342</c:v>
                </c:pt>
                <c:pt idx="25">
                  <c:v>368</c:v>
                </c:pt>
                <c:pt idx="26">
                  <c:v>273</c:v>
                </c:pt>
                <c:pt idx="27">
                  <c:v>367</c:v>
                </c:pt>
                <c:pt idx="28">
                  <c:v>356</c:v>
                </c:pt>
                <c:pt idx="29">
                  <c:v>348</c:v>
                </c:pt>
                <c:pt idx="30">
                  <c:v>335</c:v>
                </c:pt>
                <c:pt idx="31">
                  <c:v>396</c:v>
                </c:pt>
                <c:pt idx="32">
                  <c:v>397</c:v>
                </c:pt>
                <c:pt idx="33">
                  <c:v>371</c:v>
                </c:pt>
                <c:pt idx="34">
                  <c:v>284</c:v>
                </c:pt>
                <c:pt idx="35">
                  <c:v>386</c:v>
                </c:pt>
                <c:pt idx="36">
                  <c:v>386</c:v>
                </c:pt>
                <c:pt idx="37">
                  <c:v>344</c:v>
                </c:pt>
                <c:pt idx="38">
                  <c:v>385</c:v>
                </c:pt>
              </c:numCache>
            </c:numRef>
          </c:val>
          <c:smooth val="0"/>
        </c:ser>
        <c:ser>
          <c:idx val="2"/>
          <c:order val="2"/>
          <c:tx>
            <c:strRef>
              <c:f>あらめ!$AO$331</c:f>
              <c:strCache>
                <c:ptCount val="1"/>
                <c:pt idx="0">
                  <c:v>Cs-137</c:v>
                </c:pt>
              </c:strCache>
            </c:strRef>
          </c:tx>
          <c:spPr>
            <a:ln w="12700">
              <a:solidFill>
                <a:srgbClr val="FF0000"/>
              </a:solidFill>
              <a:prstDash val="sysDash"/>
            </a:ln>
          </c:spPr>
          <c:marker>
            <c:symbol val="triangle"/>
            <c:size val="5"/>
            <c:spPr>
              <a:solidFill>
                <a:srgbClr val="FF0000"/>
              </a:solidFill>
              <a:ln>
                <a:solidFill>
                  <a:srgbClr val="FF0000"/>
                </a:solidFill>
                <a:prstDash val="solid"/>
              </a:ln>
            </c:spPr>
          </c:marker>
          <c:cat>
            <c:numRef>
              <c:f>あらめ!$AK$332:$AK$383</c:f>
              <c:numCache>
                <c:formatCode>[$-411]m\.d\.ge</c:formatCode>
                <c:ptCount val="52"/>
                <c:pt idx="0">
                  <c:v>39700</c:v>
                </c:pt>
                <c:pt idx="1">
                  <c:v>39762</c:v>
                </c:pt>
                <c:pt idx="2">
                  <c:v>39848</c:v>
                </c:pt>
                <c:pt idx="3">
                  <c:v>39954</c:v>
                </c:pt>
                <c:pt idx="4">
                  <c:v>40030</c:v>
                </c:pt>
                <c:pt idx="5">
                  <c:v>40135</c:v>
                </c:pt>
                <c:pt idx="6">
                  <c:v>40217</c:v>
                </c:pt>
                <c:pt idx="7">
                  <c:v>40315</c:v>
                </c:pt>
                <c:pt idx="8">
                  <c:v>40399</c:v>
                </c:pt>
                <c:pt idx="9">
                  <c:v>40498</c:v>
                </c:pt>
                <c:pt idx="10">
                  <c:v>40582</c:v>
                </c:pt>
                <c:pt idx="11">
                  <c:v>40612</c:v>
                </c:pt>
                <c:pt idx="12">
                  <c:v>40613</c:v>
                </c:pt>
                <c:pt idx="13">
                  <c:v>40778</c:v>
                </c:pt>
                <c:pt idx="14">
                  <c:v>40778</c:v>
                </c:pt>
                <c:pt idx="15">
                  <c:v>40856</c:v>
                </c:pt>
                <c:pt idx="16">
                  <c:v>40952</c:v>
                </c:pt>
                <c:pt idx="17">
                  <c:v>41038</c:v>
                </c:pt>
                <c:pt idx="18">
                  <c:v>41124</c:v>
                </c:pt>
                <c:pt idx="19">
                  <c:v>41241</c:v>
                </c:pt>
                <c:pt idx="20">
                  <c:v>41332</c:v>
                </c:pt>
                <c:pt idx="21">
                  <c:v>41410</c:v>
                </c:pt>
                <c:pt idx="22">
                  <c:v>41515</c:v>
                </c:pt>
                <c:pt idx="23">
                  <c:v>41610</c:v>
                </c:pt>
                <c:pt idx="24">
                  <c:v>41702</c:v>
                </c:pt>
                <c:pt idx="25">
                  <c:v>41778</c:v>
                </c:pt>
                <c:pt idx="26">
                  <c:v>41872</c:v>
                </c:pt>
                <c:pt idx="27">
                  <c:v>41960</c:v>
                </c:pt>
                <c:pt idx="28">
                  <c:v>42052</c:v>
                </c:pt>
                <c:pt idx="29">
                  <c:v>42156</c:v>
                </c:pt>
                <c:pt idx="30">
                  <c:v>42248</c:v>
                </c:pt>
                <c:pt idx="31">
                  <c:v>42319</c:v>
                </c:pt>
                <c:pt idx="32">
                  <c:v>42408</c:v>
                </c:pt>
                <c:pt idx="33">
                  <c:v>42503</c:v>
                </c:pt>
                <c:pt idx="34">
                  <c:v>42618</c:v>
                </c:pt>
                <c:pt idx="35">
                  <c:v>42688</c:v>
                </c:pt>
                <c:pt idx="36">
                  <c:v>42767</c:v>
                </c:pt>
                <c:pt idx="37">
                  <c:v>42873</c:v>
                </c:pt>
                <c:pt idx="38">
                  <c:v>43052</c:v>
                </c:pt>
              </c:numCache>
            </c:numRef>
          </c:cat>
          <c:val>
            <c:numRef>
              <c:f>あらめ!$AO$332:$AO$383</c:f>
              <c:numCache>
                <c:formatCode>0.000</c:formatCode>
                <c:ptCount val="52"/>
                <c:pt idx="0">
                  <c:v>1.432939255067993E-2</c:v>
                </c:pt>
                <c:pt idx="1">
                  <c:v>7.1999999999999995E-2</c:v>
                </c:pt>
                <c:pt idx="2">
                  <c:v>1.4196173566661762E-2</c:v>
                </c:pt>
                <c:pt idx="3">
                  <c:v>1.4101521827101159E-2</c:v>
                </c:pt>
                <c:pt idx="4">
                  <c:v>5.6000000000000001E-2</c:v>
                </c:pt>
                <c:pt idx="5">
                  <c:v>1.394135605182561E-2</c:v>
                </c:pt>
                <c:pt idx="6">
                  <c:v>1.3869394771089885E-2</c:v>
                </c:pt>
                <c:pt idx="7">
                  <c:v>1.37838793306622E-2</c:v>
                </c:pt>
                <c:pt idx="8">
                  <c:v>1.3711000167587747E-2</c:v>
                </c:pt>
                <c:pt idx="9">
                  <c:v>1.3625601402251285E-2</c:v>
                </c:pt>
                <c:pt idx="10">
                  <c:v>1.3553559098139319E-2</c:v>
                </c:pt>
                <c:pt idx="14" formatCode="0.00">
                  <c:v>15.07</c:v>
                </c:pt>
                <c:pt idx="15" formatCode="0.00">
                  <c:v>10.16</c:v>
                </c:pt>
                <c:pt idx="16" formatCode="0.00">
                  <c:v>3.99</c:v>
                </c:pt>
                <c:pt idx="17" formatCode="0.00">
                  <c:v>0.41</c:v>
                </c:pt>
                <c:pt idx="18" formatCode="0.00">
                  <c:v>1.78</c:v>
                </c:pt>
                <c:pt idx="19" formatCode="0.00">
                  <c:v>1.22</c:v>
                </c:pt>
                <c:pt idx="20" formatCode="0.00">
                  <c:v>0.76</c:v>
                </c:pt>
                <c:pt idx="21" formatCode="0.00">
                  <c:v>0.21</c:v>
                </c:pt>
                <c:pt idx="22" formatCode="0.00">
                  <c:v>0.3</c:v>
                </c:pt>
                <c:pt idx="23" formatCode="0.00">
                  <c:v>0.24</c:v>
                </c:pt>
                <c:pt idx="24" formatCode="0.00">
                  <c:v>0.16</c:v>
                </c:pt>
                <c:pt idx="25" formatCode="0.00">
                  <c:v>0.17</c:v>
                </c:pt>
                <c:pt idx="26" formatCode="0.00">
                  <c:v>0.19</c:v>
                </c:pt>
                <c:pt idx="27" formatCode="0.00">
                  <c:v>0.28999999999999998</c:v>
                </c:pt>
                <c:pt idx="28" formatCode="0.00">
                  <c:v>0.13</c:v>
                </c:pt>
                <c:pt idx="29" formatCode="0.00">
                  <c:v>7.5999999999999998E-2</c:v>
                </c:pt>
                <c:pt idx="30" formatCode="0.00">
                  <c:v>0.12</c:v>
                </c:pt>
                <c:pt idx="31" formatCode="0.00">
                  <c:v>0.18</c:v>
                </c:pt>
                <c:pt idx="32" formatCode="0.00">
                  <c:v>0.12</c:v>
                </c:pt>
                <c:pt idx="33" formatCode="0.00">
                  <c:v>0.15</c:v>
                </c:pt>
                <c:pt idx="34" formatCode="0.00">
                  <c:v>0.16</c:v>
                </c:pt>
                <c:pt idx="35" formatCode="0.00">
                  <c:v>0.14000000000000001</c:v>
                </c:pt>
                <c:pt idx="36" formatCode="0.00">
                  <c:v>0.1</c:v>
                </c:pt>
                <c:pt idx="37" formatCode="0.00">
                  <c:v>7.0000000000000007E-2</c:v>
                </c:pt>
                <c:pt idx="38" formatCode="0.00">
                  <c:v>0.14000000000000001</c:v>
                </c:pt>
              </c:numCache>
            </c:numRef>
          </c:val>
          <c:smooth val="0"/>
        </c:ser>
        <c:ser>
          <c:idx val="4"/>
          <c:order val="3"/>
          <c:tx>
            <c:strRef>
              <c:f>あらめ!$AN$331</c:f>
              <c:strCache>
                <c:ptCount val="1"/>
                <c:pt idx="0">
                  <c:v>Cs-134</c:v>
                </c:pt>
              </c:strCache>
            </c:strRef>
          </c:tx>
          <c:spPr>
            <a:ln w="12700">
              <a:solidFill>
                <a:srgbClr val="FF0000"/>
              </a:solidFill>
              <a:prstDash val="sysDot"/>
            </a:ln>
          </c:spPr>
          <c:marker>
            <c:symbol val="triangle"/>
            <c:size val="6"/>
            <c:spPr>
              <a:noFill/>
              <a:ln>
                <a:solidFill>
                  <a:srgbClr val="FF0000"/>
                </a:solidFill>
                <a:prstDash val="solid"/>
              </a:ln>
            </c:spPr>
          </c:marker>
          <c:cat>
            <c:numRef>
              <c:f>あらめ!$AK$332:$AK$383</c:f>
              <c:numCache>
                <c:formatCode>[$-411]m\.d\.ge</c:formatCode>
                <c:ptCount val="52"/>
                <c:pt idx="0">
                  <c:v>39700</c:v>
                </c:pt>
                <c:pt idx="1">
                  <c:v>39762</c:v>
                </c:pt>
                <c:pt idx="2">
                  <c:v>39848</c:v>
                </c:pt>
                <c:pt idx="3">
                  <c:v>39954</c:v>
                </c:pt>
                <c:pt idx="4">
                  <c:v>40030</c:v>
                </c:pt>
                <c:pt idx="5">
                  <c:v>40135</c:v>
                </c:pt>
                <c:pt idx="6">
                  <c:v>40217</c:v>
                </c:pt>
                <c:pt idx="7">
                  <c:v>40315</c:v>
                </c:pt>
                <c:pt idx="8">
                  <c:v>40399</c:v>
                </c:pt>
                <c:pt idx="9">
                  <c:v>40498</c:v>
                </c:pt>
                <c:pt idx="10">
                  <c:v>40582</c:v>
                </c:pt>
                <c:pt idx="11">
                  <c:v>40612</c:v>
                </c:pt>
                <c:pt idx="12">
                  <c:v>40613</c:v>
                </c:pt>
                <c:pt idx="13">
                  <c:v>40778</c:v>
                </c:pt>
                <c:pt idx="14">
                  <c:v>40778</c:v>
                </c:pt>
                <c:pt idx="15">
                  <c:v>40856</c:v>
                </c:pt>
                <c:pt idx="16">
                  <c:v>40952</c:v>
                </c:pt>
                <c:pt idx="17">
                  <c:v>41038</c:v>
                </c:pt>
                <c:pt idx="18">
                  <c:v>41124</c:v>
                </c:pt>
                <c:pt idx="19">
                  <c:v>41241</c:v>
                </c:pt>
                <c:pt idx="20">
                  <c:v>41332</c:v>
                </c:pt>
                <c:pt idx="21">
                  <c:v>41410</c:v>
                </c:pt>
                <c:pt idx="22">
                  <c:v>41515</c:v>
                </c:pt>
                <c:pt idx="23">
                  <c:v>41610</c:v>
                </c:pt>
                <c:pt idx="24">
                  <c:v>41702</c:v>
                </c:pt>
                <c:pt idx="25">
                  <c:v>41778</c:v>
                </c:pt>
                <c:pt idx="26">
                  <c:v>41872</c:v>
                </c:pt>
                <c:pt idx="27">
                  <c:v>41960</c:v>
                </c:pt>
                <c:pt idx="28">
                  <c:v>42052</c:v>
                </c:pt>
                <c:pt idx="29">
                  <c:v>42156</c:v>
                </c:pt>
                <c:pt idx="30">
                  <c:v>42248</c:v>
                </c:pt>
                <c:pt idx="31">
                  <c:v>42319</c:v>
                </c:pt>
                <c:pt idx="32">
                  <c:v>42408</c:v>
                </c:pt>
                <c:pt idx="33">
                  <c:v>42503</c:v>
                </c:pt>
                <c:pt idx="34">
                  <c:v>42618</c:v>
                </c:pt>
                <c:pt idx="35">
                  <c:v>42688</c:v>
                </c:pt>
                <c:pt idx="36">
                  <c:v>42767</c:v>
                </c:pt>
                <c:pt idx="37">
                  <c:v>42873</c:v>
                </c:pt>
                <c:pt idx="38">
                  <c:v>43052</c:v>
                </c:pt>
              </c:numCache>
            </c:numRef>
          </c:cat>
          <c:val>
            <c:numRef>
              <c:f>あらめ!$AN$332:$AN$383</c:f>
              <c:numCache>
                <c:formatCode>0.000</c:formatCode>
                <c:ptCount val="52"/>
                <c:pt idx="0">
                  <c:v>1.2727200997457682E-5</c:v>
                </c:pt>
                <c:pt idx="1">
                  <c:v>1.2021304689750915E-5</c:v>
                </c:pt>
                <c:pt idx="2">
                  <c:v>1.1106508320192494E-5</c:v>
                </c:pt>
                <c:pt idx="3">
                  <c:v>1.0074175692240603E-5</c:v>
                </c:pt>
                <c:pt idx="4">
                  <c:v>9.3936082752250852E-6</c:v>
                </c:pt>
                <c:pt idx="5">
                  <c:v>8.5283323854146652E-6</c:v>
                </c:pt>
                <c:pt idx="6">
                  <c:v>7.908404110831762E-6</c:v>
                </c:pt>
                <c:pt idx="7">
                  <c:v>7.2263403836170138E-6</c:v>
                </c:pt>
                <c:pt idx="8">
                  <c:v>6.6887313418089343E-6</c:v>
                </c:pt>
                <c:pt idx="9">
                  <c:v>6.1062364219062058E-6</c:v>
                </c:pt>
                <c:pt idx="10">
                  <c:v>5.6519583589357565E-6</c:v>
                </c:pt>
                <c:pt idx="14" formatCode="0.00">
                  <c:v>12.92</c:v>
                </c:pt>
                <c:pt idx="15" formatCode="0.00">
                  <c:v>7.77</c:v>
                </c:pt>
                <c:pt idx="16" formatCode="0.00">
                  <c:v>2.93</c:v>
                </c:pt>
                <c:pt idx="17" formatCode="0.00">
                  <c:v>0.25</c:v>
                </c:pt>
                <c:pt idx="18" formatCode="0.00">
                  <c:v>1.07</c:v>
                </c:pt>
                <c:pt idx="19" formatCode="0.00">
                  <c:v>0.65</c:v>
                </c:pt>
                <c:pt idx="20" formatCode="0.00">
                  <c:v>0.45</c:v>
                </c:pt>
                <c:pt idx="21" formatCode="0.00">
                  <c:v>0.15</c:v>
                </c:pt>
                <c:pt idx="22" formatCode="0.00">
                  <c:v>0.12</c:v>
                </c:pt>
                <c:pt idx="23">
                  <c:v>7.3999999999999996E-2</c:v>
                </c:pt>
                <c:pt idx="24">
                  <c:v>7.0999999999999994E-2</c:v>
                </c:pt>
                <c:pt idx="25" formatCode="&quot;(&quot;0.00&quot;)&quot;">
                  <c:v>6.0999999999999999E-2</c:v>
                </c:pt>
                <c:pt idx="26">
                  <c:v>6.4000000000000001E-2</c:v>
                </c:pt>
                <c:pt idx="27">
                  <c:v>7.4999999999999997E-2</c:v>
                </c:pt>
                <c:pt idx="28" formatCode="&quot;(&quot;0.00&quot;)&quot;">
                  <c:v>5.0999999999999997E-2</c:v>
                </c:pt>
                <c:pt idx="29">
                  <c:v>5.67980335693756E-3</c:v>
                </c:pt>
                <c:pt idx="30">
                  <c:v>5.2186846125934173E-3</c:v>
                </c:pt>
                <c:pt idx="31">
                  <c:v>4.8885770900847563E-3</c:v>
                </c:pt>
                <c:pt idx="32">
                  <c:v>4.5041133826245307E-3</c:v>
                </c:pt>
                <c:pt idx="33">
                  <c:v>4.1270332778985909E-3</c:v>
                </c:pt>
                <c:pt idx="34">
                  <c:v>3.7125529795812391E-3</c:v>
                </c:pt>
                <c:pt idx="35">
                  <c:v>3.4809178583205857E-3</c:v>
                </c:pt>
                <c:pt idx="36">
                  <c:v>3.2368129649565239E-3</c:v>
                </c:pt>
                <c:pt idx="37">
                  <c:v>2.9359562476183412E-3</c:v>
                </c:pt>
                <c:pt idx="38">
                  <c:v>2.4900242332406633E-3</c:v>
                </c:pt>
              </c:numCache>
            </c:numRef>
          </c:val>
          <c:smooth val="0"/>
        </c:ser>
        <c:ser>
          <c:idx val="3"/>
          <c:order val="4"/>
          <c:tx>
            <c:strRef>
              <c:f>あらめ!$AP$331</c:f>
              <c:strCache>
                <c:ptCount val="1"/>
                <c:pt idx="0">
                  <c:v>I-131</c:v>
                </c:pt>
              </c:strCache>
            </c:strRef>
          </c:tx>
          <c:spPr>
            <a:ln w="12700">
              <a:solidFill>
                <a:srgbClr val="FF00FF"/>
              </a:solidFill>
              <a:prstDash val="solid"/>
            </a:ln>
          </c:spPr>
          <c:marker>
            <c:symbol val="star"/>
            <c:size val="5"/>
            <c:spPr>
              <a:noFill/>
              <a:ln>
                <a:solidFill>
                  <a:srgbClr val="FF00FF"/>
                </a:solidFill>
                <a:prstDash val="solid"/>
              </a:ln>
            </c:spPr>
          </c:marker>
          <c:cat>
            <c:numRef>
              <c:f>あらめ!$AK$332:$AK$383</c:f>
              <c:numCache>
                <c:formatCode>[$-411]m\.d\.ge</c:formatCode>
                <c:ptCount val="52"/>
                <c:pt idx="0">
                  <c:v>39700</c:v>
                </c:pt>
                <c:pt idx="1">
                  <c:v>39762</c:v>
                </c:pt>
                <c:pt idx="2">
                  <c:v>39848</c:v>
                </c:pt>
                <c:pt idx="3">
                  <c:v>39954</c:v>
                </c:pt>
                <c:pt idx="4">
                  <c:v>40030</c:v>
                </c:pt>
                <c:pt idx="5">
                  <c:v>40135</c:v>
                </c:pt>
                <c:pt idx="6">
                  <c:v>40217</c:v>
                </c:pt>
                <c:pt idx="7">
                  <c:v>40315</c:v>
                </c:pt>
                <c:pt idx="8">
                  <c:v>40399</c:v>
                </c:pt>
                <c:pt idx="9">
                  <c:v>40498</c:v>
                </c:pt>
                <c:pt idx="10">
                  <c:v>40582</c:v>
                </c:pt>
                <c:pt idx="11">
                  <c:v>40612</c:v>
                </c:pt>
                <c:pt idx="12">
                  <c:v>40613</c:v>
                </c:pt>
                <c:pt idx="13">
                  <c:v>40778</c:v>
                </c:pt>
                <c:pt idx="14">
                  <c:v>40778</c:v>
                </c:pt>
                <c:pt idx="15">
                  <c:v>40856</c:v>
                </c:pt>
                <c:pt idx="16">
                  <c:v>40952</c:v>
                </c:pt>
                <c:pt idx="17">
                  <c:v>41038</c:v>
                </c:pt>
                <c:pt idx="18">
                  <c:v>41124</c:v>
                </c:pt>
                <c:pt idx="19">
                  <c:v>41241</c:v>
                </c:pt>
                <c:pt idx="20">
                  <c:v>41332</c:v>
                </c:pt>
                <c:pt idx="21">
                  <c:v>41410</c:v>
                </c:pt>
                <c:pt idx="22">
                  <c:v>41515</c:v>
                </c:pt>
                <c:pt idx="23">
                  <c:v>41610</c:v>
                </c:pt>
                <c:pt idx="24">
                  <c:v>41702</c:v>
                </c:pt>
                <c:pt idx="25">
                  <c:v>41778</c:v>
                </c:pt>
                <c:pt idx="26">
                  <c:v>41872</c:v>
                </c:pt>
                <c:pt idx="27">
                  <c:v>41960</c:v>
                </c:pt>
                <c:pt idx="28">
                  <c:v>42052</c:v>
                </c:pt>
                <c:pt idx="29">
                  <c:v>42156</c:v>
                </c:pt>
                <c:pt idx="30">
                  <c:v>42248</c:v>
                </c:pt>
                <c:pt idx="31">
                  <c:v>42319</c:v>
                </c:pt>
                <c:pt idx="32">
                  <c:v>42408</c:v>
                </c:pt>
                <c:pt idx="33">
                  <c:v>42503</c:v>
                </c:pt>
                <c:pt idx="34">
                  <c:v>42618</c:v>
                </c:pt>
                <c:pt idx="35">
                  <c:v>42688</c:v>
                </c:pt>
                <c:pt idx="36">
                  <c:v>42767</c:v>
                </c:pt>
                <c:pt idx="37">
                  <c:v>42873</c:v>
                </c:pt>
                <c:pt idx="38">
                  <c:v>43052</c:v>
                </c:pt>
              </c:numCache>
            </c:numRef>
          </c:cat>
          <c:val>
            <c:numRef>
              <c:f>あらめ!$AP$332:$AP$383</c:f>
              <c:numCache>
                <c:formatCode>.00000</c:formatCode>
                <c:ptCount val="52"/>
                <c:pt idx="0">
                  <c:v>8.127177518205032E-3</c:v>
                </c:pt>
                <c:pt idx="1">
                  <c:v>4.0345413015881743E-5</c:v>
                </c:pt>
                <c:pt idx="2">
                  <c:v>2.5687465980253515E-8</c:v>
                </c:pt>
                <c:pt idx="3">
                  <c:v>2.9537626500007929E-12</c:v>
                </c:pt>
                <c:pt idx="4" formatCode="0.000">
                  <c:v>9.7000000000000003E-2</c:v>
                </c:pt>
                <c:pt idx="5">
                  <c:v>5.5431552947550177E-19</c:v>
                </c:pt>
                <c:pt idx="6">
                  <c:v>4.9697975506236522E-22</c:v>
                </c:pt>
                <c:pt idx="7">
                  <c:v>1.1331884396369178E-25</c:v>
                </c:pt>
                <c:pt idx="8">
                  <c:v>8.5616310861863492E-29</c:v>
                </c:pt>
                <c:pt idx="9">
                  <c:v>1.7920755299895677E-32</c:v>
                </c:pt>
                <c:pt idx="10">
                  <c:v>1.35397512273144E-35</c:v>
                </c:pt>
                <c:pt idx="14" formatCode="0.000">
                  <c:v>0.18</c:v>
                </c:pt>
                <c:pt idx="15">
                  <c:v>4.1922616928453841E-11</c:v>
                </c:pt>
                <c:pt idx="16">
                  <c:v>1.134329166791416E-14</c:v>
                </c:pt>
                <c:pt idx="17" formatCode="0.000">
                  <c:v>0.14000000000000001</c:v>
                </c:pt>
                <c:pt idx="18" formatCode="&quot;(&quot;0.00&quot;)&quot;">
                  <c:v>7.6999999999999999E-2</c:v>
                </c:pt>
                <c:pt idx="19">
                  <c:v>2.0627547891465826E-25</c:v>
                </c:pt>
                <c:pt idx="20">
                  <c:v>8.5616310861863492E-29</c:v>
                </c:pt>
                <c:pt idx="21">
                  <c:v>1.0809179178421484E-31</c:v>
                </c:pt>
                <c:pt idx="22">
                  <c:v>1.35397512273144E-35</c:v>
                </c:pt>
                <c:pt idx="23">
                  <c:v>3.9908466278918126E-39</c:v>
                </c:pt>
                <c:pt idx="24">
                  <c:v>1.5205836125703971E-42</c:v>
                </c:pt>
                <c:pt idx="25" formatCode="0.000">
                  <c:v>0.11</c:v>
                </c:pt>
                <c:pt idx="26" formatCode="0.000">
                  <c:v>9.2999999999999999E-2</c:v>
                </c:pt>
                <c:pt idx="27">
                  <c:v>3.9245656724305056E-52</c:v>
                </c:pt>
                <c:pt idx="28">
                  <c:v>1.4953293885679837E-55</c:v>
                </c:pt>
                <c:pt idx="29">
                  <c:v>2.0404148524127592E-59</c:v>
                </c:pt>
                <c:pt idx="30">
                  <c:v>7.7743438340627608E-63</c:v>
                </c:pt>
                <c:pt idx="31" formatCode="&quot;(&quot;0.00&quot;)&quot;">
                  <c:v>8.1000000000000003E-2</c:v>
                </c:pt>
                <c:pt idx="32">
                  <c:v>8.7999783070638849E-69</c:v>
                </c:pt>
                <c:pt idx="33">
                  <c:v>2.5937968255589881E-72</c:v>
                </c:pt>
                <c:pt idx="34">
                  <c:v>1.380757908576218E-76</c:v>
                </c:pt>
                <c:pt idx="35">
                  <c:v>3.4567092518895175E-79</c:v>
                </c:pt>
                <c:pt idx="36">
                  <c:v>4.006225759896969E-82</c:v>
                </c:pt>
                <c:pt idx="37">
                  <c:v>4.606698078413477E-86</c:v>
                </c:pt>
                <c:pt idx="38">
                  <c:v>1.0258845224040119E-92</c:v>
                </c:pt>
              </c:numCache>
            </c:numRef>
          </c:val>
          <c:smooth val="0"/>
        </c:ser>
        <c:dLbls>
          <c:showLegendKey val="0"/>
          <c:showVal val="0"/>
          <c:showCatName val="0"/>
          <c:showSerName val="0"/>
          <c:showPercent val="0"/>
          <c:showBubbleSize val="0"/>
        </c:dLbls>
        <c:marker val="1"/>
        <c:smooth val="0"/>
        <c:axId val="233245696"/>
        <c:axId val="233251968"/>
      </c:lineChart>
      <c:dateAx>
        <c:axId val="233245696"/>
        <c:scaling>
          <c:orientation val="minMax"/>
          <c:min val="39539"/>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3251968"/>
        <c:crossesAt val="1.0000000000000003E-4"/>
        <c:auto val="0"/>
        <c:lblOffset val="100"/>
        <c:baseTimeUnit val="days"/>
        <c:majorUnit val="12"/>
        <c:majorTimeUnit val="months"/>
        <c:minorUnit val="3"/>
        <c:minorTimeUnit val="months"/>
      </c:dateAx>
      <c:valAx>
        <c:axId val="233251968"/>
        <c:scaling>
          <c:logBase val="10"/>
          <c:orientation val="minMax"/>
          <c:min val="1.0000000000000003E-4"/>
        </c:scaling>
        <c:delete val="0"/>
        <c:axPos val="l"/>
        <c:majorGridlines>
          <c:spPr>
            <a:ln w="3175">
              <a:solidFill>
                <a:schemeClr val="bg1">
                  <a:lumMod val="85000"/>
                </a:schemeClr>
              </a:solidFill>
              <a:prstDash val="solid"/>
            </a:ln>
          </c:spPr>
        </c:majorGridlines>
        <c:minorGridlines>
          <c:spPr>
            <a:ln>
              <a:solidFill>
                <a:schemeClr val="bg1">
                  <a:lumMod val="85000"/>
                </a:schemeClr>
              </a:solidFill>
            </a:ln>
          </c:spPr>
        </c:minorGridlines>
        <c:title>
          <c:tx>
            <c:rich>
              <a:bodyPr/>
              <a:lstStyle/>
              <a:p>
                <a:pP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Bq/kg生</a:t>
                </a:r>
              </a:p>
            </c:rich>
          </c:tx>
          <c:layout>
            <c:manualLayout>
              <c:xMode val="edge"/>
              <c:yMode val="edge"/>
              <c:x val="1.3960088523313359E-2"/>
              <c:y val="0.3712461583327725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3245696"/>
        <c:crosses val="autoZero"/>
        <c:crossBetween val="between"/>
        <c:minorUnit val="10"/>
      </c:valAx>
      <c:spPr>
        <a:noFill/>
        <a:ln w="12700">
          <a:solidFill>
            <a:srgbClr val="808080"/>
          </a:solidFill>
          <a:prstDash val="solid"/>
        </a:ln>
      </c:spPr>
    </c:plotArea>
    <c:legend>
      <c:legendPos val="r"/>
      <c:layout>
        <c:manualLayout>
          <c:xMode val="edge"/>
          <c:yMode val="edge"/>
          <c:x val="0.38668243727598567"/>
          <c:y val="0.66693472222222228"/>
          <c:w val="0.34269354838709676"/>
          <c:h val="0.15471354166666668"/>
        </c:manualLayout>
      </c:layout>
      <c:overlay val="0"/>
      <c:spPr>
        <a:solidFill>
          <a:schemeClr val="bg1"/>
        </a:solid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あらめ </a:t>
            </a:r>
            <a:r>
              <a:rPr lang="en-US" altLang="ja-JP" sz="1200" b="0" i="0" u="none" strike="noStrike" baseline="0">
                <a:solidFill>
                  <a:srgbClr val="000000"/>
                </a:solidFill>
                <a:latin typeface="Meiryo UI"/>
                <a:ea typeface="Meiryo UI"/>
              </a:rPr>
              <a:t>(</a:t>
            </a:r>
            <a:r>
              <a:rPr lang="ja-JP" altLang="en-US" sz="1200" b="0" i="0" u="none" strike="noStrike" baseline="0">
                <a:solidFill>
                  <a:srgbClr val="000000"/>
                </a:solidFill>
                <a:latin typeface="Meiryo UI"/>
                <a:ea typeface="Meiryo UI"/>
              </a:rPr>
              <a:t>Cs-134</a:t>
            </a:r>
            <a:r>
              <a:rPr lang="en-US" altLang="ja-JP" sz="1200" b="0" i="0" u="none" strike="noStrike" baseline="0">
                <a:solidFill>
                  <a:srgbClr val="000000"/>
                </a:solidFill>
                <a:latin typeface="Meiryo UI"/>
                <a:ea typeface="Meiryo UI"/>
              </a:rPr>
              <a:t>)</a:t>
            </a:r>
            <a:endParaRPr lang="ja-JP" altLang="en-US" sz="1200" b="0" i="0" u="none" strike="noStrike" baseline="0">
              <a:solidFill>
                <a:srgbClr val="000000"/>
              </a:solidFill>
              <a:latin typeface="Meiryo UI"/>
              <a:ea typeface="Meiryo UI"/>
            </a:endParaRPr>
          </a:p>
        </c:rich>
      </c:tx>
      <c:layout>
        <c:manualLayout>
          <c:xMode val="edge"/>
          <c:yMode val="edge"/>
          <c:x val="0.17665349383547921"/>
          <c:y val="1.6893749999999999E-2"/>
        </c:manualLayout>
      </c:layout>
      <c:overlay val="0"/>
      <c:spPr>
        <a:solidFill>
          <a:srgbClr val="FFFFFF"/>
        </a:solidFill>
        <a:ln w="25400">
          <a:noFill/>
        </a:ln>
      </c:spPr>
    </c:title>
    <c:autoTitleDeleted val="0"/>
    <c:plotArea>
      <c:layout>
        <c:manualLayout>
          <c:layoutTarget val="inner"/>
          <c:xMode val="edge"/>
          <c:yMode val="edge"/>
          <c:x val="4.5430087534620099E-2"/>
          <c:y val="4.0721623556269224E-2"/>
          <c:w val="0.94122549262488775"/>
          <c:h val="0.8377881002284786"/>
        </c:manualLayout>
      </c:layout>
      <c:lineChart>
        <c:grouping val="standard"/>
        <c:varyColors val="0"/>
        <c:ser>
          <c:idx val="2"/>
          <c:order val="0"/>
          <c:tx>
            <c:strRef>
              <c:f>あらめ!$C$195</c:f>
              <c:strCache>
                <c:ptCount val="1"/>
                <c:pt idx="0">
                  <c:v>放水口(シウリ崎/県)</c:v>
                </c:pt>
              </c:strCache>
            </c:strRef>
          </c:tx>
          <c:spPr>
            <a:ln w="12700">
              <a:solidFill>
                <a:srgbClr val="00B050"/>
              </a:solidFill>
              <a:prstDash val="solid"/>
            </a:ln>
          </c:spPr>
          <c:marker>
            <c:symbol val="diamond"/>
            <c:size val="7"/>
            <c:spPr>
              <a:solidFill>
                <a:srgbClr val="FFFFFF"/>
              </a:solidFill>
              <a:ln>
                <a:solidFill>
                  <a:srgbClr val="00B050"/>
                </a:solidFill>
                <a:prstDash val="solid"/>
              </a:ln>
            </c:spPr>
          </c:marker>
          <c:cat>
            <c:numRef>
              <c:f>あらめ!$V$197:$V$383</c:f>
              <c:numCache>
                <c:formatCode>0.000000000000000000000000000000E+00</c:formatCode>
                <c:ptCount val="187"/>
                <c:pt idx="5" formatCode="[$-411]m\.d\.ge">
                  <c:v>30252</c:v>
                </c:pt>
                <c:pt idx="7" formatCode="[$-411]m\.d\.ge">
                  <c:v>30340</c:v>
                </c:pt>
                <c:pt idx="8" formatCode="[$-411]m\.d\.ge">
                  <c:v>30607</c:v>
                </c:pt>
                <c:pt idx="10" formatCode="[$-411]m\.d\.ge">
                  <c:v>30694</c:v>
                </c:pt>
                <c:pt idx="11" formatCode="[$-411]m\.d\.ge">
                  <c:v>30799</c:v>
                </c:pt>
                <c:pt idx="12" formatCode="[$-411]m\.d\.ge">
                  <c:v>30866</c:v>
                </c:pt>
                <c:pt idx="13" formatCode="[$-411]m\.d\.ge">
                  <c:v>30959</c:v>
                </c:pt>
                <c:pt idx="15" formatCode="[$-411]m\.d\.ge">
                  <c:v>31061</c:v>
                </c:pt>
                <c:pt idx="16" formatCode="[$-411]m\.d\.ge">
                  <c:v>31156</c:v>
                </c:pt>
                <c:pt idx="18" formatCode="[$-411]m\.d\.ge">
                  <c:v>31237</c:v>
                </c:pt>
                <c:pt idx="19" formatCode="[$-411]m\.d\.ge">
                  <c:v>31332</c:v>
                </c:pt>
                <c:pt idx="20" formatCode="[$-411]m\.d\.ge">
                  <c:v>31442</c:v>
                </c:pt>
                <c:pt idx="22" formatCode="[$-411]m\.d\.ge">
                  <c:v>31517</c:v>
                </c:pt>
                <c:pt idx="24" formatCode="[$-411]m\.d\.ge">
                  <c:v>31528</c:v>
                </c:pt>
                <c:pt idx="25" formatCode="[$-411]m\.d\.ge">
                  <c:v>31604</c:v>
                </c:pt>
                <c:pt idx="27" formatCode="[$-411]m\.d\.ge">
                  <c:v>31709</c:v>
                </c:pt>
                <c:pt idx="29" formatCode="[$-411]m\.d\.ge">
                  <c:v>31798</c:v>
                </c:pt>
                <c:pt idx="31" formatCode="[$-411]m\.d\.ge">
                  <c:v>31873</c:v>
                </c:pt>
                <c:pt idx="33" formatCode="[$-411]m\.d\.ge">
                  <c:v>31972</c:v>
                </c:pt>
                <c:pt idx="35" formatCode="[$-411]m\.d\.ge">
                  <c:v>32074</c:v>
                </c:pt>
                <c:pt idx="36" formatCode="[$-411]m\.d\.ge">
                  <c:v>32161</c:v>
                </c:pt>
                <c:pt idx="37" formatCode="[$-411]m\.d\.ge">
                  <c:v>32247</c:v>
                </c:pt>
                <c:pt idx="39" formatCode="[$-411]m\.d\.ge">
                  <c:v>32344</c:v>
                </c:pt>
                <c:pt idx="40" formatCode="[$-411]m\.d\.ge">
                  <c:v>32441</c:v>
                </c:pt>
                <c:pt idx="41" formatCode="[$-411]m\.d\.ge">
                  <c:v>32525</c:v>
                </c:pt>
                <c:pt idx="42" formatCode="[$-411]m\.d\.ge">
                  <c:v>32616</c:v>
                </c:pt>
                <c:pt idx="44" formatCode="[$-411]m\.d\.ge">
                  <c:v>32708</c:v>
                </c:pt>
                <c:pt idx="45" formatCode="[$-411]m\.d\.ge">
                  <c:v>32805</c:v>
                </c:pt>
                <c:pt idx="46" formatCode="[$-411]m\.d\.ge">
                  <c:v>32883</c:v>
                </c:pt>
                <c:pt idx="47" formatCode="[$-411]m\.d\.ge">
                  <c:v>33000</c:v>
                </c:pt>
                <c:pt idx="48" formatCode="[$-411]m\.d\.ge">
                  <c:v>33059</c:v>
                </c:pt>
                <c:pt idx="49" formatCode="[$-411]m\.d\.ge">
                  <c:v>33177</c:v>
                </c:pt>
                <c:pt idx="50" formatCode="[$-411]m\.d\.ge">
                  <c:v>33259</c:v>
                </c:pt>
                <c:pt idx="51" formatCode="[$-411]m\.d\.ge">
                  <c:v>33350</c:v>
                </c:pt>
                <c:pt idx="52" formatCode="[$-411]m\.d\.ge">
                  <c:v>33430</c:v>
                </c:pt>
                <c:pt idx="53" formatCode="[$-411]m\.d\.ge">
                  <c:v>33532</c:v>
                </c:pt>
                <c:pt idx="54" formatCode="[$-411]m\.d\.ge">
                  <c:v>33625</c:v>
                </c:pt>
                <c:pt idx="55" formatCode="[$-411]m\.d\.ge">
                  <c:v>33716</c:v>
                </c:pt>
                <c:pt idx="56" formatCode="[$-411]m\.d\.ge">
                  <c:v>33791</c:v>
                </c:pt>
                <c:pt idx="57" formatCode="[$-411]m\.d\.ge">
                  <c:v>33906</c:v>
                </c:pt>
                <c:pt idx="58" formatCode="[$-411]m\.d\.ge">
                  <c:v>34001</c:v>
                </c:pt>
                <c:pt idx="59" formatCode="[$-411]m\.d\.ge">
                  <c:v>34085</c:v>
                </c:pt>
                <c:pt idx="60" formatCode="[$-411]m\.d\.ge">
                  <c:v>34156</c:v>
                </c:pt>
                <c:pt idx="61" formatCode="[$-411]m\.d\.ge">
                  <c:v>34248</c:v>
                </c:pt>
                <c:pt idx="62" formatCode="[$-411]m\.d\.ge">
                  <c:v>34372</c:v>
                </c:pt>
                <c:pt idx="63" formatCode="[$-411]m\.d\.ge">
                  <c:v>34445</c:v>
                </c:pt>
                <c:pt idx="64" formatCode="[$-411]m\.d\.ge">
                  <c:v>34541</c:v>
                </c:pt>
                <c:pt idx="65" formatCode="[$-411]m\.d\.ge">
                  <c:v>34618</c:v>
                </c:pt>
                <c:pt idx="66" formatCode="[$-411]m\.d\.ge">
                  <c:v>34737</c:v>
                </c:pt>
                <c:pt idx="67" formatCode="[$-411]m\.d\.ge">
                  <c:v>34810</c:v>
                </c:pt>
                <c:pt idx="68" formatCode="[$-411]m\.d\.ge">
                  <c:v>34905</c:v>
                </c:pt>
                <c:pt idx="69" formatCode="[$-411]m\.d\.ge">
                  <c:v>34990</c:v>
                </c:pt>
                <c:pt idx="70" formatCode="[$-411]m\.d\.ge">
                  <c:v>35086</c:v>
                </c:pt>
                <c:pt idx="71" formatCode="[$-411]m\.d\.ge">
                  <c:v>35179</c:v>
                </c:pt>
                <c:pt idx="72" formatCode="[$-411]m\.d\.ge">
                  <c:v>35277</c:v>
                </c:pt>
                <c:pt idx="73" formatCode="[$-411]m\.d\.ge">
                  <c:v>35352</c:v>
                </c:pt>
                <c:pt idx="74" formatCode="[$-411]m\.d\.ge">
                  <c:v>35492</c:v>
                </c:pt>
                <c:pt idx="75" formatCode="[$-411]m\.d\.ge">
                  <c:v>35535</c:v>
                </c:pt>
                <c:pt idx="76" formatCode="[$-411]m\.d\.ge">
                  <c:v>35626</c:v>
                </c:pt>
                <c:pt idx="77" formatCode="[$-411]m\.d\.ge">
                  <c:v>35717</c:v>
                </c:pt>
                <c:pt idx="78" formatCode="[$-411]m\.d\.ge">
                  <c:v>35822</c:v>
                </c:pt>
                <c:pt idx="79" formatCode="[$-411]m\.d\.ge">
                  <c:v>35926</c:v>
                </c:pt>
                <c:pt idx="80" formatCode="[$-411]m\.d\.ge">
                  <c:v>36004</c:v>
                </c:pt>
                <c:pt idx="81" formatCode="[$-411]m\.d\.ge">
                  <c:v>36074</c:v>
                </c:pt>
                <c:pt idx="82" formatCode="[$-411]m\.d\.ge">
                  <c:v>36193</c:v>
                </c:pt>
                <c:pt idx="83" formatCode="[$-411]m\.d\.ge">
                  <c:v>36292</c:v>
                </c:pt>
                <c:pt idx="84" formatCode="[$-411]m\.d\.ge">
                  <c:v>36362</c:v>
                </c:pt>
                <c:pt idx="85" formatCode="[$-411]m\.d\.ge">
                  <c:v>36452</c:v>
                </c:pt>
                <c:pt idx="86" formatCode="[$-411]m\.d\.ge">
                  <c:v>36551</c:v>
                </c:pt>
                <c:pt idx="87" formatCode="[$-411]m\.d\.ge">
                  <c:v>36656</c:v>
                </c:pt>
                <c:pt idx="88" formatCode="[$-411]m\.d\.ge">
                  <c:v>36719</c:v>
                </c:pt>
                <c:pt idx="89" formatCode="[$-411]m\.d\.ge">
                  <c:v>36815</c:v>
                </c:pt>
                <c:pt idx="90" formatCode="[$-411]m\.d\.ge">
                  <c:v>36909</c:v>
                </c:pt>
                <c:pt idx="91" formatCode="[$-411]m\.d\.ge">
                  <c:v>37005</c:v>
                </c:pt>
                <c:pt idx="92" formatCode="[$-411]m\.d\.ge">
                  <c:v>37081</c:v>
                </c:pt>
                <c:pt idx="93" formatCode="[$-411]m\.d\.ge">
                  <c:v>37180</c:v>
                </c:pt>
                <c:pt idx="94" formatCode="[$-411]m\.d\.ge">
                  <c:v>37293</c:v>
                </c:pt>
                <c:pt idx="95" formatCode="[$-411]m\.d\.ge">
                  <c:v>37362</c:v>
                </c:pt>
                <c:pt idx="96" formatCode="[$-411]m\.d\.ge">
                  <c:v>37454</c:v>
                </c:pt>
                <c:pt idx="97" formatCode="[$-411]m\.d\.ge">
                  <c:v>37559</c:v>
                </c:pt>
                <c:pt idx="98" formatCode="[$-411]m\.d\.ge">
                  <c:v>37656</c:v>
                </c:pt>
                <c:pt idx="99" formatCode="[$-411]m\.d\.ge">
                  <c:v>37727</c:v>
                </c:pt>
                <c:pt idx="100" formatCode="[$-411]m\.d\.ge">
                  <c:v>37837</c:v>
                </c:pt>
                <c:pt idx="101" formatCode="[$-411]m\.d\.ge">
                  <c:v>37915</c:v>
                </c:pt>
                <c:pt idx="102" formatCode="[$-411]m\.d\.ge">
                  <c:v>38015</c:v>
                </c:pt>
                <c:pt idx="103" formatCode="[$-411]m\.d\.ge">
                  <c:v>38091</c:v>
                </c:pt>
                <c:pt idx="104" formatCode="[$-411]m\.d\.ge">
                  <c:v>38195</c:v>
                </c:pt>
                <c:pt idx="105" formatCode="[$-411]m\.d\.ge">
                  <c:v>38286</c:v>
                </c:pt>
                <c:pt idx="106" formatCode="[$-411]m\.d\.ge">
                  <c:v>38385</c:v>
                </c:pt>
                <c:pt idx="107" formatCode="[$-411]m\.d\.ge">
                  <c:v>38467</c:v>
                </c:pt>
                <c:pt idx="108" formatCode="[$-411]m\.d\.ge">
                  <c:v>38553</c:v>
                </c:pt>
                <c:pt idx="109" formatCode="[$-411]m\.d\.ge">
                  <c:v>38651</c:v>
                </c:pt>
                <c:pt idx="110" formatCode="[$-411]m\.d\.ge">
                  <c:v>38747</c:v>
                </c:pt>
                <c:pt idx="111" formatCode="[$-411]m\.d\.ge">
                  <c:v>38834</c:v>
                </c:pt>
                <c:pt idx="112" formatCode="[$-411]m\.d\.ge">
                  <c:v>38910</c:v>
                </c:pt>
                <c:pt idx="113" formatCode="[$-411]m\.d\.ge">
                  <c:v>39023</c:v>
                </c:pt>
                <c:pt idx="114" formatCode="[$-411]m\.d\.ge">
                  <c:v>39105</c:v>
                </c:pt>
                <c:pt idx="115" formatCode="[$-411]m\.d\.ge">
                  <c:v>39198</c:v>
                </c:pt>
                <c:pt idx="116" formatCode="[$-411]m\.d\.ge">
                  <c:v>39303</c:v>
                </c:pt>
                <c:pt idx="117" formatCode="[$-411]m\.d\.ge">
                  <c:v>39366</c:v>
                </c:pt>
                <c:pt idx="118" formatCode="[$-411]m\.d\.ge">
                  <c:v>39470</c:v>
                </c:pt>
                <c:pt idx="119" formatCode="[$-411]m\.d\.ge">
                  <c:v>39566</c:v>
                </c:pt>
                <c:pt idx="121" formatCode="0.E+00">
                  <c:v>3.8530217851091534E-308</c:v>
                </c:pt>
                <c:pt idx="122" formatCode="0.E+00">
                  <c:v>3.5370225297279948E-308</c:v>
                </c:pt>
                <c:pt idx="123" formatCode="0.E+00">
                  <c:v>3.2469394344345388E-308</c:v>
                </c:pt>
                <c:pt idx="124" formatCode="0.E+00">
                  <c:v>2.9806470279101202E-308</c:v>
                </c:pt>
                <c:pt idx="125" formatCode="0.E+00">
                  <c:v>2.7361941558776368E-308</c:v>
                </c:pt>
                <c:pt idx="126" formatCode="0.E+00">
                  <c:v>2.5117896847749598E-308</c:v>
                </c:pt>
                <c:pt idx="127" formatCode="0.E+00">
                  <c:v>2.305789377917244E-308</c:v>
                </c:pt>
                <c:pt idx="128" formatCode="0.E+00">
                  <c:v>0</c:v>
                </c:pt>
                <c:pt idx="129" formatCode="0.E+00">
                  <c:v>0</c:v>
                </c:pt>
                <c:pt idx="130" formatCode="0.E+00">
                  <c:v>0</c:v>
                </c:pt>
                <c:pt idx="135" formatCode="[$-411]m\.d\.ge">
                  <c:v>39701</c:v>
                </c:pt>
                <c:pt idx="136" formatCode="[$-411]m\.d\.ge">
                  <c:v>39783</c:v>
                </c:pt>
                <c:pt idx="137" formatCode="[$-411]m\.d\.ge">
                  <c:v>39853</c:v>
                </c:pt>
                <c:pt idx="138" formatCode="[$-411]m\.d\.ge">
                  <c:v>39953</c:v>
                </c:pt>
                <c:pt idx="139" formatCode="[$-411]m\.d\.ge">
                  <c:v>40046</c:v>
                </c:pt>
                <c:pt idx="140" formatCode="[$-411]m\.d\.ge">
                  <c:v>40127</c:v>
                </c:pt>
                <c:pt idx="141" formatCode="[$-411]m\.d\.ge">
                  <c:v>40218</c:v>
                </c:pt>
                <c:pt idx="142" formatCode="[$-411]m\.d\.ge">
                  <c:v>40315</c:v>
                </c:pt>
                <c:pt idx="143" formatCode="[$-411]m\.d\.ge">
                  <c:v>40400</c:v>
                </c:pt>
                <c:pt idx="144" formatCode="[$-411]m\.d\.ge">
                  <c:v>40493</c:v>
                </c:pt>
                <c:pt idx="145" formatCode="[$-411]m\.d\.ge">
                  <c:v>40581</c:v>
                </c:pt>
                <c:pt idx="146" formatCode="[$-411]m\.d\.ge">
                  <c:v>40612</c:v>
                </c:pt>
                <c:pt idx="147" formatCode="[$-411]m\.d\.ge">
                  <c:v>40613</c:v>
                </c:pt>
                <c:pt idx="148" formatCode="[$-411]m\.d\.ge">
                  <c:v>40737</c:v>
                </c:pt>
                <c:pt idx="149" formatCode="[$-411]m\.d\.ge">
                  <c:v>40784</c:v>
                </c:pt>
                <c:pt idx="150" formatCode="[$-411]m\.d\.ge">
                  <c:v>40858</c:v>
                </c:pt>
                <c:pt idx="151" formatCode="[$-411]m\.d\.ge">
                  <c:v>40948</c:v>
                </c:pt>
                <c:pt idx="152" formatCode="[$-411]m\.d\.ge">
                  <c:v>41044</c:v>
                </c:pt>
                <c:pt idx="153" formatCode="[$-411]m\.d\.ge">
                  <c:v>41143</c:v>
                </c:pt>
                <c:pt idx="154" formatCode="[$-411]m\.d\.ge">
                  <c:v>41242</c:v>
                </c:pt>
                <c:pt idx="155" formatCode="[$-411]m\.d\.ge">
                  <c:v>41331</c:v>
                </c:pt>
                <c:pt idx="156" formatCode="[$-411]m\.d\.ge">
                  <c:v>41409</c:v>
                </c:pt>
                <c:pt idx="157" formatCode="[$-411]m\.d\.ge">
                  <c:v>41507</c:v>
                </c:pt>
                <c:pt idx="158" formatCode="[$-411]m\.d\.ge">
                  <c:v>41603</c:v>
                </c:pt>
                <c:pt idx="159" formatCode="[$-411]m\.d\.ge">
                  <c:v>41694</c:v>
                </c:pt>
                <c:pt idx="160" formatCode="[$-411]m\.d\.ge">
                  <c:v>41779</c:v>
                </c:pt>
                <c:pt idx="161" formatCode="[$-411]m\.d\.ge">
                  <c:v>41871</c:v>
                </c:pt>
                <c:pt idx="162" formatCode="[$-411]m\.d\.ge">
                  <c:v>41954</c:v>
                </c:pt>
                <c:pt idx="163" formatCode="[$-411]m\.d\.ge">
                  <c:v>42069</c:v>
                </c:pt>
                <c:pt idx="164" formatCode="[$-411]m\.d\.ge">
                  <c:v>42146</c:v>
                </c:pt>
                <c:pt idx="165" formatCode="[$-411]m\.d\.ge">
                  <c:v>42275</c:v>
                </c:pt>
                <c:pt idx="166" formatCode="[$-411]m\.d\.ge">
                  <c:v>42348</c:v>
                </c:pt>
                <c:pt idx="167" formatCode="[$-411]m\.d\.ge">
                  <c:v>42409</c:v>
                </c:pt>
                <c:pt idx="168" formatCode="[$-411]m\.d\.ge">
                  <c:v>42500</c:v>
                </c:pt>
                <c:pt idx="169" formatCode="[$-411]m\.d\.ge">
                  <c:v>42586</c:v>
                </c:pt>
                <c:pt idx="170" formatCode="[$-411]m\.d\.ge">
                  <c:v>42712</c:v>
                </c:pt>
                <c:pt idx="171" formatCode="[$-411]m\.d\.ge">
                  <c:v>42794</c:v>
                </c:pt>
                <c:pt idx="172" formatCode="[$-411]m\.d\.ge">
                  <c:v>42895</c:v>
                </c:pt>
                <c:pt idx="173" formatCode="[$-411]m\.d\.ge">
                  <c:v>43054</c:v>
                </c:pt>
              </c:numCache>
            </c:numRef>
          </c:cat>
          <c:val>
            <c:numRef>
              <c:f>あらめ!$E$197:$E$383</c:f>
              <c:numCache>
                <c:formatCode>0.000</c:formatCode>
                <c:ptCount val="187"/>
                <c:pt idx="1">
                  <c:v>1.9473263628656447E-2</c:v>
                </c:pt>
                <c:pt idx="3">
                  <c:v>1.7469253114855289E-2</c:v>
                </c:pt>
                <c:pt idx="4">
                  <c:v>1.6837840964029908E-2</c:v>
                </c:pt>
                <c:pt idx="5">
                  <c:v>1.4612780357014323E-2</c:v>
                </c:pt>
                <c:pt idx="6">
                  <c:v>1.4227926211989619E-2</c:v>
                </c:pt>
                <c:pt idx="8">
                  <c:v>1.0578856688753505E-2</c:v>
                </c:pt>
                <c:pt idx="9">
                  <c:v>1.0056696047677409E-2</c:v>
                </c:pt>
                <c:pt idx="10">
                  <c:v>9.3085205620326347E-3</c:v>
                </c:pt>
                <c:pt idx="11">
                  <c:v>8.6557457734116727E-3</c:v>
                </c:pt>
                <c:pt idx="12">
                  <c:v>7.975011881001819E-3</c:v>
                </c:pt>
                <c:pt idx="13">
                  <c:v>7.3208143172718686E-3</c:v>
                </c:pt>
                <c:pt idx="15">
                  <c:v>6.7450665358254171E-3</c:v>
                </c:pt>
                <c:pt idx="16">
                  <c:v>6.3184078337600895E-3</c:v>
                </c:pt>
                <c:pt idx="17">
                  <c:v>6.1690103319475284E-3</c:v>
                </c:pt>
                <c:pt idx="18">
                  <c:v>5.6681749826675036E-3</c:v>
                </c:pt>
                <c:pt idx="19">
                  <c:v>5.2175953804288805E-3</c:v>
                </c:pt>
                <c:pt idx="21">
                  <c:v>4.7369856559017877E-3</c:v>
                </c:pt>
                <c:pt idx="24">
                  <c:v>1.9545083798284808E-2</c:v>
                </c:pt>
                <c:pt idx="25">
                  <c:v>1.9135705327120171E-2</c:v>
                </c:pt>
                <c:pt idx="26">
                  <c:v>1.7842980448668899E-2</c:v>
                </c:pt>
                <c:pt idx="27">
                  <c:v>1.7630771666596986E-2</c:v>
                </c:pt>
                <c:pt idx="28">
                  <c:v>1.6729713927595553E-2</c:v>
                </c:pt>
                <c:pt idx="30">
                  <c:v>1.559952734529463E-2</c:v>
                </c:pt>
                <c:pt idx="33">
                  <c:v>1.4097581716609291E-2</c:v>
                </c:pt>
                <c:pt idx="34">
                  <c:v>1.2846212056406483E-2</c:v>
                </c:pt>
                <c:pt idx="35">
                  <c:v>1.1835917604050684E-2</c:v>
                </c:pt>
                <c:pt idx="36">
                  <c:v>1.0716044558375389E-2</c:v>
                </c:pt>
                <c:pt idx="37">
                  <c:v>1.0319220160265482E-2</c:v>
                </c:pt>
                <c:pt idx="38">
                  <c:v>9.9829233697212184E-3</c:v>
                </c:pt>
                <c:pt idx="39">
                  <c:v>9.2657839732554394E-3</c:v>
                </c:pt>
                <c:pt idx="40">
                  <c:v>8.2893155000445563E-3</c:v>
                </c:pt>
                <c:pt idx="41">
                  <c:v>7.8295602713759089E-3</c:v>
                </c:pt>
                <c:pt idx="42">
                  <c:v>7.3478145230982004E-3</c:v>
                </c:pt>
                <c:pt idx="43">
                  <c:v>7.1608838774506077E-3</c:v>
                </c:pt>
                <c:pt idx="44">
                  <c:v>6.6648466219674553E-3</c:v>
                </c:pt>
                <c:pt idx="45">
                  <c:v>6.0120688249548629E-3</c:v>
                </c:pt>
                <c:pt idx="46">
                  <c:v>5.4633033414170111E-3</c:v>
                </c:pt>
                <c:pt idx="47">
                  <c:v>5.0895401102341456E-3</c:v>
                </c:pt>
                <c:pt idx="48">
                  <c:v>4.7632158205547052E-3</c:v>
                </c:pt>
                <c:pt idx="49">
                  <c:v>4.2455891560429764E-3</c:v>
                </c:pt>
                <c:pt idx="50">
                  <c:v>3.9044998908984601E-3</c:v>
                </c:pt>
                <c:pt idx="51">
                  <c:v>3.6440811388888219E-3</c:v>
                </c:pt>
                <c:pt idx="52">
                  <c:v>3.3729769747685629E-3</c:v>
                </c:pt>
                <c:pt idx="53">
                  <c:v>3.0820731192019112E-3</c:v>
                </c:pt>
                <c:pt idx="54">
                  <c:v>2.8475337432418875E-3</c:v>
                </c:pt>
                <c:pt idx="55">
                  <c:v>2.6235885420369523E-3</c:v>
                </c:pt>
                <c:pt idx="56">
                  <c:v>2.4128102837188501E-3</c:v>
                </c:pt>
                <c:pt idx="57">
                  <c:v>2.1865300543555443E-3</c:v>
                </c:pt>
                <c:pt idx="58">
                  <c:v>2.0519948415648405E-3</c:v>
                </c:pt>
                <c:pt idx="59">
                  <c:v>1.8595529133557357E-3</c:v>
                </c:pt>
                <c:pt idx="60">
                  <c:v>1.7085838303502947E-3</c:v>
                </c:pt>
                <c:pt idx="61">
                  <c:v>1.5626637997485089E-3</c:v>
                </c:pt>
                <c:pt idx="63">
                  <c:v>1.324097140192552E-3</c:v>
                </c:pt>
                <c:pt idx="64">
                  <c:v>1.2323764081356536E-3</c:v>
                </c:pt>
                <c:pt idx="65">
                  <c:v>1.1240187098130138E-3</c:v>
                </c:pt>
                <c:pt idx="66">
                  <c:v>1.0233031431286436E-3</c:v>
                </c:pt>
                <c:pt idx="67">
                  <c:v>9.4543189500281399E-4</c:v>
                </c:pt>
                <c:pt idx="68">
                  <c:v>8.8237434574262291E-4</c:v>
                </c:pt>
                <c:pt idx="69">
                  <c:v>8.0479086351071389E-4</c:v>
                </c:pt>
                <c:pt idx="70">
                  <c:v>7.4697741420689883E-4</c:v>
                </c:pt>
                <c:pt idx="71">
                  <c:v>6.7817088876865629E-4</c:v>
                </c:pt>
                <c:pt idx="72">
                  <c:v>6.3003296697401094E-4</c:v>
                </c:pt>
                <c:pt idx="73">
                  <c:v>5.6989671566249137E-4</c:v>
                </c:pt>
                <c:pt idx="74">
                  <c:v>5.2556047788203473E-4</c:v>
                </c:pt>
                <c:pt idx="75" formatCode=".00000">
                  <c:v>4.8780599355355145E-4</c:v>
                </c:pt>
                <c:pt idx="76" formatCode=".00000">
                  <c:v>4.4861581717074126E-4</c:v>
                </c:pt>
                <c:pt idx="77" formatCode=".00000">
                  <c:v>4.0917090646095972E-4</c:v>
                </c:pt>
                <c:pt idx="78" formatCode=".00000">
                  <c:v>3.6943516246803153E-4</c:v>
                </c:pt>
                <c:pt idx="79" formatCode=".00000">
                  <c:v>3.4894496064161808E-4</c:v>
                </c:pt>
                <c:pt idx="80" formatCode=".00000">
                  <c:v>3.1885005184427445E-4</c:v>
                </c:pt>
                <c:pt idx="81" formatCode=".00000">
                  <c:v>2.940444838766733E-4</c:v>
                </c:pt>
                <c:pt idx="82" formatCode=".00000">
                  <c:v>2.6819038340298272E-4</c:v>
                </c:pt>
                <c:pt idx="83" formatCode=".00000">
                  <c:v>2.4664405439384015E-4</c:v>
                </c:pt>
                <c:pt idx="84" formatCode=".00000">
                  <c:v>2.2934774834836049E-4</c:v>
                </c:pt>
                <c:pt idx="85" formatCode=".00000">
                  <c:v>2.0918216098199377E-4</c:v>
                </c:pt>
                <c:pt idx="86" formatCode=".00000">
                  <c:v>1.9114115518781662E-4</c:v>
                </c:pt>
                <c:pt idx="87" formatCode=".00000">
                  <c:v>1.7530026031299526E-4</c:v>
                </c:pt>
                <c:pt idx="88" formatCode=".00000">
                  <c:v>1.6390967194066135E-4</c:v>
                </c:pt>
                <c:pt idx="89" formatCode=".00000">
                  <c:v>1.5004914978808143E-4</c:v>
                </c:pt>
                <c:pt idx="90" formatCode=".00000">
                  <c:v>1.3761377026181575E-4</c:v>
                </c:pt>
                <c:pt idx="91" formatCode=".00000">
                  <c:v>1.2667445415800248E-4</c:v>
                </c:pt>
                <c:pt idx="92" formatCode=".00000">
                  <c:v>1.1311654817730312E-4</c:v>
                </c:pt>
                <c:pt idx="93" formatCode=".00000">
                  <c:v>1.077313571830547E-4</c:v>
                </c:pt>
                <c:pt idx="94" formatCode=".00000">
                  <c:v>9.753819370225866E-5</c:v>
                </c:pt>
                <c:pt idx="95" formatCode=".00000">
                  <c:v>8.9702006640664814E-5</c:v>
                </c:pt>
                <c:pt idx="96" formatCode=".00000">
                  <c:v>8.2343668486234569E-5</c:v>
                </c:pt>
                <c:pt idx="97" formatCode=".00000">
                  <c:v>7.7135025616214973E-5</c:v>
                </c:pt>
                <c:pt idx="98" formatCode=".00000">
                  <c:v>6.8311126179669839E-5</c:v>
                </c:pt>
                <c:pt idx="99" formatCode=".00000">
                  <c:v>6.3931245238568814E-5</c:v>
                </c:pt>
                <c:pt idx="100" formatCode=".00000">
                  <c:v>5.999761365412643E-5</c:v>
                </c:pt>
                <c:pt idx="101" formatCode=".00000">
                  <c:v>5.5177424700472622E-5</c:v>
                </c:pt>
                <c:pt idx="102" formatCode=".00000">
                  <c:v>5.0744488174604907E-5</c:v>
                </c:pt>
                <c:pt idx="103" formatCode=".00000">
                  <c:v>4.662476198005641E-5</c:v>
                </c:pt>
                <c:pt idx="104" formatCode=".00000">
                  <c:v>4.2997496763758514E-5</c:v>
                </c:pt>
                <c:pt idx="105" formatCode=".00000">
                  <c:v>3.9072800824726534E-5</c:v>
                </c:pt>
                <c:pt idx="106" formatCode=".00000">
                  <c:v>3.5900648600072568E-5</c:v>
                </c:pt>
                <c:pt idx="107" formatCode=".00000">
                  <c:v>3.2744054863846461E-5</c:v>
                </c:pt>
                <c:pt idx="108" formatCode=".00000">
                  <c:v>3.0002753615782329E-5</c:v>
                </c:pt>
                <c:pt idx="109" formatCode=".00000">
                  <c:v>2.7694106542399004E-5</c:v>
                </c:pt>
                <c:pt idx="110" formatCode=".00000">
                  <c:v>2.5539588962220035E-5</c:v>
                </c:pt>
                <c:pt idx="111" formatCode=".00000">
                  <c:v>2.3617805579156585E-5</c:v>
                </c:pt>
                <c:pt idx="112" formatCode=".00000">
                  <c:v>2.1961569452063766E-5</c:v>
                </c:pt>
                <c:pt idx="113" formatCode=".00000">
                  <c:v>1.9683361506319828E-5</c:v>
                </c:pt>
                <c:pt idx="114" formatCode=".00000">
                  <c:v>1.8455269178908017E-5</c:v>
                </c:pt>
                <c:pt idx="115" formatCode=".00000">
                  <c:v>1.6894655553992175E-5</c:v>
                </c:pt>
                <c:pt idx="116" formatCode=".00000">
                  <c:v>1.5395004067316651E-5</c:v>
                </c:pt>
                <c:pt idx="117" formatCode=".00000">
                  <c:v>1.4106148913635477E-5</c:v>
                </c:pt>
                <c:pt idx="118" formatCode=".00000">
                  <c:v>1.3032700220030208E-5</c:v>
                </c:pt>
                <c:pt idx="119" formatCode=".00000">
                  <c:v>1.2152267776081934E-5</c:v>
                </c:pt>
                <c:pt idx="135">
                  <c:v>1.083166042336824E-5</c:v>
                </c:pt>
                <c:pt idx="136">
                  <c:v>1.0137170583982359E-5</c:v>
                </c:pt>
                <c:pt idx="137">
                  <c:v>9.4002951451183382E-6</c:v>
                </c:pt>
                <c:pt idx="138">
                  <c:v>8.6450784613216389E-6</c:v>
                </c:pt>
                <c:pt idx="139">
                  <c:v>8.0019213304336898E-6</c:v>
                </c:pt>
                <c:pt idx="140">
                  <c:v>7.311792170235688E-6</c:v>
                </c:pt>
                <c:pt idx="141">
                  <c:v>6.7305566900695844E-6</c:v>
                </c:pt>
                <c:pt idx="142">
                  <c:v>6.1500769222272459E-6</c:v>
                </c:pt>
                <c:pt idx="143">
                  <c:v>5.6925373121778167E-6</c:v>
                </c:pt>
                <c:pt idx="144">
                  <c:v>5.2207661489000738E-6</c:v>
                </c:pt>
                <c:pt idx="150" formatCode="General">
                  <c:v>1.2</c:v>
                </c:pt>
                <c:pt idx="151" formatCode="0.00_ ">
                  <c:v>0.33</c:v>
                </c:pt>
                <c:pt idx="152" formatCode="0.00_ ">
                  <c:v>0.25</c:v>
                </c:pt>
                <c:pt idx="153" formatCode="0.00_ ">
                  <c:v>0.21</c:v>
                </c:pt>
                <c:pt idx="154" formatCode="0.00_ ">
                  <c:v>0.11</c:v>
                </c:pt>
                <c:pt idx="155">
                  <c:v>1.0539983727670213E-2</c:v>
                </c:pt>
                <c:pt idx="156" formatCode="&quot;(&quot;0.00&quot;)&quot;">
                  <c:v>8.3000000000000004E-2</c:v>
                </c:pt>
                <c:pt idx="157">
                  <c:v>8.8572101943827572E-3</c:v>
                </c:pt>
                <c:pt idx="158">
                  <c:v>8.1231655798906632E-3</c:v>
                </c:pt>
                <c:pt idx="159">
                  <c:v>7.3953047200071547E-3</c:v>
                </c:pt>
                <c:pt idx="160">
                  <c:v>6.9211425152793269E-3</c:v>
                </c:pt>
                <c:pt idx="161">
                  <c:v>6.3709609046008614E-3</c:v>
                </c:pt>
                <c:pt idx="162">
                  <c:v>5.8161393439511832E-3</c:v>
                </c:pt>
                <c:pt idx="163">
                  <c:v>5.3439520686756224E-3</c:v>
                </c:pt>
                <c:pt idx="164">
                  <c:v>4.9282087890732155E-3</c:v>
                </c:pt>
                <c:pt idx="165">
                  <c:v>4.5531823152401606E-3</c:v>
                </c:pt>
                <c:pt idx="166">
                  <c:v>4.1413898023421863E-3</c:v>
                </c:pt>
                <c:pt idx="167">
                  <c:v>3.8509682649125456E-3</c:v>
                </c:pt>
                <c:pt idx="168">
                  <c:v>3.5220798620840218E-3</c:v>
                </c:pt>
                <c:pt idx="169">
                  <c:v>3.1917691681989332E-3</c:v>
                </c:pt>
                <c:pt idx="170">
                  <c:v>2.9816303258403164E-3</c:v>
                </c:pt>
                <c:pt idx="171">
                  <c:v>2.7219720395261627E-3</c:v>
                </c:pt>
                <c:pt idx="172">
                  <c:v>2.4986861681858224E-3</c:v>
                </c:pt>
                <c:pt idx="173">
                  <c:v>2.1309040619596183E-3</c:v>
                </c:pt>
              </c:numCache>
            </c:numRef>
          </c:val>
          <c:smooth val="0"/>
        </c:ser>
        <c:ser>
          <c:idx val="0"/>
          <c:order val="1"/>
          <c:tx>
            <c:strRef>
              <c:f>あらめ!$W$195</c:f>
              <c:strCache>
                <c:ptCount val="1"/>
                <c:pt idx="0">
                  <c:v>前面海域(シウリ崎/電力)</c:v>
                </c:pt>
              </c:strCache>
            </c:strRef>
          </c:tx>
          <c:spPr>
            <a:ln w="12700">
              <a:solidFill>
                <a:srgbClr val="FF0000"/>
              </a:solidFill>
              <a:prstDash val="solid"/>
            </a:ln>
          </c:spPr>
          <c:marker>
            <c:symbol val="square"/>
            <c:size val="5"/>
            <c:spPr>
              <a:noFill/>
              <a:ln>
                <a:solidFill>
                  <a:srgbClr val="FF0000"/>
                </a:solidFill>
                <a:prstDash val="solid"/>
              </a:ln>
            </c:spPr>
          </c:marker>
          <c:cat>
            <c:numRef>
              <c:f>あらめ!$V$197:$V$383</c:f>
              <c:numCache>
                <c:formatCode>0.000000000000000000000000000000E+00</c:formatCode>
                <c:ptCount val="187"/>
                <c:pt idx="5" formatCode="[$-411]m\.d\.ge">
                  <c:v>30252</c:v>
                </c:pt>
                <c:pt idx="7" formatCode="[$-411]m\.d\.ge">
                  <c:v>30340</c:v>
                </c:pt>
                <c:pt idx="8" formatCode="[$-411]m\.d\.ge">
                  <c:v>30607</c:v>
                </c:pt>
                <c:pt idx="10" formatCode="[$-411]m\.d\.ge">
                  <c:v>30694</c:v>
                </c:pt>
                <c:pt idx="11" formatCode="[$-411]m\.d\.ge">
                  <c:v>30799</c:v>
                </c:pt>
                <c:pt idx="12" formatCode="[$-411]m\.d\.ge">
                  <c:v>30866</c:v>
                </c:pt>
                <c:pt idx="13" formatCode="[$-411]m\.d\.ge">
                  <c:v>30959</c:v>
                </c:pt>
                <c:pt idx="15" formatCode="[$-411]m\.d\.ge">
                  <c:v>31061</c:v>
                </c:pt>
                <c:pt idx="16" formatCode="[$-411]m\.d\.ge">
                  <c:v>31156</c:v>
                </c:pt>
                <c:pt idx="18" formatCode="[$-411]m\.d\.ge">
                  <c:v>31237</c:v>
                </c:pt>
                <c:pt idx="19" formatCode="[$-411]m\.d\.ge">
                  <c:v>31332</c:v>
                </c:pt>
                <c:pt idx="20" formatCode="[$-411]m\.d\.ge">
                  <c:v>31442</c:v>
                </c:pt>
                <c:pt idx="22" formatCode="[$-411]m\.d\.ge">
                  <c:v>31517</c:v>
                </c:pt>
                <c:pt idx="24" formatCode="[$-411]m\.d\.ge">
                  <c:v>31528</c:v>
                </c:pt>
                <c:pt idx="25" formatCode="[$-411]m\.d\.ge">
                  <c:v>31604</c:v>
                </c:pt>
                <c:pt idx="27" formatCode="[$-411]m\.d\.ge">
                  <c:v>31709</c:v>
                </c:pt>
                <c:pt idx="29" formatCode="[$-411]m\.d\.ge">
                  <c:v>31798</c:v>
                </c:pt>
                <c:pt idx="31" formatCode="[$-411]m\.d\.ge">
                  <c:v>31873</c:v>
                </c:pt>
                <c:pt idx="33" formatCode="[$-411]m\.d\.ge">
                  <c:v>31972</c:v>
                </c:pt>
                <c:pt idx="35" formatCode="[$-411]m\.d\.ge">
                  <c:v>32074</c:v>
                </c:pt>
                <c:pt idx="36" formatCode="[$-411]m\.d\.ge">
                  <c:v>32161</c:v>
                </c:pt>
                <c:pt idx="37" formatCode="[$-411]m\.d\.ge">
                  <c:v>32247</c:v>
                </c:pt>
                <c:pt idx="39" formatCode="[$-411]m\.d\.ge">
                  <c:v>32344</c:v>
                </c:pt>
                <c:pt idx="40" formatCode="[$-411]m\.d\.ge">
                  <c:v>32441</c:v>
                </c:pt>
                <c:pt idx="41" formatCode="[$-411]m\.d\.ge">
                  <c:v>32525</c:v>
                </c:pt>
                <c:pt idx="42" formatCode="[$-411]m\.d\.ge">
                  <c:v>32616</c:v>
                </c:pt>
                <c:pt idx="44" formatCode="[$-411]m\.d\.ge">
                  <c:v>32708</c:v>
                </c:pt>
                <c:pt idx="45" formatCode="[$-411]m\.d\.ge">
                  <c:v>32805</c:v>
                </c:pt>
                <c:pt idx="46" formatCode="[$-411]m\.d\.ge">
                  <c:v>32883</c:v>
                </c:pt>
                <c:pt idx="47" formatCode="[$-411]m\.d\.ge">
                  <c:v>33000</c:v>
                </c:pt>
                <c:pt idx="48" formatCode="[$-411]m\.d\.ge">
                  <c:v>33059</c:v>
                </c:pt>
                <c:pt idx="49" formatCode="[$-411]m\.d\.ge">
                  <c:v>33177</c:v>
                </c:pt>
                <c:pt idx="50" formatCode="[$-411]m\.d\.ge">
                  <c:v>33259</c:v>
                </c:pt>
                <c:pt idx="51" formatCode="[$-411]m\.d\.ge">
                  <c:v>33350</c:v>
                </c:pt>
                <c:pt idx="52" formatCode="[$-411]m\.d\.ge">
                  <c:v>33430</c:v>
                </c:pt>
                <c:pt idx="53" formatCode="[$-411]m\.d\.ge">
                  <c:v>33532</c:v>
                </c:pt>
                <c:pt idx="54" formatCode="[$-411]m\.d\.ge">
                  <c:v>33625</c:v>
                </c:pt>
                <c:pt idx="55" formatCode="[$-411]m\.d\.ge">
                  <c:v>33716</c:v>
                </c:pt>
                <c:pt idx="56" formatCode="[$-411]m\.d\.ge">
                  <c:v>33791</c:v>
                </c:pt>
                <c:pt idx="57" formatCode="[$-411]m\.d\.ge">
                  <c:v>33906</c:v>
                </c:pt>
                <c:pt idx="58" formatCode="[$-411]m\.d\.ge">
                  <c:v>34001</c:v>
                </c:pt>
                <c:pt idx="59" formatCode="[$-411]m\.d\.ge">
                  <c:v>34085</c:v>
                </c:pt>
                <c:pt idx="60" formatCode="[$-411]m\.d\.ge">
                  <c:v>34156</c:v>
                </c:pt>
                <c:pt idx="61" formatCode="[$-411]m\.d\.ge">
                  <c:v>34248</c:v>
                </c:pt>
                <c:pt idx="62" formatCode="[$-411]m\.d\.ge">
                  <c:v>34372</c:v>
                </c:pt>
                <c:pt idx="63" formatCode="[$-411]m\.d\.ge">
                  <c:v>34445</c:v>
                </c:pt>
                <c:pt idx="64" formatCode="[$-411]m\.d\.ge">
                  <c:v>34541</c:v>
                </c:pt>
                <c:pt idx="65" formatCode="[$-411]m\.d\.ge">
                  <c:v>34618</c:v>
                </c:pt>
                <c:pt idx="66" formatCode="[$-411]m\.d\.ge">
                  <c:v>34737</c:v>
                </c:pt>
                <c:pt idx="67" formatCode="[$-411]m\.d\.ge">
                  <c:v>34810</c:v>
                </c:pt>
                <c:pt idx="68" formatCode="[$-411]m\.d\.ge">
                  <c:v>34905</c:v>
                </c:pt>
                <c:pt idx="69" formatCode="[$-411]m\.d\.ge">
                  <c:v>34990</c:v>
                </c:pt>
                <c:pt idx="70" formatCode="[$-411]m\.d\.ge">
                  <c:v>35086</c:v>
                </c:pt>
                <c:pt idx="71" formatCode="[$-411]m\.d\.ge">
                  <c:v>35179</c:v>
                </c:pt>
                <c:pt idx="72" formatCode="[$-411]m\.d\.ge">
                  <c:v>35277</c:v>
                </c:pt>
                <c:pt idx="73" formatCode="[$-411]m\.d\.ge">
                  <c:v>35352</c:v>
                </c:pt>
                <c:pt idx="74" formatCode="[$-411]m\.d\.ge">
                  <c:v>35492</c:v>
                </c:pt>
                <c:pt idx="75" formatCode="[$-411]m\.d\.ge">
                  <c:v>35535</c:v>
                </c:pt>
                <c:pt idx="76" formatCode="[$-411]m\.d\.ge">
                  <c:v>35626</c:v>
                </c:pt>
                <c:pt idx="77" formatCode="[$-411]m\.d\.ge">
                  <c:v>35717</c:v>
                </c:pt>
                <c:pt idx="78" formatCode="[$-411]m\.d\.ge">
                  <c:v>35822</c:v>
                </c:pt>
                <c:pt idx="79" formatCode="[$-411]m\.d\.ge">
                  <c:v>35926</c:v>
                </c:pt>
                <c:pt idx="80" formatCode="[$-411]m\.d\.ge">
                  <c:v>36004</c:v>
                </c:pt>
                <c:pt idx="81" formatCode="[$-411]m\.d\.ge">
                  <c:v>36074</c:v>
                </c:pt>
                <c:pt idx="82" formatCode="[$-411]m\.d\.ge">
                  <c:v>36193</c:v>
                </c:pt>
                <c:pt idx="83" formatCode="[$-411]m\.d\.ge">
                  <c:v>36292</c:v>
                </c:pt>
                <c:pt idx="84" formatCode="[$-411]m\.d\.ge">
                  <c:v>36362</c:v>
                </c:pt>
                <c:pt idx="85" formatCode="[$-411]m\.d\.ge">
                  <c:v>36452</c:v>
                </c:pt>
                <c:pt idx="86" formatCode="[$-411]m\.d\.ge">
                  <c:v>36551</c:v>
                </c:pt>
                <c:pt idx="87" formatCode="[$-411]m\.d\.ge">
                  <c:v>36656</c:v>
                </c:pt>
                <c:pt idx="88" formatCode="[$-411]m\.d\.ge">
                  <c:v>36719</c:v>
                </c:pt>
                <c:pt idx="89" formatCode="[$-411]m\.d\.ge">
                  <c:v>36815</c:v>
                </c:pt>
                <c:pt idx="90" formatCode="[$-411]m\.d\.ge">
                  <c:v>36909</c:v>
                </c:pt>
                <c:pt idx="91" formatCode="[$-411]m\.d\.ge">
                  <c:v>37005</c:v>
                </c:pt>
                <c:pt idx="92" formatCode="[$-411]m\.d\.ge">
                  <c:v>37081</c:v>
                </c:pt>
                <c:pt idx="93" formatCode="[$-411]m\.d\.ge">
                  <c:v>37180</c:v>
                </c:pt>
                <c:pt idx="94" formatCode="[$-411]m\.d\.ge">
                  <c:v>37293</c:v>
                </c:pt>
                <c:pt idx="95" formatCode="[$-411]m\.d\.ge">
                  <c:v>37362</c:v>
                </c:pt>
                <c:pt idx="96" formatCode="[$-411]m\.d\.ge">
                  <c:v>37454</c:v>
                </c:pt>
                <c:pt idx="97" formatCode="[$-411]m\.d\.ge">
                  <c:v>37559</c:v>
                </c:pt>
                <c:pt idx="98" formatCode="[$-411]m\.d\.ge">
                  <c:v>37656</c:v>
                </c:pt>
                <c:pt idx="99" formatCode="[$-411]m\.d\.ge">
                  <c:v>37727</c:v>
                </c:pt>
                <c:pt idx="100" formatCode="[$-411]m\.d\.ge">
                  <c:v>37837</c:v>
                </c:pt>
                <c:pt idx="101" formatCode="[$-411]m\.d\.ge">
                  <c:v>37915</c:v>
                </c:pt>
                <c:pt idx="102" formatCode="[$-411]m\.d\.ge">
                  <c:v>38015</c:v>
                </c:pt>
                <c:pt idx="103" formatCode="[$-411]m\.d\.ge">
                  <c:v>38091</c:v>
                </c:pt>
                <c:pt idx="104" formatCode="[$-411]m\.d\.ge">
                  <c:v>38195</c:v>
                </c:pt>
                <c:pt idx="105" formatCode="[$-411]m\.d\.ge">
                  <c:v>38286</c:v>
                </c:pt>
                <c:pt idx="106" formatCode="[$-411]m\.d\.ge">
                  <c:v>38385</c:v>
                </c:pt>
                <c:pt idx="107" formatCode="[$-411]m\.d\.ge">
                  <c:v>38467</c:v>
                </c:pt>
                <c:pt idx="108" formatCode="[$-411]m\.d\.ge">
                  <c:v>38553</c:v>
                </c:pt>
                <c:pt idx="109" formatCode="[$-411]m\.d\.ge">
                  <c:v>38651</c:v>
                </c:pt>
                <c:pt idx="110" formatCode="[$-411]m\.d\.ge">
                  <c:v>38747</c:v>
                </c:pt>
                <c:pt idx="111" formatCode="[$-411]m\.d\.ge">
                  <c:v>38834</c:v>
                </c:pt>
                <c:pt idx="112" formatCode="[$-411]m\.d\.ge">
                  <c:v>38910</c:v>
                </c:pt>
                <c:pt idx="113" formatCode="[$-411]m\.d\.ge">
                  <c:v>39023</c:v>
                </c:pt>
                <c:pt idx="114" formatCode="[$-411]m\.d\.ge">
                  <c:v>39105</c:v>
                </c:pt>
                <c:pt idx="115" formatCode="[$-411]m\.d\.ge">
                  <c:v>39198</c:v>
                </c:pt>
                <c:pt idx="116" formatCode="[$-411]m\.d\.ge">
                  <c:v>39303</c:v>
                </c:pt>
                <c:pt idx="117" formatCode="[$-411]m\.d\.ge">
                  <c:v>39366</c:v>
                </c:pt>
                <c:pt idx="118" formatCode="[$-411]m\.d\.ge">
                  <c:v>39470</c:v>
                </c:pt>
                <c:pt idx="119" formatCode="[$-411]m\.d\.ge">
                  <c:v>39566</c:v>
                </c:pt>
                <c:pt idx="121" formatCode="0.E+00">
                  <c:v>3.8530217851091534E-308</c:v>
                </c:pt>
                <c:pt idx="122" formatCode="0.E+00">
                  <c:v>3.5370225297279948E-308</c:v>
                </c:pt>
                <c:pt idx="123" formatCode="0.E+00">
                  <c:v>3.2469394344345388E-308</c:v>
                </c:pt>
                <c:pt idx="124" formatCode="0.E+00">
                  <c:v>2.9806470279101202E-308</c:v>
                </c:pt>
                <c:pt idx="125" formatCode="0.E+00">
                  <c:v>2.7361941558776368E-308</c:v>
                </c:pt>
                <c:pt idx="126" formatCode="0.E+00">
                  <c:v>2.5117896847749598E-308</c:v>
                </c:pt>
                <c:pt idx="127" formatCode="0.E+00">
                  <c:v>2.305789377917244E-308</c:v>
                </c:pt>
                <c:pt idx="128" formatCode="0.E+00">
                  <c:v>0</c:v>
                </c:pt>
                <c:pt idx="129" formatCode="0.E+00">
                  <c:v>0</c:v>
                </c:pt>
                <c:pt idx="130" formatCode="0.E+00">
                  <c:v>0</c:v>
                </c:pt>
                <c:pt idx="135" formatCode="[$-411]m\.d\.ge">
                  <c:v>39701</c:v>
                </c:pt>
                <c:pt idx="136" formatCode="[$-411]m\.d\.ge">
                  <c:v>39783</c:v>
                </c:pt>
                <c:pt idx="137" formatCode="[$-411]m\.d\.ge">
                  <c:v>39853</c:v>
                </c:pt>
                <c:pt idx="138" formatCode="[$-411]m\.d\.ge">
                  <c:v>39953</c:v>
                </c:pt>
                <c:pt idx="139" formatCode="[$-411]m\.d\.ge">
                  <c:v>40046</c:v>
                </c:pt>
                <c:pt idx="140" formatCode="[$-411]m\.d\.ge">
                  <c:v>40127</c:v>
                </c:pt>
                <c:pt idx="141" formatCode="[$-411]m\.d\.ge">
                  <c:v>40218</c:v>
                </c:pt>
                <c:pt idx="142" formatCode="[$-411]m\.d\.ge">
                  <c:v>40315</c:v>
                </c:pt>
                <c:pt idx="143" formatCode="[$-411]m\.d\.ge">
                  <c:v>40400</c:v>
                </c:pt>
                <c:pt idx="144" formatCode="[$-411]m\.d\.ge">
                  <c:v>40493</c:v>
                </c:pt>
                <c:pt idx="145" formatCode="[$-411]m\.d\.ge">
                  <c:v>40581</c:v>
                </c:pt>
                <c:pt idx="146" formatCode="[$-411]m\.d\.ge">
                  <c:v>40612</c:v>
                </c:pt>
                <c:pt idx="147" formatCode="[$-411]m\.d\.ge">
                  <c:v>40613</c:v>
                </c:pt>
                <c:pt idx="148" formatCode="[$-411]m\.d\.ge">
                  <c:v>40737</c:v>
                </c:pt>
                <c:pt idx="149" formatCode="[$-411]m\.d\.ge">
                  <c:v>40784</c:v>
                </c:pt>
                <c:pt idx="150" formatCode="[$-411]m\.d\.ge">
                  <c:v>40858</c:v>
                </c:pt>
                <c:pt idx="151" formatCode="[$-411]m\.d\.ge">
                  <c:v>40948</c:v>
                </c:pt>
                <c:pt idx="152" formatCode="[$-411]m\.d\.ge">
                  <c:v>41044</c:v>
                </c:pt>
                <c:pt idx="153" formatCode="[$-411]m\.d\.ge">
                  <c:v>41143</c:v>
                </c:pt>
                <c:pt idx="154" formatCode="[$-411]m\.d\.ge">
                  <c:v>41242</c:v>
                </c:pt>
                <c:pt idx="155" formatCode="[$-411]m\.d\.ge">
                  <c:v>41331</c:v>
                </c:pt>
                <c:pt idx="156" formatCode="[$-411]m\.d\.ge">
                  <c:v>41409</c:v>
                </c:pt>
                <c:pt idx="157" formatCode="[$-411]m\.d\.ge">
                  <c:v>41507</c:v>
                </c:pt>
                <c:pt idx="158" formatCode="[$-411]m\.d\.ge">
                  <c:v>41603</c:v>
                </c:pt>
                <c:pt idx="159" formatCode="[$-411]m\.d\.ge">
                  <c:v>41694</c:v>
                </c:pt>
                <c:pt idx="160" formatCode="[$-411]m\.d\.ge">
                  <c:v>41779</c:v>
                </c:pt>
                <c:pt idx="161" formatCode="[$-411]m\.d\.ge">
                  <c:v>41871</c:v>
                </c:pt>
                <c:pt idx="162" formatCode="[$-411]m\.d\.ge">
                  <c:v>41954</c:v>
                </c:pt>
                <c:pt idx="163" formatCode="[$-411]m\.d\.ge">
                  <c:v>42069</c:v>
                </c:pt>
                <c:pt idx="164" formatCode="[$-411]m\.d\.ge">
                  <c:v>42146</c:v>
                </c:pt>
                <c:pt idx="165" formatCode="[$-411]m\.d\.ge">
                  <c:v>42275</c:v>
                </c:pt>
                <c:pt idx="166" formatCode="[$-411]m\.d\.ge">
                  <c:v>42348</c:v>
                </c:pt>
                <c:pt idx="167" formatCode="[$-411]m\.d\.ge">
                  <c:v>42409</c:v>
                </c:pt>
                <c:pt idx="168" formatCode="[$-411]m\.d\.ge">
                  <c:v>42500</c:v>
                </c:pt>
                <c:pt idx="169" formatCode="[$-411]m\.d\.ge">
                  <c:v>42586</c:v>
                </c:pt>
                <c:pt idx="170" formatCode="[$-411]m\.d\.ge">
                  <c:v>42712</c:v>
                </c:pt>
                <c:pt idx="171" formatCode="[$-411]m\.d\.ge">
                  <c:v>42794</c:v>
                </c:pt>
                <c:pt idx="172" formatCode="[$-411]m\.d\.ge">
                  <c:v>42895</c:v>
                </c:pt>
                <c:pt idx="173" formatCode="[$-411]m\.d\.ge">
                  <c:v>43054</c:v>
                </c:pt>
              </c:numCache>
            </c:numRef>
          </c:cat>
          <c:val>
            <c:numRef>
              <c:f>あらめ!$Y$197:$Y$383</c:f>
              <c:numCache>
                <c:formatCode>0.000</c:formatCode>
                <c:ptCount val="187"/>
                <c:pt idx="8">
                  <c:v>1.0191715006744003E-2</c:v>
                </c:pt>
                <c:pt idx="10">
                  <c:v>9.4074845549530946E-3</c:v>
                </c:pt>
                <c:pt idx="11">
                  <c:v>8.5409304757678248E-3</c:v>
                </c:pt>
                <c:pt idx="12">
                  <c:v>8.0301821555324258E-3</c:v>
                </c:pt>
                <c:pt idx="13">
                  <c:v>7.3714589234114081E-3</c:v>
                </c:pt>
                <c:pt idx="15">
                  <c:v>6.7109533141360622E-3</c:v>
                </c:pt>
                <c:pt idx="16">
                  <c:v>6.1491186613345924E-3</c:v>
                </c:pt>
                <c:pt idx="18">
                  <c:v>5.7073868076211749E-3</c:v>
                </c:pt>
                <c:pt idx="19">
                  <c:v>5.2295697918614183E-3</c:v>
                </c:pt>
                <c:pt idx="20">
                  <c:v>4.7260590562518325E-3</c:v>
                </c:pt>
                <c:pt idx="22">
                  <c:v>4.4108447046720357E-3</c:v>
                </c:pt>
                <c:pt idx="25">
                  <c:v>1.8182664960665264E-2</c:v>
                </c:pt>
                <c:pt idx="27">
                  <c:v>1.6507800399359358E-2</c:v>
                </c:pt>
                <c:pt idx="29">
                  <c:v>1.5209539161662265E-2</c:v>
                </c:pt>
                <c:pt idx="31">
                  <c:v>1.4195107270818911E-2</c:v>
                </c:pt>
                <c:pt idx="33">
                  <c:v>1.2958912026880468E-2</c:v>
                </c:pt>
                <c:pt idx="35">
                  <c:v>1.1797753269463276E-2</c:v>
                </c:pt>
                <c:pt idx="36">
                  <c:v>1.0889941643009183E-2</c:v>
                </c:pt>
                <c:pt idx="37">
                  <c:v>1.0061239656258844E-2</c:v>
                </c:pt>
                <c:pt idx="39">
                  <c:v>9.201968737001574E-3</c:v>
                </c:pt>
                <c:pt idx="40">
                  <c:v>8.4160830603095139E-3</c:v>
                </c:pt>
                <c:pt idx="41">
                  <c:v>7.7899622149521499E-3</c:v>
                </c:pt>
                <c:pt idx="42">
                  <c:v>7.1641191600207458E-3</c:v>
                </c:pt>
                <c:pt idx="44">
                  <c:v>6.5824952157048731E-3</c:v>
                </c:pt>
                <c:pt idx="45">
                  <c:v>6.0203232659007807E-3</c:v>
                </c:pt>
                <c:pt idx="46">
                  <c:v>5.6032930946194699E-3</c:v>
                </c:pt>
                <c:pt idx="47">
                  <c:v>5.0312816809058424E-3</c:v>
                </c:pt>
                <c:pt idx="48">
                  <c:v>4.7653678382924307E-3</c:v>
                </c:pt>
                <c:pt idx="49">
                  <c:v>4.2749596852381796E-3</c:v>
                </c:pt>
                <c:pt idx="50">
                  <c:v>3.9642109641736091E-3</c:v>
                </c:pt>
                <c:pt idx="51">
                  <c:v>3.6457275323221725E-3</c:v>
                </c:pt>
                <c:pt idx="52">
                  <c:v>3.3869465233729982E-3</c:v>
                </c:pt>
                <c:pt idx="53">
                  <c:v>3.0834655977859927E-3</c:v>
                </c:pt>
                <c:pt idx="54">
                  <c:v>2.8305260771914077E-3</c:v>
                </c:pt>
                <c:pt idx="55">
                  <c:v>2.6031225239607778E-3</c:v>
                </c:pt>
                <c:pt idx="56">
                  <c:v>2.4295018457791092E-3</c:v>
                </c:pt>
                <c:pt idx="57">
                  <c:v>2.185505594235962E-3</c:v>
                </c:pt>
                <c:pt idx="58">
                  <c:v>2.0025371366627614E-3</c:v>
                </c:pt>
                <c:pt idx="59">
                  <c:v>1.853556876382311E-3</c:v>
                </c:pt>
                <c:pt idx="60">
                  <c:v>1.7363102685273508E-3</c:v>
                </c:pt>
                <c:pt idx="61">
                  <c:v>1.5953467244572499E-3</c:v>
                </c:pt>
                <c:pt idx="62">
                  <c:v>1.423287020666934E-3</c:v>
                </c:pt>
                <c:pt idx="63">
                  <c:v>1.3308052607473764E-3</c:v>
                </c:pt>
                <c:pt idx="64">
                  <c:v>1.2182697673932287E-3</c:v>
                </c:pt>
                <c:pt idx="65">
                  <c:v>1.1349237739058547E-3</c:v>
                </c:pt>
                <c:pt idx="66">
                  <c:v>1.0171911881191402E-3</c:v>
                </c:pt>
                <c:pt idx="67">
                  <c:v>9.5109655654732745E-4</c:v>
                </c:pt>
                <c:pt idx="68">
                  <c:v>8.7147165400138643E-4</c:v>
                </c:pt>
                <c:pt idx="69">
                  <c:v>8.0589582402432062E-4</c:v>
                </c:pt>
                <c:pt idx="70">
                  <c:v>7.3774769835663865E-4</c:v>
                </c:pt>
                <c:pt idx="71">
                  <c:v>6.7722957573640484E-4</c:v>
                </c:pt>
                <c:pt idx="72">
                  <c:v>6.1882161856408892E-4</c:v>
                </c:pt>
                <c:pt idx="73">
                  <c:v>5.7754802191251878E-4</c:v>
                </c:pt>
                <c:pt idx="74">
                  <c:v>5.0772708416745276E-4</c:v>
                </c:pt>
                <c:pt idx="75" formatCode=".00000">
                  <c:v>4.8802638397679564E-4</c:v>
                </c:pt>
                <c:pt idx="76" formatCode=".00000">
                  <c:v>4.4881850149837719E-4</c:v>
                </c:pt>
                <c:pt idx="77" formatCode=".00000">
                  <c:v>4.1276056766805202E-4</c:v>
                </c:pt>
                <c:pt idx="78" formatCode=".00000">
                  <c:v>3.7473984581087313E-4</c:v>
                </c:pt>
                <c:pt idx="79" formatCode=".00000">
                  <c:v>3.4053459988392728E-4</c:v>
                </c:pt>
                <c:pt idx="80" formatCode=".00000">
                  <c:v>3.1694563360346679E-4</c:v>
                </c:pt>
                <c:pt idx="81" formatCode=".00000">
                  <c:v>2.9717063222933033E-4</c:v>
                </c:pt>
                <c:pt idx="82" formatCode=".00000">
                  <c:v>2.6634330465311366E-4</c:v>
                </c:pt>
                <c:pt idx="83" formatCode=".00000">
                  <c:v>2.4314852914452179E-4</c:v>
                </c:pt>
                <c:pt idx="84" formatCode=".00000">
                  <c:v>2.2797790684161957E-4</c:v>
                </c:pt>
                <c:pt idx="85" formatCode=".00000">
                  <c:v>2.0985528449880158E-4</c:v>
                </c:pt>
                <c:pt idx="86" formatCode=".00000">
                  <c:v>1.9157982523925352E-4</c:v>
                </c:pt>
                <c:pt idx="87" formatCode=".00000">
                  <c:v>1.7393278281458444E-4</c:v>
                </c:pt>
                <c:pt idx="88" formatCode=".00000">
                  <c:v>1.6413471638823698E-4</c:v>
                </c:pt>
                <c:pt idx="89" formatCode=".00000">
                  <c:v>1.5025516403741442E-4</c:v>
                </c:pt>
                <c:pt idx="90" formatCode=".00000">
                  <c:v>1.3780271100302218E-4</c:v>
                </c:pt>
                <c:pt idx="91" formatCode=".00000">
                  <c:v>1.2614984448252532E-4</c:v>
                </c:pt>
                <c:pt idx="92" formatCode=".00000">
                  <c:v>1.1762771061875822E-4</c:v>
                </c:pt>
                <c:pt idx="93" formatCode=".00000">
                  <c:v>1.0738398271673676E-4</c:v>
                </c:pt>
                <c:pt idx="94" formatCode=".00000">
                  <c:v>9.6777320416130476E-5</c:v>
                </c:pt>
                <c:pt idx="95" formatCode=".00000">
                  <c:v>9.0822699591430365E-5</c:v>
                </c:pt>
                <c:pt idx="96" formatCode=".00000">
                  <c:v>8.3449196221390041E-5</c:v>
                </c:pt>
                <c:pt idx="97" formatCode=".00000">
                  <c:v>7.5762418638289545E-5</c:v>
                </c:pt>
                <c:pt idx="98" formatCode=".00000">
                  <c:v>6.9291998955166306E-5</c:v>
                </c:pt>
                <c:pt idx="99" formatCode=".00000">
                  <c:v>6.4908938509328109E-5</c:v>
                </c:pt>
                <c:pt idx="100" formatCode=".00000">
                  <c:v>5.8659409642282208E-5</c:v>
                </c:pt>
                <c:pt idx="101" formatCode=".00000">
                  <c:v>5.4596049159807956E-5</c:v>
                </c:pt>
                <c:pt idx="102" formatCode=".00000">
                  <c:v>4.9795647119155306E-5</c:v>
                </c:pt>
                <c:pt idx="103" formatCode=".00000">
                  <c:v>4.6431670157288078E-5</c:v>
                </c:pt>
                <c:pt idx="104" formatCode=".00000">
                  <c:v>4.219351210101774E-5</c:v>
                </c:pt>
                <c:pt idx="105" formatCode=".00000">
                  <c:v>3.8803698930820163E-5</c:v>
                </c:pt>
                <c:pt idx="106" formatCode=".00000">
                  <c:v>3.5424439644480758E-5</c:v>
                </c:pt>
                <c:pt idx="107" formatCode=".00000">
                  <c:v>3.2849421369580182E-5</c:v>
                </c:pt>
                <c:pt idx="108" formatCode=".00000">
                  <c:v>3.0349648492464213E-5</c:v>
                </c:pt>
                <c:pt idx="109" formatCode=".00000">
                  <c:v>2.7732129953916756E-5</c:v>
                </c:pt>
                <c:pt idx="110" formatCode=".00000">
                  <c:v>2.5387046854100399E-5</c:v>
                </c:pt>
                <c:pt idx="111" formatCode=".00000">
                  <c:v>2.3433568444347604E-5</c:v>
                </c:pt>
                <c:pt idx="112" formatCode=".00000">
                  <c:v>2.1850498659302075E-5</c:v>
                </c:pt>
                <c:pt idx="113" formatCode=".00000">
                  <c:v>1.9692254435948778E-5</c:v>
                </c:pt>
                <c:pt idx="114" formatCode=".00000">
                  <c:v>1.8260815701688911E-5</c:v>
                </c:pt>
                <c:pt idx="115" formatCode=".00000">
                  <c:v>1.6762864184873662E-5</c:v>
                </c:pt>
                <c:pt idx="116" formatCode=".00000">
                  <c:v>1.5218782102848536E-5</c:v>
                </c:pt>
                <c:pt idx="117" formatCode=".00000">
                  <c:v>1.4361470240421919E-5</c:v>
                </c:pt>
                <c:pt idx="118" formatCode=".00000">
                  <c:v>1.3050593836597858E-5</c:v>
                </c:pt>
                <c:pt idx="119" formatCode=".00000">
                  <c:v>1.1947010119817713E-5</c:v>
                </c:pt>
                <c:pt idx="135">
                  <c:v>1.0551153799524615E-5</c:v>
                </c:pt>
                <c:pt idx="136">
                  <c:v>9.784185736578976E-6</c:v>
                </c:pt>
                <c:pt idx="137">
                  <c:v>9.1737268254216057E-6</c:v>
                </c:pt>
                <c:pt idx="138">
                  <c:v>8.3671194307318986E-6</c:v>
                </c:pt>
                <c:pt idx="139">
                  <c:v>7.6807569238543877E-6</c:v>
                </c:pt>
                <c:pt idx="140">
                  <c:v>7.1289973659797955E-6</c:v>
                </c:pt>
                <c:pt idx="141">
                  <c:v>6.556256014095066E-6</c:v>
                </c:pt>
                <c:pt idx="142">
                  <c:v>5.9963249991715642E-6</c:v>
                </c:pt>
                <c:pt idx="143">
                  <c:v>5.5451181391119781E-6</c:v>
                </c:pt>
                <c:pt idx="145">
                  <c:v>4.694241201606538E-6</c:v>
                </c:pt>
                <c:pt idx="148" formatCode="0.00">
                  <c:v>11.05</c:v>
                </c:pt>
                <c:pt idx="149" formatCode="0.00">
                  <c:v>3.95</c:v>
                </c:pt>
                <c:pt idx="150" formatCode="0.00">
                  <c:v>6.42</c:v>
                </c:pt>
                <c:pt idx="151" formatCode="0.00">
                  <c:v>4.5199999999999996</c:v>
                </c:pt>
                <c:pt idx="152" formatCode="0.00">
                  <c:v>2.56</c:v>
                </c:pt>
                <c:pt idx="153" formatCode="0.00">
                  <c:v>0.81</c:v>
                </c:pt>
                <c:pt idx="154" formatCode="0.00">
                  <c:v>0.37</c:v>
                </c:pt>
                <c:pt idx="155" formatCode="&quot;(&quot;0.00&quot;)&quot;">
                  <c:v>6.8000000000000005E-2</c:v>
                </c:pt>
                <c:pt idx="156" formatCode="0.00">
                  <c:v>0.46</c:v>
                </c:pt>
                <c:pt idx="157" formatCode="0.00">
                  <c:v>0.2</c:v>
                </c:pt>
                <c:pt idx="158" formatCode="0.00">
                  <c:v>0.17</c:v>
                </c:pt>
                <c:pt idx="159" formatCode="&quot;(&quot;0.00&quot;)&quot;">
                  <c:v>6.0999999999999999E-2</c:v>
                </c:pt>
                <c:pt idx="160" formatCode="&quot;(&quot;0.00&quot;)&quot;">
                  <c:v>0.05</c:v>
                </c:pt>
                <c:pt idx="161" formatCode="&quot;(&quot;0.00&quot;)&quot;">
                  <c:v>5.3999999999999999E-2</c:v>
                </c:pt>
                <c:pt idx="162">
                  <c:v>5.6759572647783387E-3</c:v>
                </c:pt>
                <c:pt idx="163">
                  <c:v>5.1059176498955243E-3</c:v>
                </c:pt>
                <c:pt idx="164" formatCode="&quot;(&quot;0.00&quot;)&quot;">
                  <c:v>5.0999999999999997E-2</c:v>
                </c:pt>
                <c:pt idx="165">
                  <c:v>4.2241170588719883E-3</c:v>
                </c:pt>
                <c:pt idx="166">
                  <c:v>3.9496441141755262E-3</c:v>
                </c:pt>
                <c:pt idx="167">
                  <c:v>3.7340176398613922E-3</c:v>
                </c:pt>
                <c:pt idx="168">
                  <c:v>3.434027865531921E-3</c:v>
                </c:pt>
                <c:pt idx="169">
                  <c:v>3.1727054628954299E-3</c:v>
                </c:pt>
                <c:pt idx="170">
                  <c:v>2.8253207795366662E-3</c:v>
                </c:pt>
                <c:pt idx="171">
                  <c:v>2.6199469553413479E-3</c:v>
                </c:pt>
                <c:pt idx="172">
                  <c:v>2.3873877691518298E-3</c:v>
                </c:pt>
                <c:pt idx="173">
                  <c:v>2.0623906262525809E-3</c:v>
                </c:pt>
              </c:numCache>
            </c:numRef>
          </c:val>
          <c:smooth val="0"/>
        </c:ser>
        <c:ser>
          <c:idx val="1"/>
          <c:order val="2"/>
          <c:tx>
            <c:strRef>
              <c:f>あらめ!$AS$195</c:f>
              <c:strCache>
                <c:ptCount val="1"/>
                <c:pt idx="0">
                  <c:v>Cs134減衰</c:v>
                </c:pt>
              </c:strCache>
            </c:strRef>
          </c:tx>
          <c:spPr>
            <a:ln w="28575">
              <a:prstDash val="sysDash"/>
            </a:ln>
          </c:spPr>
          <c:marker>
            <c:symbol val="none"/>
          </c:marker>
          <c:cat>
            <c:numRef>
              <c:f>あらめ!$V$197:$V$383</c:f>
              <c:numCache>
                <c:formatCode>0.000000000000000000000000000000E+00</c:formatCode>
                <c:ptCount val="187"/>
                <c:pt idx="5" formatCode="[$-411]m\.d\.ge">
                  <c:v>30252</c:v>
                </c:pt>
                <c:pt idx="7" formatCode="[$-411]m\.d\.ge">
                  <c:v>30340</c:v>
                </c:pt>
                <c:pt idx="8" formatCode="[$-411]m\.d\.ge">
                  <c:v>30607</c:v>
                </c:pt>
                <c:pt idx="10" formatCode="[$-411]m\.d\.ge">
                  <c:v>30694</c:v>
                </c:pt>
                <c:pt idx="11" formatCode="[$-411]m\.d\.ge">
                  <c:v>30799</c:v>
                </c:pt>
                <c:pt idx="12" formatCode="[$-411]m\.d\.ge">
                  <c:v>30866</c:v>
                </c:pt>
                <c:pt idx="13" formatCode="[$-411]m\.d\.ge">
                  <c:v>30959</c:v>
                </c:pt>
                <c:pt idx="15" formatCode="[$-411]m\.d\.ge">
                  <c:v>31061</c:v>
                </c:pt>
                <c:pt idx="16" formatCode="[$-411]m\.d\.ge">
                  <c:v>31156</c:v>
                </c:pt>
                <c:pt idx="18" formatCode="[$-411]m\.d\.ge">
                  <c:v>31237</c:v>
                </c:pt>
                <c:pt idx="19" formatCode="[$-411]m\.d\.ge">
                  <c:v>31332</c:v>
                </c:pt>
                <c:pt idx="20" formatCode="[$-411]m\.d\.ge">
                  <c:v>31442</c:v>
                </c:pt>
                <c:pt idx="22" formatCode="[$-411]m\.d\.ge">
                  <c:v>31517</c:v>
                </c:pt>
                <c:pt idx="24" formatCode="[$-411]m\.d\.ge">
                  <c:v>31528</c:v>
                </c:pt>
                <c:pt idx="25" formatCode="[$-411]m\.d\.ge">
                  <c:v>31604</c:v>
                </c:pt>
                <c:pt idx="27" formatCode="[$-411]m\.d\.ge">
                  <c:v>31709</c:v>
                </c:pt>
                <c:pt idx="29" formatCode="[$-411]m\.d\.ge">
                  <c:v>31798</c:v>
                </c:pt>
                <c:pt idx="31" formatCode="[$-411]m\.d\.ge">
                  <c:v>31873</c:v>
                </c:pt>
                <c:pt idx="33" formatCode="[$-411]m\.d\.ge">
                  <c:v>31972</c:v>
                </c:pt>
                <c:pt idx="35" formatCode="[$-411]m\.d\.ge">
                  <c:v>32074</c:v>
                </c:pt>
                <c:pt idx="36" formatCode="[$-411]m\.d\.ge">
                  <c:v>32161</c:v>
                </c:pt>
                <c:pt idx="37" formatCode="[$-411]m\.d\.ge">
                  <c:v>32247</c:v>
                </c:pt>
                <c:pt idx="39" formatCode="[$-411]m\.d\.ge">
                  <c:v>32344</c:v>
                </c:pt>
                <c:pt idx="40" formatCode="[$-411]m\.d\.ge">
                  <c:v>32441</c:v>
                </c:pt>
                <c:pt idx="41" formatCode="[$-411]m\.d\.ge">
                  <c:v>32525</c:v>
                </c:pt>
                <c:pt idx="42" formatCode="[$-411]m\.d\.ge">
                  <c:v>32616</c:v>
                </c:pt>
                <c:pt idx="44" formatCode="[$-411]m\.d\.ge">
                  <c:v>32708</c:v>
                </c:pt>
                <c:pt idx="45" formatCode="[$-411]m\.d\.ge">
                  <c:v>32805</c:v>
                </c:pt>
                <c:pt idx="46" formatCode="[$-411]m\.d\.ge">
                  <c:v>32883</c:v>
                </c:pt>
                <c:pt idx="47" formatCode="[$-411]m\.d\.ge">
                  <c:v>33000</c:v>
                </c:pt>
                <c:pt idx="48" formatCode="[$-411]m\.d\.ge">
                  <c:v>33059</c:v>
                </c:pt>
                <c:pt idx="49" formatCode="[$-411]m\.d\.ge">
                  <c:v>33177</c:v>
                </c:pt>
                <c:pt idx="50" formatCode="[$-411]m\.d\.ge">
                  <c:v>33259</c:v>
                </c:pt>
                <c:pt idx="51" formatCode="[$-411]m\.d\.ge">
                  <c:v>33350</c:v>
                </c:pt>
                <c:pt idx="52" formatCode="[$-411]m\.d\.ge">
                  <c:v>33430</c:v>
                </c:pt>
                <c:pt idx="53" formatCode="[$-411]m\.d\.ge">
                  <c:v>33532</c:v>
                </c:pt>
                <c:pt idx="54" formatCode="[$-411]m\.d\.ge">
                  <c:v>33625</c:v>
                </c:pt>
                <c:pt idx="55" formatCode="[$-411]m\.d\.ge">
                  <c:v>33716</c:v>
                </c:pt>
                <c:pt idx="56" formatCode="[$-411]m\.d\.ge">
                  <c:v>33791</c:v>
                </c:pt>
                <c:pt idx="57" formatCode="[$-411]m\.d\.ge">
                  <c:v>33906</c:v>
                </c:pt>
                <c:pt idx="58" formatCode="[$-411]m\.d\.ge">
                  <c:v>34001</c:v>
                </c:pt>
                <c:pt idx="59" formatCode="[$-411]m\.d\.ge">
                  <c:v>34085</c:v>
                </c:pt>
                <c:pt idx="60" formatCode="[$-411]m\.d\.ge">
                  <c:v>34156</c:v>
                </c:pt>
                <c:pt idx="61" formatCode="[$-411]m\.d\.ge">
                  <c:v>34248</c:v>
                </c:pt>
                <c:pt idx="62" formatCode="[$-411]m\.d\.ge">
                  <c:v>34372</c:v>
                </c:pt>
                <c:pt idx="63" formatCode="[$-411]m\.d\.ge">
                  <c:v>34445</c:v>
                </c:pt>
                <c:pt idx="64" formatCode="[$-411]m\.d\.ge">
                  <c:v>34541</c:v>
                </c:pt>
                <c:pt idx="65" formatCode="[$-411]m\.d\.ge">
                  <c:v>34618</c:v>
                </c:pt>
                <c:pt idx="66" formatCode="[$-411]m\.d\.ge">
                  <c:v>34737</c:v>
                </c:pt>
                <c:pt idx="67" formatCode="[$-411]m\.d\.ge">
                  <c:v>34810</c:v>
                </c:pt>
                <c:pt idx="68" formatCode="[$-411]m\.d\.ge">
                  <c:v>34905</c:v>
                </c:pt>
                <c:pt idx="69" formatCode="[$-411]m\.d\.ge">
                  <c:v>34990</c:v>
                </c:pt>
                <c:pt idx="70" formatCode="[$-411]m\.d\.ge">
                  <c:v>35086</c:v>
                </c:pt>
                <c:pt idx="71" formatCode="[$-411]m\.d\.ge">
                  <c:v>35179</c:v>
                </c:pt>
                <c:pt idx="72" formatCode="[$-411]m\.d\.ge">
                  <c:v>35277</c:v>
                </c:pt>
                <c:pt idx="73" formatCode="[$-411]m\.d\.ge">
                  <c:v>35352</c:v>
                </c:pt>
                <c:pt idx="74" formatCode="[$-411]m\.d\.ge">
                  <c:v>35492</c:v>
                </c:pt>
                <c:pt idx="75" formatCode="[$-411]m\.d\.ge">
                  <c:v>35535</c:v>
                </c:pt>
                <c:pt idx="76" formatCode="[$-411]m\.d\.ge">
                  <c:v>35626</c:v>
                </c:pt>
                <c:pt idx="77" formatCode="[$-411]m\.d\.ge">
                  <c:v>35717</c:v>
                </c:pt>
                <c:pt idx="78" formatCode="[$-411]m\.d\.ge">
                  <c:v>35822</c:v>
                </c:pt>
                <c:pt idx="79" formatCode="[$-411]m\.d\.ge">
                  <c:v>35926</c:v>
                </c:pt>
                <c:pt idx="80" formatCode="[$-411]m\.d\.ge">
                  <c:v>36004</c:v>
                </c:pt>
                <c:pt idx="81" formatCode="[$-411]m\.d\.ge">
                  <c:v>36074</c:v>
                </c:pt>
                <c:pt idx="82" formatCode="[$-411]m\.d\.ge">
                  <c:v>36193</c:v>
                </c:pt>
                <c:pt idx="83" formatCode="[$-411]m\.d\.ge">
                  <c:v>36292</c:v>
                </c:pt>
                <c:pt idx="84" formatCode="[$-411]m\.d\.ge">
                  <c:v>36362</c:v>
                </c:pt>
                <c:pt idx="85" formatCode="[$-411]m\.d\.ge">
                  <c:v>36452</c:v>
                </c:pt>
                <c:pt idx="86" formatCode="[$-411]m\.d\.ge">
                  <c:v>36551</c:v>
                </c:pt>
                <c:pt idx="87" formatCode="[$-411]m\.d\.ge">
                  <c:v>36656</c:v>
                </c:pt>
                <c:pt idx="88" formatCode="[$-411]m\.d\.ge">
                  <c:v>36719</c:v>
                </c:pt>
                <c:pt idx="89" formatCode="[$-411]m\.d\.ge">
                  <c:v>36815</c:v>
                </c:pt>
                <c:pt idx="90" formatCode="[$-411]m\.d\.ge">
                  <c:v>36909</c:v>
                </c:pt>
                <c:pt idx="91" formatCode="[$-411]m\.d\.ge">
                  <c:v>37005</c:v>
                </c:pt>
                <c:pt idx="92" formatCode="[$-411]m\.d\.ge">
                  <c:v>37081</c:v>
                </c:pt>
                <c:pt idx="93" formatCode="[$-411]m\.d\.ge">
                  <c:v>37180</c:v>
                </c:pt>
                <c:pt idx="94" formatCode="[$-411]m\.d\.ge">
                  <c:v>37293</c:v>
                </c:pt>
                <c:pt idx="95" formatCode="[$-411]m\.d\.ge">
                  <c:v>37362</c:v>
                </c:pt>
                <c:pt idx="96" formatCode="[$-411]m\.d\.ge">
                  <c:v>37454</c:v>
                </c:pt>
                <c:pt idx="97" formatCode="[$-411]m\.d\.ge">
                  <c:v>37559</c:v>
                </c:pt>
                <c:pt idx="98" formatCode="[$-411]m\.d\.ge">
                  <c:v>37656</c:v>
                </c:pt>
                <c:pt idx="99" formatCode="[$-411]m\.d\.ge">
                  <c:v>37727</c:v>
                </c:pt>
                <c:pt idx="100" formatCode="[$-411]m\.d\.ge">
                  <c:v>37837</c:v>
                </c:pt>
                <c:pt idx="101" formatCode="[$-411]m\.d\.ge">
                  <c:v>37915</c:v>
                </c:pt>
                <c:pt idx="102" formatCode="[$-411]m\.d\.ge">
                  <c:v>38015</c:v>
                </c:pt>
                <c:pt idx="103" formatCode="[$-411]m\.d\.ge">
                  <c:v>38091</c:v>
                </c:pt>
                <c:pt idx="104" formatCode="[$-411]m\.d\.ge">
                  <c:v>38195</c:v>
                </c:pt>
                <c:pt idx="105" formatCode="[$-411]m\.d\.ge">
                  <c:v>38286</c:v>
                </c:pt>
                <c:pt idx="106" formatCode="[$-411]m\.d\.ge">
                  <c:v>38385</c:v>
                </c:pt>
                <c:pt idx="107" formatCode="[$-411]m\.d\.ge">
                  <c:v>38467</c:v>
                </c:pt>
                <c:pt idx="108" formatCode="[$-411]m\.d\.ge">
                  <c:v>38553</c:v>
                </c:pt>
                <c:pt idx="109" formatCode="[$-411]m\.d\.ge">
                  <c:v>38651</c:v>
                </c:pt>
                <c:pt idx="110" formatCode="[$-411]m\.d\.ge">
                  <c:v>38747</c:v>
                </c:pt>
                <c:pt idx="111" formatCode="[$-411]m\.d\.ge">
                  <c:v>38834</c:v>
                </c:pt>
                <c:pt idx="112" formatCode="[$-411]m\.d\.ge">
                  <c:v>38910</c:v>
                </c:pt>
                <c:pt idx="113" formatCode="[$-411]m\.d\.ge">
                  <c:v>39023</c:v>
                </c:pt>
                <c:pt idx="114" formatCode="[$-411]m\.d\.ge">
                  <c:v>39105</c:v>
                </c:pt>
                <c:pt idx="115" formatCode="[$-411]m\.d\.ge">
                  <c:v>39198</c:v>
                </c:pt>
                <c:pt idx="116" formatCode="[$-411]m\.d\.ge">
                  <c:v>39303</c:v>
                </c:pt>
                <c:pt idx="117" formatCode="[$-411]m\.d\.ge">
                  <c:v>39366</c:v>
                </c:pt>
                <c:pt idx="118" formatCode="[$-411]m\.d\.ge">
                  <c:v>39470</c:v>
                </c:pt>
                <c:pt idx="119" formatCode="[$-411]m\.d\.ge">
                  <c:v>39566</c:v>
                </c:pt>
                <c:pt idx="121" formatCode="0.E+00">
                  <c:v>3.8530217851091534E-308</c:v>
                </c:pt>
                <c:pt idx="122" formatCode="0.E+00">
                  <c:v>3.5370225297279948E-308</c:v>
                </c:pt>
                <c:pt idx="123" formatCode="0.E+00">
                  <c:v>3.2469394344345388E-308</c:v>
                </c:pt>
                <c:pt idx="124" formatCode="0.E+00">
                  <c:v>2.9806470279101202E-308</c:v>
                </c:pt>
                <c:pt idx="125" formatCode="0.E+00">
                  <c:v>2.7361941558776368E-308</c:v>
                </c:pt>
                <c:pt idx="126" formatCode="0.E+00">
                  <c:v>2.5117896847749598E-308</c:v>
                </c:pt>
                <c:pt idx="127" formatCode="0.E+00">
                  <c:v>2.305789377917244E-308</c:v>
                </c:pt>
                <c:pt idx="128" formatCode="0.E+00">
                  <c:v>0</c:v>
                </c:pt>
                <c:pt idx="129" formatCode="0.E+00">
                  <c:v>0</c:v>
                </c:pt>
                <c:pt idx="130" formatCode="0.E+00">
                  <c:v>0</c:v>
                </c:pt>
                <c:pt idx="135" formatCode="[$-411]m\.d\.ge">
                  <c:v>39701</c:v>
                </c:pt>
                <c:pt idx="136" formatCode="[$-411]m\.d\.ge">
                  <c:v>39783</c:v>
                </c:pt>
                <c:pt idx="137" formatCode="[$-411]m\.d\.ge">
                  <c:v>39853</c:v>
                </c:pt>
                <c:pt idx="138" formatCode="[$-411]m\.d\.ge">
                  <c:v>39953</c:v>
                </c:pt>
                <c:pt idx="139" formatCode="[$-411]m\.d\.ge">
                  <c:v>40046</c:v>
                </c:pt>
                <c:pt idx="140" formatCode="[$-411]m\.d\.ge">
                  <c:v>40127</c:v>
                </c:pt>
                <c:pt idx="141" formatCode="[$-411]m\.d\.ge">
                  <c:v>40218</c:v>
                </c:pt>
                <c:pt idx="142" formatCode="[$-411]m\.d\.ge">
                  <c:v>40315</c:v>
                </c:pt>
                <c:pt idx="143" formatCode="[$-411]m\.d\.ge">
                  <c:v>40400</c:v>
                </c:pt>
                <c:pt idx="144" formatCode="[$-411]m\.d\.ge">
                  <c:v>40493</c:v>
                </c:pt>
                <c:pt idx="145" formatCode="[$-411]m\.d\.ge">
                  <c:v>40581</c:v>
                </c:pt>
                <c:pt idx="146" formatCode="[$-411]m\.d\.ge">
                  <c:v>40612</c:v>
                </c:pt>
                <c:pt idx="147" formatCode="[$-411]m\.d\.ge">
                  <c:v>40613</c:v>
                </c:pt>
                <c:pt idx="148" formatCode="[$-411]m\.d\.ge">
                  <c:v>40737</c:v>
                </c:pt>
                <c:pt idx="149" formatCode="[$-411]m\.d\.ge">
                  <c:v>40784</c:v>
                </c:pt>
                <c:pt idx="150" formatCode="[$-411]m\.d\.ge">
                  <c:v>40858</c:v>
                </c:pt>
                <c:pt idx="151" formatCode="[$-411]m\.d\.ge">
                  <c:v>40948</c:v>
                </c:pt>
                <c:pt idx="152" formatCode="[$-411]m\.d\.ge">
                  <c:v>41044</c:v>
                </c:pt>
                <c:pt idx="153" formatCode="[$-411]m\.d\.ge">
                  <c:v>41143</c:v>
                </c:pt>
                <c:pt idx="154" formatCode="[$-411]m\.d\.ge">
                  <c:v>41242</c:v>
                </c:pt>
                <c:pt idx="155" formatCode="[$-411]m\.d\.ge">
                  <c:v>41331</c:v>
                </c:pt>
                <c:pt idx="156" formatCode="[$-411]m\.d\.ge">
                  <c:v>41409</c:v>
                </c:pt>
                <c:pt idx="157" formatCode="[$-411]m\.d\.ge">
                  <c:v>41507</c:v>
                </c:pt>
                <c:pt idx="158" formatCode="[$-411]m\.d\.ge">
                  <c:v>41603</c:v>
                </c:pt>
                <c:pt idx="159" formatCode="[$-411]m\.d\.ge">
                  <c:v>41694</c:v>
                </c:pt>
                <c:pt idx="160" formatCode="[$-411]m\.d\.ge">
                  <c:v>41779</c:v>
                </c:pt>
                <c:pt idx="161" formatCode="[$-411]m\.d\.ge">
                  <c:v>41871</c:v>
                </c:pt>
                <c:pt idx="162" formatCode="[$-411]m\.d\.ge">
                  <c:v>41954</c:v>
                </c:pt>
                <c:pt idx="163" formatCode="[$-411]m\.d\.ge">
                  <c:v>42069</c:v>
                </c:pt>
                <c:pt idx="164" formatCode="[$-411]m\.d\.ge">
                  <c:v>42146</c:v>
                </c:pt>
                <c:pt idx="165" formatCode="[$-411]m\.d\.ge">
                  <c:v>42275</c:v>
                </c:pt>
                <c:pt idx="166" formatCode="[$-411]m\.d\.ge">
                  <c:v>42348</c:v>
                </c:pt>
                <c:pt idx="167" formatCode="[$-411]m\.d\.ge">
                  <c:v>42409</c:v>
                </c:pt>
                <c:pt idx="168" formatCode="[$-411]m\.d\.ge">
                  <c:v>42500</c:v>
                </c:pt>
                <c:pt idx="169" formatCode="[$-411]m\.d\.ge">
                  <c:v>42586</c:v>
                </c:pt>
                <c:pt idx="170" formatCode="[$-411]m\.d\.ge">
                  <c:v>42712</c:v>
                </c:pt>
                <c:pt idx="171" formatCode="[$-411]m\.d\.ge">
                  <c:v>42794</c:v>
                </c:pt>
                <c:pt idx="172" formatCode="[$-411]m\.d\.ge">
                  <c:v>42895</c:v>
                </c:pt>
                <c:pt idx="173" formatCode="[$-411]m\.d\.ge">
                  <c:v>43054</c:v>
                </c:pt>
              </c:numCache>
            </c:numRef>
          </c:cat>
          <c:val>
            <c:numRef>
              <c:f>あらめ!$AS$197:$AS$383</c:f>
              <c:numCache>
                <c:formatCode>0.00</c:formatCode>
                <c:ptCount val="187"/>
                <c:pt idx="0">
                  <c:v>1</c:v>
                </c:pt>
                <c:pt idx="1">
                  <c:v>0.97366318143282227</c:v>
                </c:pt>
                <c:pt idx="2">
                  <c:v>0.92135468043656032</c:v>
                </c:pt>
                <c:pt idx="3">
                  <c:v>0.87346265574276438</c:v>
                </c:pt>
                <c:pt idx="4">
                  <c:v>0.84189204820149544</c:v>
                </c:pt>
                <c:pt idx="5">
                  <c:v>0.73063901785071617</c:v>
                </c:pt>
                <c:pt idx="6">
                  <c:v>0.71139631059948094</c:v>
                </c:pt>
                <c:pt idx="7">
                  <c:v>0.63117650222571675</c:v>
                </c:pt>
                <c:pt idx="8">
                  <c:v>0.5289428344376752</c:v>
                </c:pt>
                <c:pt idx="9">
                  <c:v>0.50283480238387046</c:v>
                </c:pt>
                <c:pt idx="10">
                  <c:v>0.46542602810163175</c:v>
                </c:pt>
                <c:pt idx="11">
                  <c:v>0.43278728867058358</c:v>
                </c:pt>
                <c:pt idx="12">
                  <c:v>0.39875059405009095</c:v>
                </c:pt>
                <c:pt idx="13">
                  <c:v>0.36604071586359344</c:v>
                </c:pt>
                <c:pt idx="14">
                  <c:v>0.34415145200697755</c:v>
                </c:pt>
                <c:pt idx="15">
                  <c:v>0.33725332679127085</c:v>
                </c:pt>
                <c:pt idx="16">
                  <c:v>0.31592039168800445</c:v>
                </c:pt>
                <c:pt idx="17">
                  <c:v>0.30845051659737643</c:v>
                </c:pt>
                <c:pt idx="18">
                  <c:v>0.28340874913337516</c:v>
                </c:pt>
                <c:pt idx="19">
                  <c:v>0.260879769021444</c:v>
                </c:pt>
                <c:pt idx="20">
                  <c:v>0.24236200288470935</c:v>
                </c:pt>
                <c:pt idx="21">
                  <c:v>0.23684928279508938</c:v>
                </c:pt>
                <c:pt idx="23">
                  <c:v>1</c:v>
                </c:pt>
                <c:pt idx="24">
                  <c:v>0.97725418991424029</c:v>
                </c:pt>
                <c:pt idx="25">
                  <c:v>0.95678526635600847</c:v>
                </c:pt>
                <c:pt idx="26">
                  <c:v>0.89214902243344496</c:v>
                </c:pt>
                <c:pt idx="27">
                  <c:v>0.88153858332984936</c:v>
                </c:pt>
                <c:pt idx="28">
                  <c:v>0.83648569637977754</c:v>
                </c:pt>
                <c:pt idx="29">
                  <c:v>0.80550990758147323</c:v>
                </c:pt>
                <c:pt idx="30">
                  <c:v>0.77997636726473152</c:v>
                </c:pt>
                <c:pt idx="31">
                  <c:v>0.76083343317861185</c:v>
                </c:pt>
                <c:pt idx="32">
                  <c:v>0.72062178242308228</c:v>
                </c:pt>
                <c:pt idx="33">
                  <c:v>0.70487908583046455</c:v>
                </c:pt>
                <c:pt idx="34">
                  <c:v>0.64231060282032415</c:v>
                </c:pt>
                <c:pt idx="35">
                  <c:v>0.59179588020253415</c:v>
                </c:pt>
                <c:pt idx="36">
                  <c:v>0.53580222791876941</c:v>
                </c:pt>
                <c:pt idx="37">
                  <c:v>0.51596100801327405</c:v>
                </c:pt>
                <c:pt idx="38">
                  <c:v>0.49914616848606091</c:v>
                </c:pt>
                <c:pt idx="39">
                  <c:v>0.46328919866277196</c:v>
                </c:pt>
                <c:pt idx="40">
                  <c:v>0.41446577500222781</c:v>
                </c:pt>
                <c:pt idx="41">
                  <c:v>0.39147801356879541</c:v>
                </c:pt>
                <c:pt idx="42">
                  <c:v>0.36739072615491003</c:v>
                </c:pt>
                <c:pt idx="43">
                  <c:v>0.35804419387253039</c:v>
                </c:pt>
                <c:pt idx="44">
                  <c:v>0.33324233109837276</c:v>
                </c:pt>
                <c:pt idx="45">
                  <c:v>0.30060344124774313</c:v>
                </c:pt>
                <c:pt idx="46">
                  <c:v>0.27316516707085053</c:v>
                </c:pt>
                <c:pt idx="47">
                  <c:v>0.25447700551170727</c:v>
                </c:pt>
                <c:pt idx="48">
                  <c:v>0.23816079102773527</c:v>
                </c:pt>
                <c:pt idx="49">
                  <c:v>0.2122794578021488</c:v>
                </c:pt>
                <c:pt idx="50">
                  <c:v>0.19522499454492301</c:v>
                </c:pt>
                <c:pt idx="51">
                  <c:v>0.18220405694444108</c:v>
                </c:pt>
                <c:pt idx="52">
                  <c:v>0.16864884873842814</c:v>
                </c:pt>
                <c:pt idx="53">
                  <c:v>0.15410365596009556</c:v>
                </c:pt>
                <c:pt idx="54">
                  <c:v>0.14237668716209437</c:v>
                </c:pt>
                <c:pt idx="55">
                  <c:v>0.1311794271018476</c:v>
                </c:pt>
                <c:pt idx="56">
                  <c:v>0.1206405141859425</c:v>
                </c:pt>
                <c:pt idx="57">
                  <c:v>0.10932650271777722</c:v>
                </c:pt>
                <c:pt idx="58">
                  <c:v>0.10259974207824202</c:v>
                </c:pt>
                <c:pt idx="59">
                  <c:v>9.2977645667786782E-2</c:v>
                </c:pt>
                <c:pt idx="60">
                  <c:v>8.5429191517514727E-2</c:v>
                </c:pt>
                <c:pt idx="61">
                  <c:v>7.8133189987425439E-2</c:v>
                </c:pt>
                <c:pt idx="62">
                  <c:v>7.2054664537772484E-2</c:v>
                </c:pt>
                <c:pt idx="63">
                  <c:v>6.6204857009627596E-2</c:v>
                </c:pt>
                <c:pt idx="64">
                  <c:v>6.1618820406782675E-2</c:v>
                </c:pt>
                <c:pt idx="65">
                  <c:v>5.6200935490650687E-2</c:v>
                </c:pt>
                <c:pt idx="66">
                  <c:v>5.1165157156432182E-2</c:v>
                </c:pt>
                <c:pt idx="67">
                  <c:v>4.72715947501407E-2</c:v>
                </c:pt>
                <c:pt idx="68">
                  <c:v>4.4118717287131147E-2</c:v>
                </c:pt>
                <c:pt idx="69">
                  <c:v>4.0239543175535693E-2</c:v>
                </c:pt>
                <c:pt idx="70">
                  <c:v>3.7348870710344942E-2</c:v>
                </c:pt>
                <c:pt idx="71">
                  <c:v>3.3908544438432817E-2</c:v>
                </c:pt>
                <c:pt idx="72">
                  <c:v>3.1501648348700548E-2</c:v>
                </c:pt>
                <c:pt idx="73">
                  <c:v>2.8494835783124568E-2</c:v>
                </c:pt>
                <c:pt idx="74">
                  <c:v>2.6278023894101738E-2</c:v>
                </c:pt>
                <c:pt idx="75">
                  <c:v>2.4390299677677571E-2</c:v>
                </c:pt>
                <c:pt idx="76">
                  <c:v>2.2430790858537063E-2</c:v>
                </c:pt>
                <c:pt idx="77">
                  <c:v>2.0458545323047986E-2</c:v>
                </c:pt>
                <c:pt idx="78">
                  <c:v>1.8471758123401575E-2</c:v>
                </c:pt>
                <c:pt idx="79">
                  <c:v>1.7447248032080902E-2</c:v>
                </c:pt>
                <c:pt idx="80">
                  <c:v>1.5942502592213723E-2</c:v>
                </c:pt>
                <c:pt idx="81">
                  <c:v>1.4702224193833664E-2</c:v>
                </c:pt>
                <c:pt idx="82">
                  <c:v>1.3409519170149136E-2</c:v>
                </c:pt>
                <c:pt idx="83">
                  <c:v>1.2332202719692006E-2</c:v>
                </c:pt>
                <c:pt idx="84">
                  <c:v>1.1467387417418025E-2</c:v>
                </c:pt>
                <c:pt idx="85">
                  <c:v>1.0459108049099688E-2</c:v>
                </c:pt>
                <c:pt idx="86">
                  <c:v>9.5570577593908305E-3</c:v>
                </c:pt>
                <c:pt idx="87">
                  <c:v>8.7650130156497631E-3</c:v>
                </c:pt>
                <c:pt idx="88">
                  <c:v>8.195483597033067E-3</c:v>
                </c:pt>
                <c:pt idx="89">
                  <c:v>7.5024574894040717E-3</c:v>
                </c:pt>
                <c:pt idx="90">
                  <c:v>6.880688513090788E-3</c:v>
                </c:pt>
                <c:pt idx="91">
                  <c:v>6.3337227079001239E-3</c:v>
                </c:pt>
                <c:pt idx="92">
                  <c:v>5.6558274088651557E-3</c:v>
                </c:pt>
                <c:pt idx="93">
                  <c:v>5.3865678591527352E-3</c:v>
                </c:pt>
                <c:pt idx="94">
                  <c:v>4.876909685112933E-3</c:v>
                </c:pt>
                <c:pt idx="95">
                  <c:v>4.4851003320332409E-3</c:v>
                </c:pt>
                <c:pt idx="96">
                  <c:v>4.1171834243117281E-3</c:v>
                </c:pt>
                <c:pt idx="97">
                  <c:v>3.8567512808107486E-3</c:v>
                </c:pt>
                <c:pt idx="98">
                  <c:v>3.4155563089834917E-3</c:v>
                </c:pt>
                <c:pt idx="99">
                  <c:v>3.1965622619284403E-3</c:v>
                </c:pt>
                <c:pt idx="100">
                  <c:v>2.9998806827063215E-3</c:v>
                </c:pt>
                <c:pt idx="101">
                  <c:v>2.7588712350236312E-3</c:v>
                </c:pt>
                <c:pt idx="102">
                  <c:v>2.5372244087302452E-3</c:v>
                </c:pt>
                <c:pt idx="103">
                  <c:v>2.3312380990028205E-3</c:v>
                </c:pt>
                <c:pt idx="104">
                  <c:v>2.1498748381879257E-3</c:v>
                </c:pt>
                <c:pt idx="105">
                  <c:v>1.9536400412363268E-3</c:v>
                </c:pt>
                <c:pt idx="106">
                  <c:v>1.7950324300036282E-3</c:v>
                </c:pt>
                <c:pt idx="107">
                  <c:v>1.6372027431923229E-3</c:v>
                </c:pt>
                <c:pt idx="108">
                  <c:v>1.5001376807891164E-3</c:v>
                </c:pt>
                <c:pt idx="109">
                  <c:v>1.3847053271199502E-3</c:v>
                </c:pt>
                <c:pt idx="110">
                  <c:v>1.2769794481110018E-3</c:v>
                </c:pt>
                <c:pt idx="111">
                  <c:v>1.1808902789578293E-3</c:v>
                </c:pt>
                <c:pt idx="112">
                  <c:v>1.0980784726031883E-3</c:v>
                </c:pt>
                <c:pt idx="113">
                  <c:v>9.841680753159914E-4</c:v>
                </c:pt>
                <c:pt idx="114">
                  <c:v>9.2276345894540084E-4</c:v>
                </c:pt>
                <c:pt idx="115">
                  <c:v>8.4473277769960865E-4</c:v>
                </c:pt>
                <c:pt idx="116">
                  <c:v>7.6975020336583246E-4</c:v>
                </c:pt>
                <c:pt idx="117">
                  <c:v>7.0530744568177378E-4</c:v>
                </c:pt>
                <c:pt idx="118">
                  <c:v>6.5163501100151038E-4</c:v>
                </c:pt>
                <c:pt idx="119">
                  <c:v>6.0761338880409668E-4</c:v>
                </c:pt>
                <c:pt idx="135">
                  <c:v>5.4158302116841196E-4</c:v>
                </c:pt>
                <c:pt idx="136">
                  <c:v>5.0685852919911791E-4</c:v>
                </c:pt>
                <c:pt idx="137">
                  <c:v>4.7001475725591692E-4</c:v>
                </c:pt>
                <c:pt idx="138">
                  <c:v>4.3225392306608191E-4</c:v>
                </c:pt>
                <c:pt idx="139">
                  <c:v>4.000960665216845E-4</c:v>
                </c:pt>
                <c:pt idx="140">
                  <c:v>3.655896085117844E-4</c:v>
                </c:pt>
                <c:pt idx="141">
                  <c:v>3.3652783450347922E-4</c:v>
                </c:pt>
                <c:pt idx="142">
                  <c:v>3.0750384611136228E-4</c:v>
                </c:pt>
                <c:pt idx="143">
                  <c:v>2.8462686560889084E-4</c:v>
                </c:pt>
                <c:pt idx="144">
                  <c:v>2.610383074450037E-4</c:v>
                </c:pt>
                <c:pt idx="145">
                  <c:v>2.4073031803110452E-4</c:v>
                </c:pt>
                <c:pt idx="147">
                  <c:v>1</c:v>
                </c:pt>
                <c:pt idx="148">
                  <c:v>0.89214902243344496</c:v>
                </c:pt>
                <c:pt idx="149">
                  <c:v>0.85438099888789665</c:v>
                </c:pt>
                <c:pt idx="150">
                  <c:v>0.79592987822895134</c:v>
                </c:pt>
                <c:pt idx="151">
                  <c:v>0.73671607477302803</c:v>
                </c:pt>
                <c:pt idx="152">
                  <c:v>0.67132158636452921</c:v>
                </c:pt>
                <c:pt idx="153">
                  <c:v>0.62252292164116974</c:v>
                </c:pt>
                <c:pt idx="154">
                  <c:v>0.56466038688848519</c:v>
                </c:pt>
                <c:pt idx="155">
                  <c:v>0.52699918638351062</c:v>
                </c:pt>
                <c:pt idx="156">
                  <c:v>0.48022018513005982</c:v>
                </c:pt>
                <c:pt idx="157">
                  <c:v>0.44286050971913782</c:v>
                </c:pt>
                <c:pt idx="158">
                  <c:v>0.40615827899453316</c:v>
                </c:pt>
                <c:pt idx="159">
                  <c:v>0.36976523600035771</c:v>
                </c:pt>
                <c:pt idx="160">
                  <c:v>0.34605712576396636</c:v>
                </c:pt>
                <c:pt idx="161">
                  <c:v>0.31854804523004304</c:v>
                </c:pt>
                <c:pt idx="162">
                  <c:v>0.29080696719755916</c:v>
                </c:pt>
                <c:pt idx="163">
                  <c:v>0.26719760343378113</c:v>
                </c:pt>
                <c:pt idx="164">
                  <c:v>0.24641043945366078</c:v>
                </c:pt>
                <c:pt idx="165">
                  <c:v>0.22765911576200804</c:v>
                </c:pt>
                <c:pt idx="166">
                  <c:v>0.20706949011710929</c:v>
                </c:pt>
                <c:pt idx="167">
                  <c:v>0.19254841324562727</c:v>
                </c:pt>
                <c:pt idx="168">
                  <c:v>0.17610399310420108</c:v>
                </c:pt>
                <c:pt idx="169">
                  <c:v>0.15958845840994665</c:v>
                </c:pt>
                <c:pt idx="170">
                  <c:v>0.14908151629201583</c:v>
                </c:pt>
                <c:pt idx="171">
                  <c:v>0.13609860197630813</c:v>
                </c:pt>
                <c:pt idx="172">
                  <c:v>0.12493430840929112</c:v>
                </c:pt>
                <c:pt idx="173">
                  <c:v>0.10654520309798091</c:v>
                </c:pt>
              </c:numCache>
            </c:numRef>
          </c:val>
          <c:smooth val="0"/>
        </c:ser>
        <c:dLbls>
          <c:showLegendKey val="0"/>
          <c:showVal val="0"/>
          <c:showCatName val="0"/>
          <c:showSerName val="0"/>
          <c:showPercent val="0"/>
          <c:showBubbleSize val="0"/>
        </c:dLbls>
        <c:marker val="1"/>
        <c:smooth val="0"/>
        <c:axId val="233323520"/>
        <c:axId val="233329408"/>
      </c:lineChart>
      <c:dateAx>
        <c:axId val="233323520"/>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no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3329408"/>
        <c:crossesAt val="1.0000000000000003E-4"/>
        <c:auto val="0"/>
        <c:lblOffset val="100"/>
        <c:baseTimeUnit val="days"/>
        <c:majorUnit val="24"/>
        <c:majorTimeUnit val="months"/>
      </c:dateAx>
      <c:valAx>
        <c:axId val="233329408"/>
        <c:scaling>
          <c:logBase val="10"/>
          <c:orientation val="minMax"/>
          <c:min val="1.0000000000000003E-4"/>
        </c:scaling>
        <c:delete val="0"/>
        <c:axPos val="l"/>
        <c:minorGridlines>
          <c:spPr>
            <a:ln>
              <a:solidFill>
                <a:schemeClr val="bg1">
                  <a:lumMod val="85000"/>
                </a:schemeClr>
              </a:solidFill>
            </a:ln>
          </c:spPr>
        </c:min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mBq/kg生</a:t>
                </a:r>
              </a:p>
            </c:rich>
          </c:tx>
          <c:layout>
            <c:manualLayout>
              <c:xMode val="edge"/>
              <c:yMode val="edge"/>
              <c:x val="2.9058404359772316E-2"/>
              <c:y val="0.10220359145754263"/>
            </c:manualLayout>
          </c:layout>
          <c:overlay val="0"/>
          <c:spPr>
            <a:solidFill>
              <a:schemeClr val="bg1"/>
            </a:solid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Meiryo UI"/>
                <a:ea typeface="Meiryo UI"/>
                <a:cs typeface="Meiryo UI"/>
              </a:defRPr>
            </a:pPr>
            <a:endParaRPr lang="ja-JP"/>
          </a:p>
        </c:txPr>
        <c:crossAx val="233323520"/>
        <c:crosses val="autoZero"/>
        <c:crossBetween val="midCat"/>
      </c:valAx>
      <c:spPr>
        <a:solidFill>
          <a:srgbClr val="FFFFFF"/>
        </a:solidFill>
        <a:ln w="12700">
          <a:solidFill>
            <a:srgbClr val="808080"/>
          </a:solidFill>
          <a:prstDash val="solid"/>
        </a:ln>
      </c:spPr>
    </c:plotArea>
    <c:legend>
      <c:legendPos val="r"/>
      <c:layout>
        <c:manualLayout>
          <c:xMode val="edge"/>
          <c:yMode val="edge"/>
          <c:x val="0.35657172515525121"/>
          <c:y val="0.21298819444444445"/>
          <c:w val="0.37137841233996832"/>
          <c:h val="0.17708020833333332"/>
        </c:manualLayout>
      </c:layout>
      <c:overlay val="0"/>
      <c:spPr>
        <a:solidFill>
          <a:schemeClr val="bg1"/>
        </a:solidFill>
        <a:ln w="25400">
          <a:noFill/>
        </a:ln>
      </c:spPr>
      <c:txPr>
        <a:bodyPr/>
        <a:lstStyle/>
        <a:p>
          <a:pPr>
            <a:defRPr sz="10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あらめ </a:t>
            </a:r>
            <a:r>
              <a:rPr lang="en-US" altLang="ja-JP" sz="1200" b="0" i="0" u="none" strike="noStrike" baseline="0">
                <a:solidFill>
                  <a:srgbClr val="000000"/>
                </a:solidFill>
                <a:latin typeface="Meiryo UI"/>
                <a:ea typeface="Meiryo UI"/>
              </a:rPr>
              <a:t>(</a:t>
            </a:r>
            <a:r>
              <a:rPr lang="ja-JP" altLang="en-US" sz="1200" b="0" i="0" u="none" strike="noStrike" baseline="0">
                <a:solidFill>
                  <a:srgbClr val="000000"/>
                </a:solidFill>
                <a:latin typeface="Meiryo UI"/>
                <a:ea typeface="Meiryo UI"/>
              </a:rPr>
              <a:t>Cs-137</a:t>
            </a:r>
            <a:r>
              <a:rPr lang="en-US" altLang="ja-JP" sz="1200" b="0" i="0" u="none" strike="noStrike" baseline="0">
                <a:solidFill>
                  <a:srgbClr val="000000"/>
                </a:solidFill>
                <a:latin typeface="Meiryo UI"/>
                <a:ea typeface="Meiryo UI"/>
              </a:rPr>
              <a:t>)</a:t>
            </a:r>
            <a:endParaRPr lang="ja-JP" altLang="en-US" sz="1200" b="0" i="0" u="none" strike="noStrike" baseline="0">
              <a:solidFill>
                <a:srgbClr val="000000"/>
              </a:solidFill>
              <a:latin typeface="Meiryo UI"/>
              <a:ea typeface="Meiryo UI"/>
            </a:endParaRPr>
          </a:p>
        </c:rich>
      </c:tx>
      <c:layout>
        <c:manualLayout>
          <c:xMode val="edge"/>
          <c:yMode val="edge"/>
          <c:x val="0.17487193590708869"/>
          <c:y val="8.8392361111111258E-3"/>
        </c:manualLayout>
      </c:layout>
      <c:overlay val="0"/>
      <c:spPr>
        <a:solidFill>
          <a:srgbClr val="FFFFFF"/>
        </a:solidFill>
        <a:ln w="25400">
          <a:noFill/>
        </a:ln>
      </c:spPr>
    </c:title>
    <c:autoTitleDeleted val="0"/>
    <c:plotArea>
      <c:layout>
        <c:manualLayout>
          <c:layoutTarget val="inner"/>
          <c:xMode val="edge"/>
          <c:yMode val="edge"/>
          <c:x val="4.5425296521479121E-2"/>
          <c:y val="3.6821916868234605E-2"/>
          <c:w val="0.88514319195280455"/>
          <c:h val="0.84447163849741713"/>
        </c:manualLayout>
      </c:layout>
      <c:lineChart>
        <c:grouping val="standard"/>
        <c:varyColors val="0"/>
        <c:ser>
          <c:idx val="2"/>
          <c:order val="0"/>
          <c:tx>
            <c:strRef>
              <c:f>あらめ!$C$195</c:f>
              <c:strCache>
                <c:ptCount val="1"/>
                <c:pt idx="0">
                  <c:v>放水口(シウリ崎/県)</c:v>
                </c:pt>
              </c:strCache>
            </c:strRef>
          </c:tx>
          <c:spPr>
            <a:ln w="12700">
              <a:solidFill>
                <a:srgbClr val="00B050"/>
              </a:solidFill>
              <a:prstDash val="solid"/>
            </a:ln>
          </c:spPr>
          <c:marker>
            <c:symbol val="diamond"/>
            <c:size val="7"/>
            <c:spPr>
              <a:solidFill>
                <a:srgbClr val="FFFFFF"/>
              </a:solidFill>
              <a:ln>
                <a:solidFill>
                  <a:srgbClr val="00B050"/>
                </a:solidFill>
                <a:prstDash val="solid"/>
              </a:ln>
            </c:spPr>
          </c:marker>
          <c:cat>
            <c:numRef>
              <c:f>あらめ!$V$197:$V$383</c:f>
              <c:numCache>
                <c:formatCode>0.000000000000000000000000000000E+00</c:formatCode>
                <c:ptCount val="187"/>
                <c:pt idx="5" formatCode="[$-411]m\.d\.ge">
                  <c:v>30252</c:v>
                </c:pt>
                <c:pt idx="7" formatCode="[$-411]m\.d\.ge">
                  <c:v>30340</c:v>
                </c:pt>
                <c:pt idx="8" formatCode="[$-411]m\.d\.ge">
                  <c:v>30607</c:v>
                </c:pt>
                <c:pt idx="10" formatCode="[$-411]m\.d\.ge">
                  <c:v>30694</c:v>
                </c:pt>
                <c:pt idx="11" formatCode="[$-411]m\.d\.ge">
                  <c:v>30799</c:v>
                </c:pt>
                <c:pt idx="12" formatCode="[$-411]m\.d\.ge">
                  <c:v>30866</c:v>
                </c:pt>
                <c:pt idx="13" formatCode="[$-411]m\.d\.ge">
                  <c:v>30959</c:v>
                </c:pt>
                <c:pt idx="15" formatCode="[$-411]m\.d\.ge">
                  <c:v>31061</c:v>
                </c:pt>
                <c:pt idx="16" formatCode="[$-411]m\.d\.ge">
                  <c:v>31156</c:v>
                </c:pt>
                <c:pt idx="18" formatCode="[$-411]m\.d\.ge">
                  <c:v>31237</c:v>
                </c:pt>
                <c:pt idx="19" formatCode="[$-411]m\.d\.ge">
                  <c:v>31332</c:v>
                </c:pt>
                <c:pt idx="20" formatCode="[$-411]m\.d\.ge">
                  <c:v>31442</c:v>
                </c:pt>
                <c:pt idx="22" formatCode="[$-411]m\.d\.ge">
                  <c:v>31517</c:v>
                </c:pt>
                <c:pt idx="24" formatCode="[$-411]m\.d\.ge">
                  <c:v>31528</c:v>
                </c:pt>
                <c:pt idx="25" formatCode="[$-411]m\.d\.ge">
                  <c:v>31604</c:v>
                </c:pt>
                <c:pt idx="27" formatCode="[$-411]m\.d\.ge">
                  <c:v>31709</c:v>
                </c:pt>
                <c:pt idx="29" formatCode="[$-411]m\.d\.ge">
                  <c:v>31798</c:v>
                </c:pt>
                <c:pt idx="31" formatCode="[$-411]m\.d\.ge">
                  <c:v>31873</c:v>
                </c:pt>
                <c:pt idx="33" formatCode="[$-411]m\.d\.ge">
                  <c:v>31972</c:v>
                </c:pt>
                <c:pt idx="35" formatCode="[$-411]m\.d\.ge">
                  <c:v>32074</c:v>
                </c:pt>
                <c:pt idx="36" formatCode="[$-411]m\.d\.ge">
                  <c:v>32161</c:v>
                </c:pt>
                <c:pt idx="37" formatCode="[$-411]m\.d\.ge">
                  <c:v>32247</c:v>
                </c:pt>
                <c:pt idx="39" formatCode="[$-411]m\.d\.ge">
                  <c:v>32344</c:v>
                </c:pt>
                <c:pt idx="40" formatCode="[$-411]m\.d\.ge">
                  <c:v>32441</c:v>
                </c:pt>
                <c:pt idx="41" formatCode="[$-411]m\.d\.ge">
                  <c:v>32525</c:v>
                </c:pt>
                <c:pt idx="42" formatCode="[$-411]m\.d\.ge">
                  <c:v>32616</c:v>
                </c:pt>
                <c:pt idx="44" formatCode="[$-411]m\.d\.ge">
                  <c:v>32708</c:v>
                </c:pt>
                <c:pt idx="45" formatCode="[$-411]m\.d\.ge">
                  <c:v>32805</c:v>
                </c:pt>
                <c:pt idx="46" formatCode="[$-411]m\.d\.ge">
                  <c:v>32883</c:v>
                </c:pt>
                <c:pt idx="47" formatCode="[$-411]m\.d\.ge">
                  <c:v>33000</c:v>
                </c:pt>
                <c:pt idx="48" formatCode="[$-411]m\.d\.ge">
                  <c:v>33059</c:v>
                </c:pt>
                <c:pt idx="49" formatCode="[$-411]m\.d\.ge">
                  <c:v>33177</c:v>
                </c:pt>
                <c:pt idx="50" formatCode="[$-411]m\.d\.ge">
                  <c:v>33259</c:v>
                </c:pt>
                <c:pt idx="51" formatCode="[$-411]m\.d\.ge">
                  <c:v>33350</c:v>
                </c:pt>
                <c:pt idx="52" formatCode="[$-411]m\.d\.ge">
                  <c:v>33430</c:v>
                </c:pt>
                <c:pt idx="53" formatCode="[$-411]m\.d\.ge">
                  <c:v>33532</c:v>
                </c:pt>
                <c:pt idx="54" formatCode="[$-411]m\.d\.ge">
                  <c:v>33625</c:v>
                </c:pt>
                <c:pt idx="55" formatCode="[$-411]m\.d\.ge">
                  <c:v>33716</c:v>
                </c:pt>
                <c:pt idx="56" formatCode="[$-411]m\.d\.ge">
                  <c:v>33791</c:v>
                </c:pt>
                <c:pt idx="57" formatCode="[$-411]m\.d\.ge">
                  <c:v>33906</c:v>
                </c:pt>
                <c:pt idx="58" formatCode="[$-411]m\.d\.ge">
                  <c:v>34001</c:v>
                </c:pt>
                <c:pt idx="59" formatCode="[$-411]m\.d\.ge">
                  <c:v>34085</c:v>
                </c:pt>
                <c:pt idx="60" formatCode="[$-411]m\.d\.ge">
                  <c:v>34156</c:v>
                </c:pt>
                <c:pt idx="61" formatCode="[$-411]m\.d\.ge">
                  <c:v>34248</c:v>
                </c:pt>
                <c:pt idx="62" formatCode="[$-411]m\.d\.ge">
                  <c:v>34372</c:v>
                </c:pt>
                <c:pt idx="63" formatCode="[$-411]m\.d\.ge">
                  <c:v>34445</c:v>
                </c:pt>
                <c:pt idx="64" formatCode="[$-411]m\.d\.ge">
                  <c:v>34541</c:v>
                </c:pt>
                <c:pt idx="65" formatCode="[$-411]m\.d\.ge">
                  <c:v>34618</c:v>
                </c:pt>
                <c:pt idx="66" formatCode="[$-411]m\.d\.ge">
                  <c:v>34737</c:v>
                </c:pt>
                <c:pt idx="67" formatCode="[$-411]m\.d\.ge">
                  <c:v>34810</c:v>
                </c:pt>
                <c:pt idx="68" formatCode="[$-411]m\.d\.ge">
                  <c:v>34905</c:v>
                </c:pt>
                <c:pt idx="69" formatCode="[$-411]m\.d\.ge">
                  <c:v>34990</c:v>
                </c:pt>
                <c:pt idx="70" formatCode="[$-411]m\.d\.ge">
                  <c:v>35086</c:v>
                </c:pt>
                <c:pt idx="71" formatCode="[$-411]m\.d\.ge">
                  <c:v>35179</c:v>
                </c:pt>
                <c:pt idx="72" formatCode="[$-411]m\.d\.ge">
                  <c:v>35277</c:v>
                </c:pt>
                <c:pt idx="73" formatCode="[$-411]m\.d\.ge">
                  <c:v>35352</c:v>
                </c:pt>
                <c:pt idx="74" formatCode="[$-411]m\.d\.ge">
                  <c:v>35492</c:v>
                </c:pt>
                <c:pt idx="75" formatCode="[$-411]m\.d\.ge">
                  <c:v>35535</c:v>
                </c:pt>
                <c:pt idx="76" formatCode="[$-411]m\.d\.ge">
                  <c:v>35626</c:v>
                </c:pt>
                <c:pt idx="77" formatCode="[$-411]m\.d\.ge">
                  <c:v>35717</c:v>
                </c:pt>
                <c:pt idx="78" formatCode="[$-411]m\.d\.ge">
                  <c:v>35822</c:v>
                </c:pt>
                <c:pt idx="79" formatCode="[$-411]m\.d\.ge">
                  <c:v>35926</c:v>
                </c:pt>
                <c:pt idx="80" formatCode="[$-411]m\.d\.ge">
                  <c:v>36004</c:v>
                </c:pt>
                <c:pt idx="81" formatCode="[$-411]m\.d\.ge">
                  <c:v>36074</c:v>
                </c:pt>
                <c:pt idx="82" formatCode="[$-411]m\.d\.ge">
                  <c:v>36193</c:v>
                </c:pt>
                <c:pt idx="83" formatCode="[$-411]m\.d\.ge">
                  <c:v>36292</c:v>
                </c:pt>
                <c:pt idx="84" formatCode="[$-411]m\.d\.ge">
                  <c:v>36362</c:v>
                </c:pt>
                <c:pt idx="85" formatCode="[$-411]m\.d\.ge">
                  <c:v>36452</c:v>
                </c:pt>
                <c:pt idx="86" formatCode="[$-411]m\.d\.ge">
                  <c:v>36551</c:v>
                </c:pt>
                <c:pt idx="87" formatCode="[$-411]m\.d\.ge">
                  <c:v>36656</c:v>
                </c:pt>
                <c:pt idx="88" formatCode="[$-411]m\.d\.ge">
                  <c:v>36719</c:v>
                </c:pt>
                <c:pt idx="89" formatCode="[$-411]m\.d\.ge">
                  <c:v>36815</c:v>
                </c:pt>
                <c:pt idx="90" formatCode="[$-411]m\.d\.ge">
                  <c:v>36909</c:v>
                </c:pt>
                <c:pt idx="91" formatCode="[$-411]m\.d\.ge">
                  <c:v>37005</c:v>
                </c:pt>
                <c:pt idx="92" formatCode="[$-411]m\.d\.ge">
                  <c:v>37081</c:v>
                </c:pt>
                <c:pt idx="93" formatCode="[$-411]m\.d\.ge">
                  <c:v>37180</c:v>
                </c:pt>
                <c:pt idx="94" formatCode="[$-411]m\.d\.ge">
                  <c:v>37293</c:v>
                </c:pt>
                <c:pt idx="95" formatCode="[$-411]m\.d\.ge">
                  <c:v>37362</c:v>
                </c:pt>
                <c:pt idx="96" formatCode="[$-411]m\.d\.ge">
                  <c:v>37454</c:v>
                </c:pt>
                <c:pt idx="97" formatCode="[$-411]m\.d\.ge">
                  <c:v>37559</c:v>
                </c:pt>
                <c:pt idx="98" formatCode="[$-411]m\.d\.ge">
                  <c:v>37656</c:v>
                </c:pt>
                <c:pt idx="99" formatCode="[$-411]m\.d\.ge">
                  <c:v>37727</c:v>
                </c:pt>
                <c:pt idx="100" formatCode="[$-411]m\.d\.ge">
                  <c:v>37837</c:v>
                </c:pt>
                <c:pt idx="101" formatCode="[$-411]m\.d\.ge">
                  <c:v>37915</c:v>
                </c:pt>
                <c:pt idx="102" formatCode="[$-411]m\.d\.ge">
                  <c:v>38015</c:v>
                </c:pt>
                <c:pt idx="103" formatCode="[$-411]m\.d\.ge">
                  <c:v>38091</c:v>
                </c:pt>
                <c:pt idx="104" formatCode="[$-411]m\.d\.ge">
                  <c:v>38195</c:v>
                </c:pt>
                <c:pt idx="105" formatCode="[$-411]m\.d\.ge">
                  <c:v>38286</c:v>
                </c:pt>
                <c:pt idx="106" formatCode="[$-411]m\.d\.ge">
                  <c:v>38385</c:v>
                </c:pt>
                <c:pt idx="107" formatCode="[$-411]m\.d\.ge">
                  <c:v>38467</c:v>
                </c:pt>
                <c:pt idx="108" formatCode="[$-411]m\.d\.ge">
                  <c:v>38553</c:v>
                </c:pt>
                <c:pt idx="109" formatCode="[$-411]m\.d\.ge">
                  <c:v>38651</c:v>
                </c:pt>
                <c:pt idx="110" formatCode="[$-411]m\.d\.ge">
                  <c:v>38747</c:v>
                </c:pt>
                <c:pt idx="111" formatCode="[$-411]m\.d\.ge">
                  <c:v>38834</c:v>
                </c:pt>
                <c:pt idx="112" formatCode="[$-411]m\.d\.ge">
                  <c:v>38910</c:v>
                </c:pt>
                <c:pt idx="113" formatCode="[$-411]m\.d\.ge">
                  <c:v>39023</c:v>
                </c:pt>
                <c:pt idx="114" formatCode="[$-411]m\.d\.ge">
                  <c:v>39105</c:v>
                </c:pt>
                <c:pt idx="115" formatCode="[$-411]m\.d\.ge">
                  <c:v>39198</c:v>
                </c:pt>
                <c:pt idx="116" formatCode="[$-411]m\.d\.ge">
                  <c:v>39303</c:v>
                </c:pt>
                <c:pt idx="117" formatCode="[$-411]m\.d\.ge">
                  <c:v>39366</c:v>
                </c:pt>
                <c:pt idx="118" formatCode="[$-411]m\.d\.ge">
                  <c:v>39470</c:v>
                </c:pt>
                <c:pt idx="119" formatCode="[$-411]m\.d\.ge">
                  <c:v>39566</c:v>
                </c:pt>
                <c:pt idx="121" formatCode="0.E+00">
                  <c:v>3.8530217851091534E-308</c:v>
                </c:pt>
                <c:pt idx="122" formatCode="0.E+00">
                  <c:v>3.5370225297279948E-308</c:v>
                </c:pt>
                <c:pt idx="123" formatCode="0.E+00">
                  <c:v>3.2469394344345388E-308</c:v>
                </c:pt>
                <c:pt idx="124" formatCode="0.E+00">
                  <c:v>2.9806470279101202E-308</c:v>
                </c:pt>
                <c:pt idx="125" formatCode="0.E+00">
                  <c:v>2.7361941558776368E-308</c:v>
                </c:pt>
                <c:pt idx="126" formatCode="0.E+00">
                  <c:v>2.5117896847749598E-308</c:v>
                </c:pt>
                <c:pt idx="127" formatCode="0.E+00">
                  <c:v>2.305789377917244E-308</c:v>
                </c:pt>
                <c:pt idx="128" formatCode="0.E+00">
                  <c:v>0</c:v>
                </c:pt>
                <c:pt idx="129" formatCode="0.E+00">
                  <c:v>0</c:v>
                </c:pt>
                <c:pt idx="130" formatCode="0.E+00">
                  <c:v>0</c:v>
                </c:pt>
                <c:pt idx="135" formatCode="[$-411]m\.d\.ge">
                  <c:v>39701</c:v>
                </c:pt>
                <c:pt idx="136" formatCode="[$-411]m\.d\.ge">
                  <c:v>39783</c:v>
                </c:pt>
                <c:pt idx="137" formatCode="[$-411]m\.d\.ge">
                  <c:v>39853</c:v>
                </c:pt>
                <c:pt idx="138" formatCode="[$-411]m\.d\.ge">
                  <c:v>39953</c:v>
                </c:pt>
                <c:pt idx="139" formatCode="[$-411]m\.d\.ge">
                  <c:v>40046</c:v>
                </c:pt>
                <c:pt idx="140" formatCode="[$-411]m\.d\.ge">
                  <c:v>40127</c:v>
                </c:pt>
                <c:pt idx="141" formatCode="[$-411]m\.d\.ge">
                  <c:v>40218</c:v>
                </c:pt>
                <c:pt idx="142" formatCode="[$-411]m\.d\.ge">
                  <c:v>40315</c:v>
                </c:pt>
                <c:pt idx="143" formatCode="[$-411]m\.d\.ge">
                  <c:v>40400</c:v>
                </c:pt>
                <c:pt idx="144" formatCode="[$-411]m\.d\.ge">
                  <c:v>40493</c:v>
                </c:pt>
                <c:pt idx="145" formatCode="[$-411]m\.d\.ge">
                  <c:v>40581</c:v>
                </c:pt>
                <c:pt idx="146" formatCode="[$-411]m\.d\.ge">
                  <c:v>40612</c:v>
                </c:pt>
                <c:pt idx="147" formatCode="[$-411]m\.d\.ge">
                  <c:v>40613</c:v>
                </c:pt>
                <c:pt idx="148" formatCode="[$-411]m\.d\.ge">
                  <c:v>40737</c:v>
                </c:pt>
                <c:pt idx="149" formatCode="[$-411]m\.d\.ge">
                  <c:v>40784</c:v>
                </c:pt>
                <c:pt idx="150" formatCode="[$-411]m\.d\.ge">
                  <c:v>40858</c:v>
                </c:pt>
                <c:pt idx="151" formatCode="[$-411]m\.d\.ge">
                  <c:v>40948</c:v>
                </c:pt>
                <c:pt idx="152" formatCode="[$-411]m\.d\.ge">
                  <c:v>41044</c:v>
                </c:pt>
                <c:pt idx="153" formatCode="[$-411]m\.d\.ge">
                  <c:v>41143</c:v>
                </c:pt>
                <c:pt idx="154" formatCode="[$-411]m\.d\.ge">
                  <c:v>41242</c:v>
                </c:pt>
                <c:pt idx="155" formatCode="[$-411]m\.d\.ge">
                  <c:v>41331</c:v>
                </c:pt>
                <c:pt idx="156" formatCode="[$-411]m\.d\.ge">
                  <c:v>41409</c:v>
                </c:pt>
                <c:pt idx="157" formatCode="[$-411]m\.d\.ge">
                  <c:v>41507</c:v>
                </c:pt>
                <c:pt idx="158" formatCode="[$-411]m\.d\.ge">
                  <c:v>41603</c:v>
                </c:pt>
                <c:pt idx="159" formatCode="[$-411]m\.d\.ge">
                  <c:v>41694</c:v>
                </c:pt>
                <c:pt idx="160" formatCode="[$-411]m\.d\.ge">
                  <c:v>41779</c:v>
                </c:pt>
                <c:pt idx="161" formatCode="[$-411]m\.d\.ge">
                  <c:v>41871</c:v>
                </c:pt>
                <c:pt idx="162" formatCode="[$-411]m\.d\.ge">
                  <c:v>41954</c:v>
                </c:pt>
                <c:pt idx="163" formatCode="[$-411]m\.d\.ge">
                  <c:v>42069</c:v>
                </c:pt>
                <c:pt idx="164" formatCode="[$-411]m\.d\.ge">
                  <c:v>42146</c:v>
                </c:pt>
                <c:pt idx="165" formatCode="[$-411]m\.d\.ge">
                  <c:v>42275</c:v>
                </c:pt>
                <c:pt idx="166" formatCode="[$-411]m\.d\.ge">
                  <c:v>42348</c:v>
                </c:pt>
                <c:pt idx="167" formatCode="[$-411]m\.d\.ge">
                  <c:v>42409</c:v>
                </c:pt>
                <c:pt idx="168" formatCode="[$-411]m\.d\.ge">
                  <c:v>42500</c:v>
                </c:pt>
                <c:pt idx="169" formatCode="[$-411]m\.d\.ge">
                  <c:v>42586</c:v>
                </c:pt>
                <c:pt idx="170" formatCode="[$-411]m\.d\.ge">
                  <c:v>42712</c:v>
                </c:pt>
                <c:pt idx="171" formatCode="[$-411]m\.d\.ge">
                  <c:v>42794</c:v>
                </c:pt>
                <c:pt idx="172" formatCode="[$-411]m\.d\.ge">
                  <c:v>42895</c:v>
                </c:pt>
                <c:pt idx="173" formatCode="[$-411]m\.d\.ge">
                  <c:v>43054</c:v>
                </c:pt>
              </c:numCache>
            </c:numRef>
          </c:cat>
          <c:val>
            <c:numRef>
              <c:f>あらめ!$F$197:$F$383</c:f>
              <c:numCache>
                <c:formatCode>0.000</c:formatCode>
                <c:ptCount val="187"/>
                <c:pt idx="1">
                  <c:v>0.14814814814814814</c:v>
                </c:pt>
                <c:pt idx="3">
                  <c:v>0.11481481481481481</c:v>
                </c:pt>
                <c:pt idx="4">
                  <c:v>7.0370370370370361E-2</c:v>
                </c:pt>
                <c:pt idx="5">
                  <c:v>0.15185185185185185</c:v>
                </c:pt>
                <c:pt idx="6">
                  <c:v>0.18518518518518517</c:v>
                </c:pt>
                <c:pt idx="8">
                  <c:v>0.16666666666666666</c:v>
                </c:pt>
                <c:pt idx="9">
                  <c:v>0.17037037037037034</c:v>
                </c:pt>
                <c:pt idx="10">
                  <c:v>7.407407407407407E-2</c:v>
                </c:pt>
                <c:pt idx="11">
                  <c:v>6.6666666666666666E-2</c:v>
                </c:pt>
                <c:pt idx="12">
                  <c:v>0.12592592592592591</c:v>
                </c:pt>
                <c:pt idx="13">
                  <c:v>0.14444444444444443</c:v>
                </c:pt>
                <c:pt idx="15">
                  <c:v>6.2962962962962957E-2</c:v>
                </c:pt>
                <c:pt idx="16">
                  <c:v>0.11851851851851852</c:v>
                </c:pt>
                <c:pt idx="17">
                  <c:v>9.6296296296296297E-2</c:v>
                </c:pt>
                <c:pt idx="18">
                  <c:v>0.15555555555555556</c:v>
                </c:pt>
                <c:pt idx="19">
                  <c:v>0.17037037037037034</c:v>
                </c:pt>
                <c:pt idx="21">
                  <c:v>8.1481481481481502E-2</c:v>
                </c:pt>
                <c:pt idx="24">
                  <c:v>0.15555555555555556</c:v>
                </c:pt>
                <c:pt idx="25">
                  <c:v>0.24074074074074073</c:v>
                </c:pt>
                <c:pt idx="26">
                  <c:v>0.13703703703703704</c:v>
                </c:pt>
                <c:pt idx="27">
                  <c:v>0.21851851851851853</c:v>
                </c:pt>
                <c:pt idx="28">
                  <c:v>0.162962962962963</c:v>
                </c:pt>
                <c:pt idx="30">
                  <c:v>9.6296296296296297E-2</c:v>
                </c:pt>
                <c:pt idx="33">
                  <c:v>0.12592592592592591</c:v>
                </c:pt>
                <c:pt idx="34">
                  <c:v>0.15925925925925924</c:v>
                </c:pt>
                <c:pt idx="35">
                  <c:v>0.18148148148148149</c:v>
                </c:pt>
                <c:pt idx="36">
                  <c:v>5.9259259259259262E-2</c:v>
                </c:pt>
                <c:pt idx="37">
                  <c:v>8.6999999999999994E-2</c:v>
                </c:pt>
                <c:pt idx="38">
                  <c:v>6.0999999999999999E-2</c:v>
                </c:pt>
                <c:pt idx="39">
                  <c:v>0.14000000000000001</c:v>
                </c:pt>
                <c:pt idx="40">
                  <c:v>8.6999999999999994E-2</c:v>
                </c:pt>
                <c:pt idx="41">
                  <c:v>7.1999999999999995E-2</c:v>
                </c:pt>
                <c:pt idx="42">
                  <c:v>7.2999999999999995E-2</c:v>
                </c:pt>
                <c:pt idx="43">
                  <c:v>6.3E-2</c:v>
                </c:pt>
                <c:pt idx="44">
                  <c:v>8.5000000000000006E-2</c:v>
                </c:pt>
                <c:pt idx="45" formatCode="&quot;(&quot;0.00&quot;)&quot;">
                  <c:v>7.3999999999999996E-2</c:v>
                </c:pt>
                <c:pt idx="46">
                  <c:v>8.5000000000000006E-2</c:v>
                </c:pt>
                <c:pt idx="47">
                  <c:v>6.2E-2</c:v>
                </c:pt>
                <c:pt idx="48">
                  <c:v>9.6000000000000002E-2</c:v>
                </c:pt>
                <c:pt idx="49">
                  <c:v>8.5000000000000006E-2</c:v>
                </c:pt>
                <c:pt idx="50" formatCode="&quot;(&quot;0.00&quot;)&quot;">
                  <c:v>4.9000000000000002E-2</c:v>
                </c:pt>
                <c:pt idx="51" formatCode="&quot;(&quot;0.00&quot;)&quot;">
                  <c:v>0.04</c:v>
                </c:pt>
                <c:pt idx="52">
                  <c:v>0.11</c:v>
                </c:pt>
                <c:pt idx="53">
                  <c:v>0.1</c:v>
                </c:pt>
                <c:pt idx="54">
                  <c:v>6.5000000000000002E-2</c:v>
                </c:pt>
                <c:pt idx="55">
                  <c:v>7.0000000000000007E-2</c:v>
                </c:pt>
                <c:pt idx="56">
                  <c:v>5.8999999999999997E-2</c:v>
                </c:pt>
                <c:pt idx="57">
                  <c:v>6.9000000000000006E-2</c:v>
                </c:pt>
                <c:pt idx="58">
                  <c:v>5.7000000000000002E-2</c:v>
                </c:pt>
                <c:pt idx="59">
                  <c:v>5.6000000000000001E-2</c:v>
                </c:pt>
                <c:pt idx="60">
                  <c:v>6.7000000000000004E-2</c:v>
                </c:pt>
                <c:pt idx="61">
                  <c:v>0.13</c:v>
                </c:pt>
                <c:pt idx="63">
                  <c:v>7.0999999999999994E-2</c:v>
                </c:pt>
                <c:pt idx="64">
                  <c:v>7.4999999999999997E-2</c:v>
                </c:pt>
                <c:pt idx="65">
                  <c:v>0.13</c:v>
                </c:pt>
                <c:pt idx="66">
                  <c:v>8.2000000000000003E-2</c:v>
                </c:pt>
                <c:pt idx="67">
                  <c:v>0.05</c:v>
                </c:pt>
                <c:pt idx="68">
                  <c:v>6.4000000000000001E-2</c:v>
                </c:pt>
                <c:pt idx="69">
                  <c:v>5.7000000000000002E-2</c:v>
                </c:pt>
                <c:pt idx="70">
                  <c:v>1.5963433571699635E-2</c:v>
                </c:pt>
                <c:pt idx="71">
                  <c:v>4.9000000000000002E-2</c:v>
                </c:pt>
                <c:pt idx="72">
                  <c:v>4.7E-2</c:v>
                </c:pt>
                <c:pt idx="73">
                  <c:v>8.5999999999999993E-2</c:v>
                </c:pt>
                <c:pt idx="74">
                  <c:v>1.5583184273839935E-2</c:v>
                </c:pt>
                <c:pt idx="75">
                  <c:v>5.2999999999999999E-2</c:v>
                </c:pt>
                <c:pt idx="76">
                  <c:v>0.06</c:v>
                </c:pt>
                <c:pt idx="77">
                  <c:v>7.3999999999999996E-2</c:v>
                </c:pt>
                <c:pt idx="78">
                  <c:v>1.5211032511809998E-2</c:v>
                </c:pt>
                <c:pt idx="79">
                  <c:v>1.5151630072971507E-2</c:v>
                </c:pt>
                <c:pt idx="80">
                  <c:v>0.06</c:v>
                </c:pt>
                <c:pt idx="81">
                  <c:v>9.6000000000000002E-2</c:v>
                </c:pt>
                <c:pt idx="82">
                  <c:v>7.1999999999999995E-2</c:v>
                </c:pt>
                <c:pt idx="83" formatCode="&quot;(&quot;0.00&quot;)&quot;">
                  <c:v>5.0999999999999997E-2</c:v>
                </c:pt>
                <c:pt idx="84">
                  <c:v>5.3999999999999999E-2</c:v>
                </c:pt>
                <c:pt idx="85">
                  <c:v>0.09</c:v>
                </c:pt>
                <c:pt idx="86">
                  <c:v>1.4538985502586602E-2</c:v>
                </c:pt>
                <c:pt idx="87" formatCode="&quot;(&quot;0.00&quot;)&quot;">
                  <c:v>5.8999999999999997E-2</c:v>
                </c:pt>
                <c:pt idx="88">
                  <c:v>6.0999999999999999E-2</c:v>
                </c:pt>
                <c:pt idx="89">
                  <c:v>9.5000000000000001E-2</c:v>
                </c:pt>
                <c:pt idx="90" formatCode="&quot;(&quot;0.00&quot;)&quot;">
                  <c:v>6.0999999999999999E-2</c:v>
                </c:pt>
                <c:pt idx="92" formatCode="&quot;(&quot;0.00&quot;)&quot;">
                  <c:v>5.3999999999999999E-2</c:v>
                </c:pt>
                <c:pt idx="93">
                  <c:v>7.1999999999999995E-2</c:v>
                </c:pt>
                <c:pt idx="94">
                  <c:v>1.3883481397593276E-2</c:v>
                </c:pt>
                <c:pt idx="95" formatCode="&quot;(&quot;0.00&quot;)&quot;">
                  <c:v>6.0999999999999999E-2</c:v>
                </c:pt>
                <c:pt idx="96">
                  <c:v>7.3999999999999996E-2</c:v>
                </c:pt>
                <c:pt idx="97" formatCode="&quot;(&quot;0.00&quot;)&quot;">
                  <c:v>0.06</c:v>
                </c:pt>
                <c:pt idx="98" formatCode="&quot;(&quot;0.00&quot;)&quot;">
                  <c:v>0.06</c:v>
                </c:pt>
                <c:pt idx="99">
                  <c:v>1.348707628136989E-2</c:v>
                </c:pt>
                <c:pt idx="100" formatCode="&quot;(&quot;0.00&quot;)&quot;">
                  <c:v>5.8999999999999997E-2</c:v>
                </c:pt>
                <c:pt idx="101">
                  <c:v>9.2999999999999999E-2</c:v>
                </c:pt>
                <c:pt idx="102">
                  <c:v>1.3275113517601923E-2</c:v>
                </c:pt>
                <c:pt idx="103" formatCode="&quot;(&quot;0.00&quot;)&quot;">
                  <c:v>5.7000000000000002E-2</c:v>
                </c:pt>
                <c:pt idx="104">
                  <c:v>5.8000000000000003E-2</c:v>
                </c:pt>
                <c:pt idx="105">
                  <c:v>7.2999999999999995E-2</c:v>
                </c:pt>
                <c:pt idx="106" formatCode="&quot;(&quot;0.00&quot;)&quot;">
                  <c:v>6.0999999999999999E-2</c:v>
                </c:pt>
                <c:pt idx="107">
                  <c:v>6.4000000000000001E-2</c:v>
                </c:pt>
                <c:pt idx="108">
                  <c:v>7.0000000000000007E-2</c:v>
                </c:pt>
                <c:pt idx="109" formatCode="&quot;(&quot;0.00&quot;)&quot;">
                  <c:v>5.8000000000000003E-2</c:v>
                </c:pt>
                <c:pt idx="110" formatCode="&quot;(&quot;0.00&quot;)&quot;">
                  <c:v>5.6000000000000001E-2</c:v>
                </c:pt>
                <c:pt idx="111">
                  <c:v>1.2596841301166211E-2</c:v>
                </c:pt>
                <c:pt idx="112" formatCode="&quot;(&quot;0.00&quot;)&quot;">
                  <c:v>0.06</c:v>
                </c:pt>
                <c:pt idx="113" formatCode="&quot;(&quot;0.00&quot;)&quot;">
                  <c:v>7.8E-2</c:v>
                </c:pt>
                <c:pt idx="114" formatCode="&quot;(&quot;0.00&quot;)&quot;">
                  <c:v>8.1000000000000003E-2</c:v>
                </c:pt>
                <c:pt idx="115" formatCode="&quot;(&quot;0.00&quot;)&quot;">
                  <c:v>5.8000000000000003E-2</c:v>
                </c:pt>
                <c:pt idx="116">
                  <c:v>6.6000000000000003E-2</c:v>
                </c:pt>
                <c:pt idx="117" formatCode="&quot;(&quot;0.00&quot;)&quot;">
                  <c:v>7.0000000000000007E-2</c:v>
                </c:pt>
                <c:pt idx="118" formatCode="&quot;(&quot;0.00&quot;)&quot;">
                  <c:v>6.4000000000000001E-2</c:v>
                </c:pt>
                <c:pt idx="119" formatCode="&quot;(&quot;0.00&quot;)&quot;">
                  <c:v>5.7000000000000002E-2</c:v>
                </c:pt>
                <c:pt idx="135">
                  <c:v>5.8999999999999997E-2</c:v>
                </c:pt>
                <c:pt idx="136" formatCode="&quot;(&quot;0.00&quot;)&quot;">
                  <c:v>7.0999999999999994E-2</c:v>
                </c:pt>
                <c:pt idx="137" formatCode="&quot;(&quot;0.00&quot;)&quot;">
                  <c:v>7.0000000000000007E-2</c:v>
                </c:pt>
                <c:pt idx="138">
                  <c:v>1.1757944766448043E-2</c:v>
                </c:pt>
                <c:pt idx="139">
                  <c:v>5.3999999999999999E-2</c:v>
                </c:pt>
                <c:pt idx="140" formatCode="&quot;(&quot;0.00&quot;)&quot;">
                  <c:v>6.8000000000000005E-2</c:v>
                </c:pt>
                <c:pt idx="141">
                  <c:v>1.1557828975908237E-2</c:v>
                </c:pt>
                <c:pt idx="142">
                  <c:v>1.1486566108885167E-2</c:v>
                </c:pt>
                <c:pt idx="143" formatCode="&quot;(&quot;0.00&quot;)&quot;">
                  <c:v>5.1999999999999998E-2</c:v>
                </c:pt>
                <c:pt idx="144">
                  <c:v>1.1358251408116745E-2</c:v>
                </c:pt>
                <c:pt idx="150" formatCode="General">
                  <c:v>1.5</c:v>
                </c:pt>
                <c:pt idx="151" formatCode="0.00_ ">
                  <c:v>0.39</c:v>
                </c:pt>
                <c:pt idx="152" formatCode="0.00_ ">
                  <c:v>0.39</c:v>
                </c:pt>
                <c:pt idx="153" formatCode="0.00_ ">
                  <c:v>0.3</c:v>
                </c:pt>
                <c:pt idx="154" formatCode="0.00_ ">
                  <c:v>0.15</c:v>
                </c:pt>
                <c:pt idx="155">
                  <c:v>1.9140513178084365E-2</c:v>
                </c:pt>
                <c:pt idx="156" formatCode="0.00_ ">
                  <c:v>0.16</c:v>
                </c:pt>
                <c:pt idx="157" formatCode="0.00_ ">
                  <c:v>0.1</c:v>
                </c:pt>
                <c:pt idx="158" formatCode="0.00_ ">
                  <c:v>0.19</c:v>
                </c:pt>
                <c:pt idx="159" formatCode="&quot;(&quot;0.00&quot;)&quot;">
                  <c:v>0.1</c:v>
                </c:pt>
                <c:pt idx="160">
                  <c:v>1.8596354904115847E-2</c:v>
                </c:pt>
                <c:pt idx="161">
                  <c:v>8.7999999999999995E-2</c:v>
                </c:pt>
                <c:pt idx="162" formatCode="&quot;(&quot;0.00&quot;)&quot;">
                  <c:v>8.8999999999999996E-2</c:v>
                </c:pt>
                <c:pt idx="163">
                  <c:v>1.8269472002228677E-2</c:v>
                </c:pt>
                <c:pt idx="164" formatCode="&quot;(&quot;0.00&quot;)&quot;">
                  <c:v>8.6999999999999994E-2</c:v>
                </c:pt>
                <c:pt idx="165" formatCode="0.00_ ">
                  <c:v>0.15</c:v>
                </c:pt>
                <c:pt idx="166">
                  <c:v>1.7952866483628017E-2</c:v>
                </c:pt>
                <c:pt idx="167">
                  <c:v>1.7863580768110149E-2</c:v>
                </c:pt>
                <c:pt idx="168" formatCode="&quot;(&quot;0.00&quot;)&quot;">
                  <c:v>8.6999999999999994E-2</c:v>
                </c:pt>
                <c:pt idx="169">
                  <c:v>0.08</c:v>
                </c:pt>
                <c:pt idx="170">
                  <c:v>1.7552901434567371E-2</c:v>
                </c:pt>
                <c:pt idx="171" formatCode="&quot;(&quot;0.00&quot;)&quot;">
                  <c:v>9.8000000000000004E-2</c:v>
                </c:pt>
                <c:pt idx="172">
                  <c:v>1.7341491762565477E-2</c:v>
                </c:pt>
                <c:pt idx="173" formatCode="0.00_ ">
                  <c:v>0.1</c:v>
                </c:pt>
              </c:numCache>
            </c:numRef>
          </c:val>
          <c:smooth val="0"/>
        </c:ser>
        <c:ser>
          <c:idx val="0"/>
          <c:order val="1"/>
          <c:tx>
            <c:strRef>
              <c:f>あらめ!$W$195</c:f>
              <c:strCache>
                <c:ptCount val="1"/>
                <c:pt idx="0">
                  <c:v>前面海域(シウリ崎/電力)</c:v>
                </c:pt>
              </c:strCache>
            </c:strRef>
          </c:tx>
          <c:spPr>
            <a:ln w="12700">
              <a:solidFill>
                <a:srgbClr val="FF0000"/>
              </a:solidFill>
              <a:prstDash val="solid"/>
            </a:ln>
          </c:spPr>
          <c:marker>
            <c:symbol val="square"/>
            <c:size val="5"/>
            <c:spPr>
              <a:noFill/>
              <a:ln>
                <a:solidFill>
                  <a:srgbClr val="FF0000"/>
                </a:solidFill>
                <a:prstDash val="solid"/>
              </a:ln>
            </c:spPr>
          </c:marker>
          <c:cat>
            <c:numRef>
              <c:f>あらめ!$V$197:$V$383</c:f>
              <c:numCache>
                <c:formatCode>0.000000000000000000000000000000E+00</c:formatCode>
                <c:ptCount val="187"/>
                <c:pt idx="5" formatCode="[$-411]m\.d\.ge">
                  <c:v>30252</c:v>
                </c:pt>
                <c:pt idx="7" formatCode="[$-411]m\.d\.ge">
                  <c:v>30340</c:v>
                </c:pt>
                <c:pt idx="8" formatCode="[$-411]m\.d\.ge">
                  <c:v>30607</c:v>
                </c:pt>
                <c:pt idx="10" formatCode="[$-411]m\.d\.ge">
                  <c:v>30694</c:v>
                </c:pt>
                <c:pt idx="11" formatCode="[$-411]m\.d\.ge">
                  <c:v>30799</c:v>
                </c:pt>
                <c:pt idx="12" formatCode="[$-411]m\.d\.ge">
                  <c:v>30866</c:v>
                </c:pt>
                <c:pt idx="13" formatCode="[$-411]m\.d\.ge">
                  <c:v>30959</c:v>
                </c:pt>
                <c:pt idx="15" formatCode="[$-411]m\.d\.ge">
                  <c:v>31061</c:v>
                </c:pt>
                <c:pt idx="16" formatCode="[$-411]m\.d\.ge">
                  <c:v>31156</c:v>
                </c:pt>
                <c:pt idx="18" formatCode="[$-411]m\.d\.ge">
                  <c:v>31237</c:v>
                </c:pt>
                <c:pt idx="19" formatCode="[$-411]m\.d\.ge">
                  <c:v>31332</c:v>
                </c:pt>
                <c:pt idx="20" formatCode="[$-411]m\.d\.ge">
                  <c:v>31442</c:v>
                </c:pt>
                <c:pt idx="22" formatCode="[$-411]m\.d\.ge">
                  <c:v>31517</c:v>
                </c:pt>
                <c:pt idx="24" formatCode="[$-411]m\.d\.ge">
                  <c:v>31528</c:v>
                </c:pt>
                <c:pt idx="25" formatCode="[$-411]m\.d\.ge">
                  <c:v>31604</c:v>
                </c:pt>
                <c:pt idx="27" formatCode="[$-411]m\.d\.ge">
                  <c:v>31709</c:v>
                </c:pt>
                <c:pt idx="29" formatCode="[$-411]m\.d\.ge">
                  <c:v>31798</c:v>
                </c:pt>
                <c:pt idx="31" formatCode="[$-411]m\.d\.ge">
                  <c:v>31873</c:v>
                </c:pt>
                <c:pt idx="33" formatCode="[$-411]m\.d\.ge">
                  <c:v>31972</c:v>
                </c:pt>
                <c:pt idx="35" formatCode="[$-411]m\.d\.ge">
                  <c:v>32074</c:v>
                </c:pt>
                <c:pt idx="36" formatCode="[$-411]m\.d\.ge">
                  <c:v>32161</c:v>
                </c:pt>
                <c:pt idx="37" formatCode="[$-411]m\.d\.ge">
                  <c:v>32247</c:v>
                </c:pt>
                <c:pt idx="39" formatCode="[$-411]m\.d\.ge">
                  <c:v>32344</c:v>
                </c:pt>
                <c:pt idx="40" formatCode="[$-411]m\.d\.ge">
                  <c:v>32441</c:v>
                </c:pt>
                <c:pt idx="41" formatCode="[$-411]m\.d\.ge">
                  <c:v>32525</c:v>
                </c:pt>
                <c:pt idx="42" formatCode="[$-411]m\.d\.ge">
                  <c:v>32616</c:v>
                </c:pt>
                <c:pt idx="44" formatCode="[$-411]m\.d\.ge">
                  <c:v>32708</c:v>
                </c:pt>
                <c:pt idx="45" formatCode="[$-411]m\.d\.ge">
                  <c:v>32805</c:v>
                </c:pt>
                <c:pt idx="46" formatCode="[$-411]m\.d\.ge">
                  <c:v>32883</c:v>
                </c:pt>
                <c:pt idx="47" formatCode="[$-411]m\.d\.ge">
                  <c:v>33000</c:v>
                </c:pt>
                <c:pt idx="48" formatCode="[$-411]m\.d\.ge">
                  <c:v>33059</c:v>
                </c:pt>
                <c:pt idx="49" formatCode="[$-411]m\.d\.ge">
                  <c:v>33177</c:v>
                </c:pt>
                <c:pt idx="50" formatCode="[$-411]m\.d\.ge">
                  <c:v>33259</c:v>
                </c:pt>
                <c:pt idx="51" formatCode="[$-411]m\.d\.ge">
                  <c:v>33350</c:v>
                </c:pt>
                <c:pt idx="52" formatCode="[$-411]m\.d\.ge">
                  <c:v>33430</c:v>
                </c:pt>
                <c:pt idx="53" formatCode="[$-411]m\.d\.ge">
                  <c:v>33532</c:v>
                </c:pt>
                <c:pt idx="54" formatCode="[$-411]m\.d\.ge">
                  <c:v>33625</c:v>
                </c:pt>
                <c:pt idx="55" formatCode="[$-411]m\.d\.ge">
                  <c:v>33716</c:v>
                </c:pt>
                <c:pt idx="56" formatCode="[$-411]m\.d\.ge">
                  <c:v>33791</c:v>
                </c:pt>
                <c:pt idx="57" formatCode="[$-411]m\.d\.ge">
                  <c:v>33906</c:v>
                </c:pt>
                <c:pt idx="58" formatCode="[$-411]m\.d\.ge">
                  <c:v>34001</c:v>
                </c:pt>
                <c:pt idx="59" formatCode="[$-411]m\.d\.ge">
                  <c:v>34085</c:v>
                </c:pt>
                <c:pt idx="60" formatCode="[$-411]m\.d\.ge">
                  <c:v>34156</c:v>
                </c:pt>
                <c:pt idx="61" formatCode="[$-411]m\.d\.ge">
                  <c:v>34248</c:v>
                </c:pt>
                <c:pt idx="62" formatCode="[$-411]m\.d\.ge">
                  <c:v>34372</c:v>
                </c:pt>
                <c:pt idx="63" formatCode="[$-411]m\.d\.ge">
                  <c:v>34445</c:v>
                </c:pt>
                <c:pt idx="64" formatCode="[$-411]m\.d\.ge">
                  <c:v>34541</c:v>
                </c:pt>
                <c:pt idx="65" formatCode="[$-411]m\.d\.ge">
                  <c:v>34618</c:v>
                </c:pt>
                <c:pt idx="66" formatCode="[$-411]m\.d\.ge">
                  <c:v>34737</c:v>
                </c:pt>
                <c:pt idx="67" formatCode="[$-411]m\.d\.ge">
                  <c:v>34810</c:v>
                </c:pt>
                <c:pt idx="68" formatCode="[$-411]m\.d\.ge">
                  <c:v>34905</c:v>
                </c:pt>
                <c:pt idx="69" formatCode="[$-411]m\.d\.ge">
                  <c:v>34990</c:v>
                </c:pt>
                <c:pt idx="70" formatCode="[$-411]m\.d\.ge">
                  <c:v>35086</c:v>
                </c:pt>
                <c:pt idx="71" formatCode="[$-411]m\.d\.ge">
                  <c:v>35179</c:v>
                </c:pt>
                <c:pt idx="72" formatCode="[$-411]m\.d\.ge">
                  <c:v>35277</c:v>
                </c:pt>
                <c:pt idx="73" formatCode="[$-411]m\.d\.ge">
                  <c:v>35352</c:v>
                </c:pt>
                <c:pt idx="74" formatCode="[$-411]m\.d\.ge">
                  <c:v>35492</c:v>
                </c:pt>
                <c:pt idx="75" formatCode="[$-411]m\.d\.ge">
                  <c:v>35535</c:v>
                </c:pt>
                <c:pt idx="76" formatCode="[$-411]m\.d\.ge">
                  <c:v>35626</c:v>
                </c:pt>
                <c:pt idx="77" formatCode="[$-411]m\.d\.ge">
                  <c:v>35717</c:v>
                </c:pt>
                <c:pt idx="78" formatCode="[$-411]m\.d\.ge">
                  <c:v>35822</c:v>
                </c:pt>
                <c:pt idx="79" formatCode="[$-411]m\.d\.ge">
                  <c:v>35926</c:v>
                </c:pt>
                <c:pt idx="80" formatCode="[$-411]m\.d\.ge">
                  <c:v>36004</c:v>
                </c:pt>
                <c:pt idx="81" formatCode="[$-411]m\.d\.ge">
                  <c:v>36074</c:v>
                </c:pt>
                <c:pt idx="82" formatCode="[$-411]m\.d\.ge">
                  <c:v>36193</c:v>
                </c:pt>
                <c:pt idx="83" formatCode="[$-411]m\.d\.ge">
                  <c:v>36292</c:v>
                </c:pt>
                <c:pt idx="84" formatCode="[$-411]m\.d\.ge">
                  <c:v>36362</c:v>
                </c:pt>
                <c:pt idx="85" formatCode="[$-411]m\.d\.ge">
                  <c:v>36452</c:v>
                </c:pt>
                <c:pt idx="86" formatCode="[$-411]m\.d\.ge">
                  <c:v>36551</c:v>
                </c:pt>
                <c:pt idx="87" formatCode="[$-411]m\.d\.ge">
                  <c:v>36656</c:v>
                </c:pt>
                <c:pt idx="88" formatCode="[$-411]m\.d\.ge">
                  <c:v>36719</c:v>
                </c:pt>
                <c:pt idx="89" formatCode="[$-411]m\.d\.ge">
                  <c:v>36815</c:v>
                </c:pt>
                <c:pt idx="90" formatCode="[$-411]m\.d\.ge">
                  <c:v>36909</c:v>
                </c:pt>
                <c:pt idx="91" formatCode="[$-411]m\.d\.ge">
                  <c:v>37005</c:v>
                </c:pt>
                <c:pt idx="92" formatCode="[$-411]m\.d\.ge">
                  <c:v>37081</c:v>
                </c:pt>
                <c:pt idx="93" formatCode="[$-411]m\.d\.ge">
                  <c:v>37180</c:v>
                </c:pt>
                <c:pt idx="94" formatCode="[$-411]m\.d\.ge">
                  <c:v>37293</c:v>
                </c:pt>
                <c:pt idx="95" formatCode="[$-411]m\.d\.ge">
                  <c:v>37362</c:v>
                </c:pt>
                <c:pt idx="96" formatCode="[$-411]m\.d\.ge">
                  <c:v>37454</c:v>
                </c:pt>
                <c:pt idx="97" formatCode="[$-411]m\.d\.ge">
                  <c:v>37559</c:v>
                </c:pt>
                <c:pt idx="98" formatCode="[$-411]m\.d\.ge">
                  <c:v>37656</c:v>
                </c:pt>
                <c:pt idx="99" formatCode="[$-411]m\.d\.ge">
                  <c:v>37727</c:v>
                </c:pt>
                <c:pt idx="100" formatCode="[$-411]m\.d\.ge">
                  <c:v>37837</c:v>
                </c:pt>
                <c:pt idx="101" formatCode="[$-411]m\.d\.ge">
                  <c:v>37915</c:v>
                </c:pt>
                <c:pt idx="102" formatCode="[$-411]m\.d\.ge">
                  <c:v>38015</c:v>
                </c:pt>
                <c:pt idx="103" formatCode="[$-411]m\.d\.ge">
                  <c:v>38091</c:v>
                </c:pt>
                <c:pt idx="104" formatCode="[$-411]m\.d\.ge">
                  <c:v>38195</c:v>
                </c:pt>
                <c:pt idx="105" formatCode="[$-411]m\.d\.ge">
                  <c:v>38286</c:v>
                </c:pt>
                <c:pt idx="106" formatCode="[$-411]m\.d\.ge">
                  <c:v>38385</c:v>
                </c:pt>
                <c:pt idx="107" formatCode="[$-411]m\.d\.ge">
                  <c:v>38467</c:v>
                </c:pt>
                <c:pt idx="108" formatCode="[$-411]m\.d\.ge">
                  <c:v>38553</c:v>
                </c:pt>
                <c:pt idx="109" formatCode="[$-411]m\.d\.ge">
                  <c:v>38651</c:v>
                </c:pt>
                <c:pt idx="110" formatCode="[$-411]m\.d\.ge">
                  <c:v>38747</c:v>
                </c:pt>
                <c:pt idx="111" formatCode="[$-411]m\.d\.ge">
                  <c:v>38834</c:v>
                </c:pt>
                <c:pt idx="112" formatCode="[$-411]m\.d\.ge">
                  <c:v>38910</c:v>
                </c:pt>
                <c:pt idx="113" formatCode="[$-411]m\.d\.ge">
                  <c:v>39023</c:v>
                </c:pt>
                <c:pt idx="114" formatCode="[$-411]m\.d\.ge">
                  <c:v>39105</c:v>
                </c:pt>
                <c:pt idx="115" formatCode="[$-411]m\.d\.ge">
                  <c:v>39198</c:v>
                </c:pt>
                <c:pt idx="116" formatCode="[$-411]m\.d\.ge">
                  <c:v>39303</c:v>
                </c:pt>
                <c:pt idx="117" formatCode="[$-411]m\.d\.ge">
                  <c:v>39366</c:v>
                </c:pt>
                <c:pt idx="118" formatCode="[$-411]m\.d\.ge">
                  <c:v>39470</c:v>
                </c:pt>
                <c:pt idx="119" formatCode="[$-411]m\.d\.ge">
                  <c:v>39566</c:v>
                </c:pt>
                <c:pt idx="121" formatCode="0.E+00">
                  <c:v>3.8530217851091534E-308</c:v>
                </c:pt>
                <c:pt idx="122" formatCode="0.E+00">
                  <c:v>3.5370225297279948E-308</c:v>
                </c:pt>
                <c:pt idx="123" formatCode="0.E+00">
                  <c:v>3.2469394344345388E-308</c:v>
                </c:pt>
                <c:pt idx="124" formatCode="0.E+00">
                  <c:v>2.9806470279101202E-308</c:v>
                </c:pt>
                <c:pt idx="125" formatCode="0.E+00">
                  <c:v>2.7361941558776368E-308</c:v>
                </c:pt>
                <c:pt idx="126" formatCode="0.E+00">
                  <c:v>2.5117896847749598E-308</c:v>
                </c:pt>
                <c:pt idx="127" formatCode="0.E+00">
                  <c:v>2.305789377917244E-308</c:v>
                </c:pt>
                <c:pt idx="128" formatCode="0.E+00">
                  <c:v>0</c:v>
                </c:pt>
                <c:pt idx="129" formatCode="0.E+00">
                  <c:v>0</c:v>
                </c:pt>
                <c:pt idx="130" formatCode="0.E+00">
                  <c:v>0</c:v>
                </c:pt>
                <c:pt idx="135" formatCode="[$-411]m\.d\.ge">
                  <c:v>39701</c:v>
                </c:pt>
                <c:pt idx="136" formatCode="[$-411]m\.d\.ge">
                  <c:v>39783</c:v>
                </c:pt>
                <c:pt idx="137" formatCode="[$-411]m\.d\.ge">
                  <c:v>39853</c:v>
                </c:pt>
                <c:pt idx="138" formatCode="[$-411]m\.d\.ge">
                  <c:v>39953</c:v>
                </c:pt>
                <c:pt idx="139" formatCode="[$-411]m\.d\.ge">
                  <c:v>40046</c:v>
                </c:pt>
                <c:pt idx="140" formatCode="[$-411]m\.d\.ge">
                  <c:v>40127</c:v>
                </c:pt>
                <c:pt idx="141" formatCode="[$-411]m\.d\.ge">
                  <c:v>40218</c:v>
                </c:pt>
                <c:pt idx="142" formatCode="[$-411]m\.d\.ge">
                  <c:v>40315</c:v>
                </c:pt>
                <c:pt idx="143" formatCode="[$-411]m\.d\.ge">
                  <c:v>40400</c:v>
                </c:pt>
                <c:pt idx="144" formatCode="[$-411]m\.d\.ge">
                  <c:v>40493</c:v>
                </c:pt>
                <c:pt idx="145" formatCode="[$-411]m\.d\.ge">
                  <c:v>40581</c:v>
                </c:pt>
                <c:pt idx="146" formatCode="[$-411]m\.d\.ge">
                  <c:v>40612</c:v>
                </c:pt>
                <c:pt idx="147" formatCode="[$-411]m\.d\.ge">
                  <c:v>40613</c:v>
                </c:pt>
                <c:pt idx="148" formatCode="[$-411]m\.d\.ge">
                  <c:v>40737</c:v>
                </c:pt>
                <c:pt idx="149" formatCode="[$-411]m\.d\.ge">
                  <c:v>40784</c:v>
                </c:pt>
                <c:pt idx="150" formatCode="[$-411]m\.d\.ge">
                  <c:v>40858</c:v>
                </c:pt>
                <c:pt idx="151" formatCode="[$-411]m\.d\.ge">
                  <c:v>40948</c:v>
                </c:pt>
                <c:pt idx="152" formatCode="[$-411]m\.d\.ge">
                  <c:v>41044</c:v>
                </c:pt>
                <c:pt idx="153" formatCode="[$-411]m\.d\.ge">
                  <c:v>41143</c:v>
                </c:pt>
                <c:pt idx="154" formatCode="[$-411]m\.d\.ge">
                  <c:v>41242</c:v>
                </c:pt>
                <c:pt idx="155" formatCode="[$-411]m\.d\.ge">
                  <c:v>41331</c:v>
                </c:pt>
                <c:pt idx="156" formatCode="[$-411]m\.d\.ge">
                  <c:v>41409</c:v>
                </c:pt>
                <c:pt idx="157" formatCode="[$-411]m\.d\.ge">
                  <c:v>41507</c:v>
                </c:pt>
                <c:pt idx="158" formatCode="[$-411]m\.d\.ge">
                  <c:v>41603</c:v>
                </c:pt>
                <c:pt idx="159" formatCode="[$-411]m\.d\.ge">
                  <c:v>41694</c:v>
                </c:pt>
                <c:pt idx="160" formatCode="[$-411]m\.d\.ge">
                  <c:v>41779</c:v>
                </c:pt>
                <c:pt idx="161" formatCode="[$-411]m\.d\.ge">
                  <c:v>41871</c:v>
                </c:pt>
                <c:pt idx="162" formatCode="[$-411]m\.d\.ge">
                  <c:v>41954</c:v>
                </c:pt>
                <c:pt idx="163" formatCode="[$-411]m\.d\.ge">
                  <c:v>42069</c:v>
                </c:pt>
                <c:pt idx="164" formatCode="[$-411]m\.d\.ge">
                  <c:v>42146</c:v>
                </c:pt>
                <c:pt idx="165" formatCode="[$-411]m\.d\.ge">
                  <c:v>42275</c:v>
                </c:pt>
                <c:pt idx="166" formatCode="[$-411]m\.d\.ge">
                  <c:v>42348</c:v>
                </c:pt>
                <c:pt idx="167" formatCode="[$-411]m\.d\.ge">
                  <c:v>42409</c:v>
                </c:pt>
                <c:pt idx="168" formatCode="[$-411]m\.d\.ge">
                  <c:v>42500</c:v>
                </c:pt>
                <c:pt idx="169" formatCode="[$-411]m\.d\.ge">
                  <c:v>42586</c:v>
                </c:pt>
                <c:pt idx="170" formatCode="[$-411]m\.d\.ge">
                  <c:v>42712</c:v>
                </c:pt>
                <c:pt idx="171" formatCode="[$-411]m\.d\.ge">
                  <c:v>42794</c:v>
                </c:pt>
                <c:pt idx="172" formatCode="[$-411]m\.d\.ge">
                  <c:v>42895</c:v>
                </c:pt>
                <c:pt idx="173" formatCode="[$-411]m\.d\.ge">
                  <c:v>43054</c:v>
                </c:pt>
              </c:numCache>
            </c:numRef>
          </c:cat>
          <c:val>
            <c:numRef>
              <c:f>あらめ!$Z$197:$Z$383</c:f>
              <c:numCache>
                <c:formatCode>0.000</c:formatCode>
                <c:ptCount val="187"/>
                <c:pt idx="8" formatCode="&quot;(&quot;0.00&quot;)&quot;">
                  <c:v>0.20370370370370369</c:v>
                </c:pt>
                <c:pt idx="10" formatCode="&quot;(&quot;0.00&quot;)&quot;">
                  <c:v>0.22962962962962963</c:v>
                </c:pt>
                <c:pt idx="11" formatCode="&quot;(&quot;0.00&quot;)&quot;">
                  <c:v>0.2</c:v>
                </c:pt>
                <c:pt idx="13" formatCode="&quot;(&quot;0.00&quot;)&quot;">
                  <c:v>0.17777777777777778</c:v>
                </c:pt>
                <c:pt idx="15">
                  <c:v>1.9983513043103786E-2</c:v>
                </c:pt>
                <c:pt idx="16">
                  <c:v>0.10740740740740741</c:v>
                </c:pt>
                <c:pt idx="18">
                  <c:v>0.12962962962962962</c:v>
                </c:pt>
                <c:pt idx="19">
                  <c:v>0.18518518518518517</c:v>
                </c:pt>
                <c:pt idx="20" formatCode="&quot;(&quot;0.00&quot;)&quot;">
                  <c:v>8.1481481481481502E-2</c:v>
                </c:pt>
                <c:pt idx="22">
                  <c:v>8.8888888888888892E-2</c:v>
                </c:pt>
                <c:pt idx="25" formatCode="&quot;(&quot;0.00&quot;)&quot;">
                  <c:v>0.3</c:v>
                </c:pt>
                <c:pt idx="27">
                  <c:v>0.24814814814814815</c:v>
                </c:pt>
                <c:pt idx="29" formatCode="&quot;(&quot;0.00&quot;)&quot;">
                  <c:v>0.1037037037037037</c:v>
                </c:pt>
                <c:pt idx="31" formatCode="&quot;(&quot;0.00&quot;)&quot;">
                  <c:v>8.8888888888888892E-2</c:v>
                </c:pt>
                <c:pt idx="33">
                  <c:v>9.2592592592592587E-2</c:v>
                </c:pt>
                <c:pt idx="35">
                  <c:v>0.14814814814814814</c:v>
                </c:pt>
                <c:pt idx="36">
                  <c:v>1.8643280198868031E-2</c:v>
                </c:pt>
                <c:pt idx="37" formatCode="&quot;(&quot;0.00&quot;)&quot;">
                  <c:v>0.1</c:v>
                </c:pt>
                <c:pt idx="39" formatCode="&quot;(&quot;0.00&quot;)&quot;">
                  <c:v>7.2999999999999995E-2</c:v>
                </c:pt>
                <c:pt idx="40">
                  <c:v>0.15</c:v>
                </c:pt>
                <c:pt idx="41">
                  <c:v>0.11</c:v>
                </c:pt>
                <c:pt idx="42" formatCode="&quot;(&quot;0.00&quot;)&quot;">
                  <c:v>0.1</c:v>
                </c:pt>
                <c:pt idx="44">
                  <c:v>1.8010667018592611E-2</c:v>
                </c:pt>
                <c:pt idx="45">
                  <c:v>0.17</c:v>
                </c:pt>
                <c:pt idx="46" formatCode="&quot;(&quot;0.00&quot;)&quot;">
                  <c:v>0.11</c:v>
                </c:pt>
                <c:pt idx="47">
                  <c:v>0.1</c:v>
                </c:pt>
                <c:pt idx="48" formatCode="&quot;(&quot;0.00&quot;)&quot;">
                  <c:v>9.4E-2</c:v>
                </c:pt>
                <c:pt idx="49">
                  <c:v>0.12</c:v>
                </c:pt>
                <c:pt idx="50">
                  <c:v>1.7395128155534342E-2</c:v>
                </c:pt>
                <c:pt idx="51" formatCode="&quot;(&quot;0.00&quot;)&quot;">
                  <c:v>9.0999999999999998E-2</c:v>
                </c:pt>
                <c:pt idx="52">
                  <c:v>1.7208410367413302E-2</c:v>
                </c:pt>
                <c:pt idx="53" formatCode="&quot;(&quot;0.00&quot;)&quot;">
                  <c:v>0.11</c:v>
                </c:pt>
                <c:pt idx="54" formatCode="&quot;(&quot;0.00&quot;)&quot;">
                  <c:v>0.12</c:v>
                </c:pt>
                <c:pt idx="55">
                  <c:v>1.6900590583604724E-2</c:v>
                </c:pt>
                <c:pt idx="56" formatCode="&quot;(&quot;0.00&quot;)&quot;">
                  <c:v>0.1</c:v>
                </c:pt>
                <c:pt idx="57">
                  <c:v>1.6699145095245973E-2</c:v>
                </c:pt>
                <c:pt idx="58" formatCode="&quot;(&quot;0.00&quot;)&quot;">
                  <c:v>0.12</c:v>
                </c:pt>
                <c:pt idx="59">
                  <c:v>6.3E-2</c:v>
                </c:pt>
                <c:pt idx="60">
                  <c:v>5.1999999999999998E-2</c:v>
                </c:pt>
                <c:pt idx="61">
                  <c:v>0.1</c:v>
                </c:pt>
                <c:pt idx="62">
                  <c:v>1.6215181299593713E-2</c:v>
                </c:pt>
                <c:pt idx="63">
                  <c:v>5.8000000000000003E-2</c:v>
                </c:pt>
                <c:pt idx="64">
                  <c:v>6.2E-2</c:v>
                </c:pt>
                <c:pt idx="65">
                  <c:v>9.2999999999999999E-2</c:v>
                </c:pt>
                <c:pt idx="66" formatCode="&quot;(&quot;0.00&quot;)&quot;">
                  <c:v>4.9000000000000002E-2</c:v>
                </c:pt>
                <c:pt idx="67" formatCode="&quot;(&quot;0.00&quot;)&quot;">
                  <c:v>5.6000000000000001E-2</c:v>
                </c:pt>
                <c:pt idx="68">
                  <c:v>8.5999999999999993E-2</c:v>
                </c:pt>
                <c:pt idx="69">
                  <c:v>1.5594924089602159E-2</c:v>
                </c:pt>
                <c:pt idx="70">
                  <c:v>0.11</c:v>
                </c:pt>
                <c:pt idx="71">
                  <c:v>7.1999999999999995E-2</c:v>
                </c:pt>
                <c:pt idx="72">
                  <c:v>7.5999999999999998E-2</c:v>
                </c:pt>
                <c:pt idx="73">
                  <c:v>7.4999999999999997E-2</c:v>
                </c:pt>
                <c:pt idx="74" formatCode="&quot;(&quot;0.00&quot;)&quot;">
                  <c:v>5.7000000000000002E-2</c:v>
                </c:pt>
                <c:pt idx="75" formatCode="&quot;(&quot;0.00&quot;)&quot;">
                  <c:v>4.8000000000000001E-2</c:v>
                </c:pt>
                <c:pt idx="76">
                  <c:v>6.8000000000000005E-2</c:v>
                </c:pt>
                <c:pt idx="77">
                  <c:v>7.2999999999999995E-2</c:v>
                </c:pt>
                <c:pt idx="78">
                  <c:v>7.9000000000000001E-2</c:v>
                </c:pt>
                <c:pt idx="79">
                  <c:v>4.2999999999999997E-2</c:v>
                </c:pt>
                <c:pt idx="80">
                  <c:v>6.0999999999999999E-2</c:v>
                </c:pt>
                <c:pt idx="81">
                  <c:v>8.2000000000000003E-2</c:v>
                </c:pt>
                <c:pt idx="82">
                  <c:v>1.6381300734655702E-2</c:v>
                </c:pt>
                <c:pt idx="83" formatCode="&quot;(&quot;0.00&quot;)&quot;">
                  <c:v>0.05</c:v>
                </c:pt>
                <c:pt idx="84" formatCode="&quot;(&quot;0.00&quot;)&quot;">
                  <c:v>4.9000000000000002E-2</c:v>
                </c:pt>
                <c:pt idx="85">
                  <c:v>9.0999999999999998E-2</c:v>
                </c:pt>
                <c:pt idx="86">
                  <c:v>5.5E-2</c:v>
                </c:pt>
                <c:pt idx="87">
                  <c:v>5.8000000000000003E-2</c:v>
                </c:pt>
                <c:pt idx="88">
                  <c:v>5.2999999999999999E-2</c:v>
                </c:pt>
                <c:pt idx="89">
                  <c:v>8.5999999999999993E-2</c:v>
                </c:pt>
                <c:pt idx="90">
                  <c:v>1.5656371086438189E-2</c:v>
                </c:pt>
                <c:pt idx="91">
                  <c:v>1.5561644645011304E-2</c:v>
                </c:pt>
                <c:pt idx="92" formatCode="&quot;(&quot;0.00&quot;)&quot;">
                  <c:v>7.2999999999999995E-2</c:v>
                </c:pt>
                <c:pt idx="93" formatCode="&quot;(&quot;0.00&quot;)&quot;">
                  <c:v>7.4999999999999997E-2</c:v>
                </c:pt>
                <c:pt idx="94">
                  <c:v>1.5280890236954968E-2</c:v>
                </c:pt>
                <c:pt idx="95" formatCode="&quot;(&quot;0.00&quot;)&quot;">
                  <c:v>8.5999999999999993E-2</c:v>
                </c:pt>
                <c:pt idx="96" formatCode="&quot;(&quot;0.00&quot;)&quot;">
                  <c:v>7.2999999999999995E-2</c:v>
                </c:pt>
                <c:pt idx="97">
                  <c:v>1.5026084025384634E-2</c:v>
                </c:pt>
                <c:pt idx="98" formatCode="&quot;(&quot;0.00&quot;)&quot;">
                  <c:v>4.7E-2</c:v>
                </c:pt>
                <c:pt idx="99" formatCode="&quot;(&quot;0.00&quot;)&quot;">
                  <c:v>7.0000000000000007E-2</c:v>
                </c:pt>
                <c:pt idx="100" formatCode="&quot;(&quot;0.00&quot;)&quot;">
                  <c:v>7.5999999999999998E-2</c:v>
                </c:pt>
                <c:pt idx="101" formatCode="&quot;(&quot;0.00&quot;)&quot;">
                  <c:v>5.7000000000000002E-2</c:v>
                </c:pt>
                <c:pt idx="102">
                  <c:v>1.4599119163147956E-2</c:v>
                </c:pt>
                <c:pt idx="103">
                  <c:v>1.4529147302420645E-2</c:v>
                </c:pt>
                <c:pt idx="104" formatCode="&quot;(&quot;0.00&quot;)&quot;">
                  <c:v>7.5999999999999998E-2</c:v>
                </c:pt>
                <c:pt idx="105" formatCode="&quot;(&quot;0.00&quot;)&quot;">
                  <c:v>7.0000000000000007E-2</c:v>
                </c:pt>
                <c:pt idx="106">
                  <c:v>1.426161024317244E-2</c:v>
                </c:pt>
                <c:pt idx="107">
                  <c:v>1.4187873610848367E-2</c:v>
                </c:pt>
                <c:pt idx="108">
                  <c:v>8.2000000000000003E-2</c:v>
                </c:pt>
                <c:pt idx="109" formatCode="&quot;(&quot;0.00&quot;)&quot;">
                  <c:v>0.08</c:v>
                </c:pt>
                <c:pt idx="110" formatCode="&quot;(&quot;0.00&quot;)&quot;">
                  <c:v>5.8000000000000003E-2</c:v>
                </c:pt>
                <c:pt idx="111">
                  <c:v>1.3862500788461619E-2</c:v>
                </c:pt>
                <c:pt idx="112">
                  <c:v>7.5999999999999998E-2</c:v>
                </c:pt>
                <c:pt idx="113">
                  <c:v>6.8000000000000005E-2</c:v>
                </c:pt>
                <c:pt idx="114">
                  <c:v>1.3627038071369913E-2</c:v>
                </c:pt>
                <c:pt idx="115">
                  <c:v>6.0999999999999999E-2</c:v>
                </c:pt>
                <c:pt idx="116">
                  <c:v>5.1999999999999998E-2</c:v>
                </c:pt>
                <c:pt idx="117">
                  <c:v>0.06</c:v>
                </c:pt>
                <c:pt idx="118">
                  <c:v>1.3316210466855069E-2</c:v>
                </c:pt>
                <c:pt idx="119">
                  <c:v>1.3235642803770663E-2</c:v>
                </c:pt>
                <c:pt idx="135">
                  <c:v>6.0999999999999999E-2</c:v>
                </c:pt>
                <c:pt idx="136">
                  <c:v>1.3055318024662744E-2</c:v>
                </c:pt>
                <c:pt idx="137">
                  <c:v>1.2997674441039079E-2</c:v>
                </c:pt>
                <c:pt idx="138" formatCode="&quot;(&quot;0.00&quot;)&quot;">
                  <c:v>5.1999999999999998E-2</c:v>
                </c:pt>
                <c:pt idx="139">
                  <c:v>5.5E-2</c:v>
                </c:pt>
                <c:pt idx="140">
                  <c:v>6.3E-2</c:v>
                </c:pt>
                <c:pt idx="141" formatCode="&quot;(&quot;0.00&quot;)&quot;">
                  <c:v>5.8999999999999997E-2</c:v>
                </c:pt>
                <c:pt idx="142">
                  <c:v>1.2623557697389947E-2</c:v>
                </c:pt>
                <c:pt idx="143" formatCode="&quot;(&quot;0.00&quot;)&quot;">
                  <c:v>4.8000000000000001E-2</c:v>
                </c:pt>
                <c:pt idx="145" formatCode="&quot;(&quot;0.00&quot;)&quot;">
                  <c:v>6.5000000000000002E-2</c:v>
                </c:pt>
                <c:pt idx="148" formatCode="0.00">
                  <c:v>12.76</c:v>
                </c:pt>
                <c:pt idx="149" formatCode="0.00">
                  <c:v>4.8899999999999997</c:v>
                </c:pt>
                <c:pt idx="150" formatCode="0.00">
                  <c:v>8.56</c:v>
                </c:pt>
                <c:pt idx="151" formatCode="0.00">
                  <c:v>6.39</c:v>
                </c:pt>
                <c:pt idx="152" formatCode="0.00">
                  <c:v>3.69</c:v>
                </c:pt>
                <c:pt idx="153" formatCode="0.00">
                  <c:v>1.36</c:v>
                </c:pt>
                <c:pt idx="154" formatCode="0.00">
                  <c:v>0.64</c:v>
                </c:pt>
                <c:pt idx="155" formatCode="0.00">
                  <c:v>0.16</c:v>
                </c:pt>
                <c:pt idx="156" formatCode="0.00">
                  <c:v>1</c:v>
                </c:pt>
                <c:pt idx="157" formatCode="0.00">
                  <c:v>0.55000000000000004</c:v>
                </c:pt>
                <c:pt idx="158" formatCode="0.00">
                  <c:v>0.49</c:v>
                </c:pt>
                <c:pt idx="159" formatCode="0.00">
                  <c:v>0.11</c:v>
                </c:pt>
                <c:pt idx="160" formatCode="0.00">
                  <c:v>0.17</c:v>
                </c:pt>
                <c:pt idx="161" formatCode="0.00">
                  <c:v>0.15</c:v>
                </c:pt>
                <c:pt idx="162" formatCode="0.00">
                  <c:v>0.11</c:v>
                </c:pt>
                <c:pt idx="163">
                  <c:v>1.9612432875670965E-2</c:v>
                </c:pt>
                <c:pt idx="164" formatCode="0.00">
                  <c:v>0.15</c:v>
                </c:pt>
                <c:pt idx="165">
                  <c:v>8.1000000000000003E-2</c:v>
                </c:pt>
                <c:pt idx="166">
                  <c:v>6.5000000000000002E-2</c:v>
                </c:pt>
                <c:pt idx="167">
                  <c:v>1.9196079076607586E-2</c:v>
                </c:pt>
                <c:pt idx="168">
                  <c:v>9.1999999999999998E-2</c:v>
                </c:pt>
                <c:pt idx="169">
                  <c:v>7.5999999999999998E-2</c:v>
                </c:pt>
                <c:pt idx="170" formatCode="&quot;(&quot;0.00&quot;)&quot;">
                  <c:v>6.8000000000000005E-2</c:v>
                </c:pt>
                <c:pt idx="171" formatCode="&quot;(&quot;0.00&quot;)&quot;">
                  <c:v>5.8999999999999997E-2</c:v>
                </c:pt>
                <c:pt idx="172">
                  <c:v>1.8616238231505912E-2</c:v>
                </c:pt>
                <c:pt idx="173">
                  <c:v>9.8000000000000004E-2</c:v>
                </c:pt>
              </c:numCache>
            </c:numRef>
          </c:val>
          <c:smooth val="0"/>
        </c:ser>
        <c:ser>
          <c:idx val="1"/>
          <c:order val="2"/>
          <c:tx>
            <c:strRef>
              <c:f>あらめ!$AR$195</c:f>
              <c:strCache>
                <c:ptCount val="1"/>
                <c:pt idx="0">
                  <c:v>Cs137減衰</c:v>
                </c:pt>
              </c:strCache>
            </c:strRef>
          </c:tx>
          <c:spPr>
            <a:ln w="38100">
              <a:solidFill>
                <a:schemeClr val="accent6">
                  <a:lumMod val="50000"/>
                </a:schemeClr>
              </a:solidFill>
              <a:prstDash val="sysDot"/>
            </a:ln>
          </c:spPr>
          <c:marker>
            <c:symbol val="none"/>
          </c:marker>
          <c:cat>
            <c:numRef>
              <c:f>あらめ!$V$197:$V$383</c:f>
              <c:numCache>
                <c:formatCode>0.000000000000000000000000000000E+00</c:formatCode>
                <c:ptCount val="187"/>
                <c:pt idx="5" formatCode="[$-411]m\.d\.ge">
                  <c:v>30252</c:v>
                </c:pt>
                <c:pt idx="7" formatCode="[$-411]m\.d\.ge">
                  <c:v>30340</c:v>
                </c:pt>
                <c:pt idx="8" formatCode="[$-411]m\.d\.ge">
                  <c:v>30607</c:v>
                </c:pt>
                <c:pt idx="10" formatCode="[$-411]m\.d\.ge">
                  <c:v>30694</c:v>
                </c:pt>
                <c:pt idx="11" formatCode="[$-411]m\.d\.ge">
                  <c:v>30799</c:v>
                </c:pt>
                <c:pt idx="12" formatCode="[$-411]m\.d\.ge">
                  <c:v>30866</c:v>
                </c:pt>
                <c:pt idx="13" formatCode="[$-411]m\.d\.ge">
                  <c:v>30959</c:v>
                </c:pt>
                <c:pt idx="15" formatCode="[$-411]m\.d\.ge">
                  <c:v>31061</c:v>
                </c:pt>
                <c:pt idx="16" formatCode="[$-411]m\.d\.ge">
                  <c:v>31156</c:v>
                </c:pt>
                <c:pt idx="18" formatCode="[$-411]m\.d\.ge">
                  <c:v>31237</c:v>
                </c:pt>
                <c:pt idx="19" formatCode="[$-411]m\.d\.ge">
                  <c:v>31332</c:v>
                </c:pt>
                <c:pt idx="20" formatCode="[$-411]m\.d\.ge">
                  <c:v>31442</c:v>
                </c:pt>
                <c:pt idx="22" formatCode="[$-411]m\.d\.ge">
                  <c:v>31517</c:v>
                </c:pt>
                <c:pt idx="24" formatCode="[$-411]m\.d\.ge">
                  <c:v>31528</c:v>
                </c:pt>
                <c:pt idx="25" formatCode="[$-411]m\.d\.ge">
                  <c:v>31604</c:v>
                </c:pt>
                <c:pt idx="27" formatCode="[$-411]m\.d\.ge">
                  <c:v>31709</c:v>
                </c:pt>
                <c:pt idx="29" formatCode="[$-411]m\.d\.ge">
                  <c:v>31798</c:v>
                </c:pt>
                <c:pt idx="31" formatCode="[$-411]m\.d\.ge">
                  <c:v>31873</c:v>
                </c:pt>
                <c:pt idx="33" formatCode="[$-411]m\.d\.ge">
                  <c:v>31972</c:v>
                </c:pt>
                <c:pt idx="35" formatCode="[$-411]m\.d\.ge">
                  <c:v>32074</c:v>
                </c:pt>
                <c:pt idx="36" formatCode="[$-411]m\.d\.ge">
                  <c:v>32161</c:v>
                </c:pt>
                <c:pt idx="37" formatCode="[$-411]m\.d\.ge">
                  <c:v>32247</c:v>
                </c:pt>
                <c:pt idx="39" formatCode="[$-411]m\.d\.ge">
                  <c:v>32344</c:v>
                </c:pt>
                <c:pt idx="40" formatCode="[$-411]m\.d\.ge">
                  <c:v>32441</c:v>
                </c:pt>
                <c:pt idx="41" formatCode="[$-411]m\.d\.ge">
                  <c:v>32525</c:v>
                </c:pt>
                <c:pt idx="42" formatCode="[$-411]m\.d\.ge">
                  <c:v>32616</c:v>
                </c:pt>
                <c:pt idx="44" formatCode="[$-411]m\.d\.ge">
                  <c:v>32708</c:v>
                </c:pt>
                <c:pt idx="45" formatCode="[$-411]m\.d\.ge">
                  <c:v>32805</c:v>
                </c:pt>
                <c:pt idx="46" formatCode="[$-411]m\.d\.ge">
                  <c:v>32883</c:v>
                </c:pt>
                <c:pt idx="47" formatCode="[$-411]m\.d\.ge">
                  <c:v>33000</c:v>
                </c:pt>
                <c:pt idx="48" formatCode="[$-411]m\.d\.ge">
                  <c:v>33059</c:v>
                </c:pt>
                <c:pt idx="49" formatCode="[$-411]m\.d\.ge">
                  <c:v>33177</c:v>
                </c:pt>
                <c:pt idx="50" formatCode="[$-411]m\.d\.ge">
                  <c:v>33259</c:v>
                </c:pt>
                <c:pt idx="51" formatCode="[$-411]m\.d\.ge">
                  <c:v>33350</c:v>
                </c:pt>
                <c:pt idx="52" formatCode="[$-411]m\.d\.ge">
                  <c:v>33430</c:v>
                </c:pt>
                <c:pt idx="53" formatCode="[$-411]m\.d\.ge">
                  <c:v>33532</c:v>
                </c:pt>
                <c:pt idx="54" formatCode="[$-411]m\.d\.ge">
                  <c:v>33625</c:v>
                </c:pt>
                <c:pt idx="55" formatCode="[$-411]m\.d\.ge">
                  <c:v>33716</c:v>
                </c:pt>
                <c:pt idx="56" formatCode="[$-411]m\.d\.ge">
                  <c:v>33791</c:v>
                </c:pt>
                <c:pt idx="57" formatCode="[$-411]m\.d\.ge">
                  <c:v>33906</c:v>
                </c:pt>
                <c:pt idx="58" formatCode="[$-411]m\.d\.ge">
                  <c:v>34001</c:v>
                </c:pt>
                <c:pt idx="59" formatCode="[$-411]m\.d\.ge">
                  <c:v>34085</c:v>
                </c:pt>
                <c:pt idx="60" formatCode="[$-411]m\.d\.ge">
                  <c:v>34156</c:v>
                </c:pt>
                <c:pt idx="61" formatCode="[$-411]m\.d\.ge">
                  <c:v>34248</c:v>
                </c:pt>
                <c:pt idx="62" formatCode="[$-411]m\.d\.ge">
                  <c:v>34372</c:v>
                </c:pt>
                <c:pt idx="63" formatCode="[$-411]m\.d\.ge">
                  <c:v>34445</c:v>
                </c:pt>
                <c:pt idx="64" formatCode="[$-411]m\.d\.ge">
                  <c:v>34541</c:v>
                </c:pt>
                <c:pt idx="65" formatCode="[$-411]m\.d\.ge">
                  <c:v>34618</c:v>
                </c:pt>
                <c:pt idx="66" formatCode="[$-411]m\.d\.ge">
                  <c:v>34737</c:v>
                </c:pt>
                <c:pt idx="67" formatCode="[$-411]m\.d\.ge">
                  <c:v>34810</c:v>
                </c:pt>
                <c:pt idx="68" formatCode="[$-411]m\.d\.ge">
                  <c:v>34905</c:v>
                </c:pt>
                <c:pt idx="69" formatCode="[$-411]m\.d\.ge">
                  <c:v>34990</c:v>
                </c:pt>
                <c:pt idx="70" formatCode="[$-411]m\.d\.ge">
                  <c:v>35086</c:v>
                </c:pt>
                <c:pt idx="71" formatCode="[$-411]m\.d\.ge">
                  <c:v>35179</c:v>
                </c:pt>
                <c:pt idx="72" formatCode="[$-411]m\.d\.ge">
                  <c:v>35277</c:v>
                </c:pt>
                <c:pt idx="73" formatCode="[$-411]m\.d\.ge">
                  <c:v>35352</c:v>
                </c:pt>
                <c:pt idx="74" formatCode="[$-411]m\.d\.ge">
                  <c:v>35492</c:v>
                </c:pt>
                <c:pt idx="75" formatCode="[$-411]m\.d\.ge">
                  <c:v>35535</c:v>
                </c:pt>
                <c:pt idx="76" formatCode="[$-411]m\.d\.ge">
                  <c:v>35626</c:v>
                </c:pt>
                <c:pt idx="77" formatCode="[$-411]m\.d\.ge">
                  <c:v>35717</c:v>
                </c:pt>
                <c:pt idx="78" formatCode="[$-411]m\.d\.ge">
                  <c:v>35822</c:v>
                </c:pt>
                <c:pt idx="79" formatCode="[$-411]m\.d\.ge">
                  <c:v>35926</c:v>
                </c:pt>
                <c:pt idx="80" formatCode="[$-411]m\.d\.ge">
                  <c:v>36004</c:v>
                </c:pt>
                <c:pt idx="81" formatCode="[$-411]m\.d\.ge">
                  <c:v>36074</c:v>
                </c:pt>
                <c:pt idx="82" formatCode="[$-411]m\.d\.ge">
                  <c:v>36193</c:v>
                </c:pt>
                <c:pt idx="83" formatCode="[$-411]m\.d\.ge">
                  <c:v>36292</c:v>
                </c:pt>
                <c:pt idx="84" formatCode="[$-411]m\.d\.ge">
                  <c:v>36362</c:v>
                </c:pt>
                <c:pt idx="85" formatCode="[$-411]m\.d\.ge">
                  <c:v>36452</c:v>
                </c:pt>
                <c:pt idx="86" formatCode="[$-411]m\.d\.ge">
                  <c:v>36551</c:v>
                </c:pt>
                <c:pt idx="87" formatCode="[$-411]m\.d\.ge">
                  <c:v>36656</c:v>
                </c:pt>
                <c:pt idx="88" formatCode="[$-411]m\.d\.ge">
                  <c:v>36719</c:v>
                </c:pt>
                <c:pt idx="89" formatCode="[$-411]m\.d\.ge">
                  <c:v>36815</c:v>
                </c:pt>
                <c:pt idx="90" formatCode="[$-411]m\.d\.ge">
                  <c:v>36909</c:v>
                </c:pt>
                <c:pt idx="91" formatCode="[$-411]m\.d\.ge">
                  <c:v>37005</c:v>
                </c:pt>
                <c:pt idx="92" formatCode="[$-411]m\.d\.ge">
                  <c:v>37081</c:v>
                </c:pt>
                <c:pt idx="93" formatCode="[$-411]m\.d\.ge">
                  <c:v>37180</c:v>
                </c:pt>
                <c:pt idx="94" formatCode="[$-411]m\.d\.ge">
                  <c:v>37293</c:v>
                </c:pt>
                <c:pt idx="95" formatCode="[$-411]m\.d\.ge">
                  <c:v>37362</c:v>
                </c:pt>
                <c:pt idx="96" formatCode="[$-411]m\.d\.ge">
                  <c:v>37454</c:v>
                </c:pt>
                <c:pt idx="97" formatCode="[$-411]m\.d\.ge">
                  <c:v>37559</c:v>
                </c:pt>
                <c:pt idx="98" formatCode="[$-411]m\.d\.ge">
                  <c:v>37656</c:v>
                </c:pt>
                <c:pt idx="99" formatCode="[$-411]m\.d\.ge">
                  <c:v>37727</c:v>
                </c:pt>
                <c:pt idx="100" formatCode="[$-411]m\.d\.ge">
                  <c:v>37837</c:v>
                </c:pt>
                <c:pt idx="101" formatCode="[$-411]m\.d\.ge">
                  <c:v>37915</c:v>
                </c:pt>
                <c:pt idx="102" formatCode="[$-411]m\.d\.ge">
                  <c:v>38015</c:v>
                </c:pt>
                <c:pt idx="103" formatCode="[$-411]m\.d\.ge">
                  <c:v>38091</c:v>
                </c:pt>
                <c:pt idx="104" formatCode="[$-411]m\.d\.ge">
                  <c:v>38195</c:v>
                </c:pt>
                <c:pt idx="105" formatCode="[$-411]m\.d\.ge">
                  <c:v>38286</c:v>
                </c:pt>
                <c:pt idx="106" formatCode="[$-411]m\.d\.ge">
                  <c:v>38385</c:v>
                </c:pt>
                <c:pt idx="107" formatCode="[$-411]m\.d\.ge">
                  <c:v>38467</c:v>
                </c:pt>
                <c:pt idx="108" formatCode="[$-411]m\.d\.ge">
                  <c:v>38553</c:v>
                </c:pt>
                <c:pt idx="109" formatCode="[$-411]m\.d\.ge">
                  <c:v>38651</c:v>
                </c:pt>
                <c:pt idx="110" formatCode="[$-411]m\.d\.ge">
                  <c:v>38747</c:v>
                </c:pt>
                <c:pt idx="111" formatCode="[$-411]m\.d\.ge">
                  <c:v>38834</c:v>
                </c:pt>
                <c:pt idx="112" formatCode="[$-411]m\.d\.ge">
                  <c:v>38910</c:v>
                </c:pt>
                <c:pt idx="113" formatCode="[$-411]m\.d\.ge">
                  <c:v>39023</c:v>
                </c:pt>
                <c:pt idx="114" formatCode="[$-411]m\.d\.ge">
                  <c:v>39105</c:v>
                </c:pt>
                <c:pt idx="115" formatCode="[$-411]m\.d\.ge">
                  <c:v>39198</c:v>
                </c:pt>
                <c:pt idx="116" formatCode="[$-411]m\.d\.ge">
                  <c:v>39303</c:v>
                </c:pt>
                <c:pt idx="117" formatCode="[$-411]m\.d\.ge">
                  <c:v>39366</c:v>
                </c:pt>
                <c:pt idx="118" formatCode="[$-411]m\.d\.ge">
                  <c:v>39470</c:v>
                </c:pt>
                <c:pt idx="119" formatCode="[$-411]m\.d\.ge">
                  <c:v>39566</c:v>
                </c:pt>
                <c:pt idx="121" formatCode="0.E+00">
                  <c:v>3.8530217851091534E-308</c:v>
                </c:pt>
                <c:pt idx="122" formatCode="0.E+00">
                  <c:v>3.5370225297279948E-308</c:v>
                </c:pt>
                <c:pt idx="123" formatCode="0.E+00">
                  <c:v>3.2469394344345388E-308</c:v>
                </c:pt>
                <c:pt idx="124" formatCode="0.E+00">
                  <c:v>2.9806470279101202E-308</c:v>
                </c:pt>
                <c:pt idx="125" formatCode="0.E+00">
                  <c:v>2.7361941558776368E-308</c:v>
                </c:pt>
                <c:pt idx="126" formatCode="0.E+00">
                  <c:v>2.5117896847749598E-308</c:v>
                </c:pt>
                <c:pt idx="127" formatCode="0.E+00">
                  <c:v>2.305789377917244E-308</c:v>
                </c:pt>
                <c:pt idx="128" formatCode="0.E+00">
                  <c:v>0</c:v>
                </c:pt>
                <c:pt idx="129" formatCode="0.E+00">
                  <c:v>0</c:v>
                </c:pt>
                <c:pt idx="130" formatCode="0.E+00">
                  <c:v>0</c:v>
                </c:pt>
                <c:pt idx="135" formatCode="[$-411]m\.d\.ge">
                  <c:v>39701</c:v>
                </c:pt>
                <c:pt idx="136" formatCode="[$-411]m\.d\.ge">
                  <c:v>39783</c:v>
                </c:pt>
                <c:pt idx="137" formatCode="[$-411]m\.d\.ge">
                  <c:v>39853</c:v>
                </c:pt>
                <c:pt idx="138" formatCode="[$-411]m\.d\.ge">
                  <c:v>39953</c:v>
                </c:pt>
                <c:pt idx="139" formatCode="[$-411]m\.d\.ge">
                  <c:v>40046</c:v>
                </c:pt>
                <c:pt idx="140" formatCode="[$-411]m\.d\.ge">
                  <c:v>40127</c:v>
                </c:pt>
                <c:pt idx="141" formatCode="[$-411]m\.d\.ge">
                  <c:v>40218</c:v>
                </c:pt>
                <c:pt idx="142" formatCode="[$-411]m\.d\.ge">
                  <c:v>40315</c:v>
                </c:pt>
                <c:pt idx="143" formatCode="[$-411]m\.d\.ge">
                  <c:v>40400</c:v>
                </c:pt>
                <c:pt idx="144" formatCode="[$-411]m\.d\.ge">
                  <c:v>40493</c:v>
                </c:pt>
                <c:pt idx="145" formatCode="[$-411]m\.d\.ge">
                  <c:v>40581</c:v>
                </c:pt>
                <c:pt idx="146" formatCode="[$-411]m\.d\.ge">
                  <c:v>40612</c:v>
                </c:pt>
                <c:pt idx="147" formatCode="[$-411]m\.d\.ge">
                  <c:v>40613</c:v>
                </c:pt>
                <c:pt idx="148" formatCode="[$-411]m\.d\.ge">
                  <c:v>40737</c:v>
                </c:pt>
                <c:pt idx="149" formatCode="[$-411]m\.d\.ge">
                  <c:v>40784</c:v>
                </c:pt>
                <c:pt idx="150" formatCode="[$-411]m\.d\.ge">
                  <c:v>40858</c:v>
                </c:pt>
                <c:pt idx="151" formatCode="[$-411]m\.d\.ge">
                  <c:v>40948</c:v>
                </c:pt>
                <c:pt idx="152" formatCode="[$-411]m\.d\.ge">
                  <c:v>41044</c:v>
                </c:pt>
                <c:pt idx="153" formatCode="[$-411]m\.d\.ge">
                  <c:v>41143</c:v>
                </c:pt>
                <c:pt idx="154" formatCode="[$-411]m\.d\.ge">
                  <c:v>41242</c:v>
                </c:pt>
                <c:pt idx="155" formatCode="[$-411]m\.d\.ge">
                  <c:v>41331</c:v>
                </c:pt>
                <c:pt idx="156" formatCode="[$-411]m\.d\.ge">
                  <c:v>41409</c:v>
                </c:pt>
                <c:pt idx="157" formatCode="[$-411]m\.d\.ge">
                  <c:v>41507</c:v>
                </c:pt>
                <c:pt idx="158" formatCode="[$-411]m\.d\.ge">
                  <c:v>41603</c:v>
                </c:pt>
                <c:pt idx="159" formatCode="[$-411]m\.d\.ge">
                  <c:v>41694</c:v>
                </c:pt>
                <c:pt idx="160" formatCode="[$-411]m\.d\.ge">
                  <c:v>41779</c:v>
                </c:pt>
                <c:pt idx="161" formatCode="[$-411]m\.d\.ge">
                  <c:v>41871</c:v>
                </c:pt>
                <c:pt idx="162" formatCode="[$-411]m\.d\.ge">
                  <c:v>41954</c:v>
                </c:pt>
                <c:pt idx="163" formatCode="[$-411]m\.d\.ge">
                  <c:v>42069</c:v>
                </c:pt>
                <c:pt idx="164" formatCode="[$-411]m\.d\.ge">
                  <c:v>42146</c:v>
                </c:pt>
                <c:pt idx="165" formatCode="[$-411]m\.d\.ge">
                  <c:v>42275</c:v>
                </c:pt>
                <c:pt idx="166" formatCode="[$-411]m\.d\.ge">
                  <c:v>42348</c:v>
                </c:pt>
                <c:pt idx="167" formatCode="[$-411]m\.d\.ge">
                  <c:v>42409</c:v>
                </c:pt>
                <c:pt idx="168" formatCode="[$-411]m\.d\.ge">
                  <c:v>42500</c:v>
                </c:pt>
                <c:pt idx="169" formatCode="[$-411]m\.d\.ge">
                  <c:v>42586</c:v>
                </c:pt>
                <c:pt idx="170" formatCode="[$-411]m\.d\.ge">
                  <c:v>42712</c:v>
                </c:pt>
                <c:pt idx="171" formatCode="[$-411]m\.d\.ge">
                  <c:v>42794</c:v>
                </c:pt>
                <c:pt idx="172" formatCode="[$-411]m\.d\.ge">
                  <c:v>42895</c:v>
                </c:pt>
                <c:pt idx="173" formatCode="[$-411]m\.d\.ge">
                  <c:v>43054</c:v>
                </c:pt>
              </c:numCache>
            </c:numRef>
          </c:cat>
          <c:val>
            <c:numRef>
              <c:f>あらめ!$AR$197:$AR$383</c:f>
              <c:numCache>
                <c:formatCode>0.0</c:formatCode>
                <c:ptCount val="187"/>
                <c:pt idx="0">
                  <c:v>1</c:v>
                </c:pt>
                <c:pt idx="1">
                  <c:v>0.99817146231258558</c:v>
                </c:pt>
                <c:pt idx="2">
                  <c:v>0.99439888905007756</c:v>
                </c:pt>
                <c:pt idx="3">
                  <c:v>0.9907656221826544</c:v>
                </c:pt>
                <c:pt idx="4">
                  <c:v>0.98826765835389963</c:v>
                </c:pt>
                <c:pt idx="5">
                  <c:v>0.97870915646891943</c:v>
                </c:pt>
                <c:pt idx="6">
                  <c:v>0.97691954989129837</c:v>
                </c:pt>
                <c:pt idx="7">
                  <c:v>0.9689373041883742</c:v>
                </c:pt>
                <c:pt idx="8">
                  <c:v>0.95726728379701775</c:v>
                </c:pt>
                <c:pt idx="9">
                  <c:v>0.95395028228948797</c:v>
                </c:pt>
                <c:pt idx="10" formatCode="0.00">
                  <c:v>0.94890648463861604</c:v>
                </c:pt>
                <c:pt idx="11" formatCode="0.00">
                  <c:v>0.94418724971767631</c:v>
                </c:pt>
                <c:pt idx="12" formatCode="0.00">
                  <c:v>0.93889875217450547</c:v>
                </c:pt>
                <c:pt idx="13" formatCode="0.00">
                  <c:v>0.9334042150201175</c:v>
                </c:pt>
                <c:pt idx="14" formatCode="0.00">
                  <c:v>0.9294657229350598</c:v>
                </c:pt>
                <c:pt idx="15" formatCode="0.00">
                  <c:v>0.92817611445066439</c:v>
                </c:pt>
                <c:pt idx="16" formatCode="0.00">
                  <c:v>0.92402638888911615</c:v>
                </c:pt>
                <c:pt idx="17" formatCode="0.00">
                  <c:v>0.9225114164179864</c:v>
                </c:pt>
                <c:pt idx="18" formatCode="0.00">
                  <c:v>0.91717066122074953</c:v>
                </c:pt>
                <c:pt idx="19" formatCode="0.00">
                  <c:v>0.9119759292938977</c:v>
                </c:pt>
                <c:pt idx="20" formatCode="0.00">
                  <c:v>0.90738309516746218</c:v>
                </c:pt>
                <c:pt idx="21" formatCode="0.00">
                  <c:v>0.90595258347361829</c:v>
                </c:pt>
                <c:pt idx="23" formatCode="0.00">
                  <c:v>1</c:v>
                </c:pt>
                <c:pt idx="24" formatCode="0.00">
                  <c:v>0.99842347548520294</c:v>
                </c:pt>
                <c:pt idx="25" formatCode="0.00">
                  <c:v>0.9969752681552887</c:v>
                </c:pt>
                <c:pt idx="26" formatCode="0.00">
                  <c:v>0.99220480937425537</c:v>
                </c:pt>
                <c:pt idx="27" formatCode="0.00">
                  <c:v>0.99139109906402212</c:v>
                </c:pt>
                <c:pt idx="28" formatCode="0.00">
                  <c:v>0.98783116264452653</c:v>
                </c:pt>
                <c:pt idx="29" formatCode="0.00">
                  <c:v>0.98527841369657831</c:v>
                </c:pt>
                <c:pt idx="30" formatCode="0.00">
                  <c:v>0.98310445778580391</c:v>
                </c:pt>
                <c:pt idx="31" formatCode="0.00">
                  <c:v>0.98143068405277833</c:v>
                </c:pt>
                <c:pt idx="32" formatCode="0.00">
                  <c:v>0.9777830889656246</c:v>
                </c:pt>
                <c:pt idx="33" formatCode="0.00">
                  <c:v>0.97630320323054032</c:v>
                </c:pt>
                <c:pt idx="34" formatCode="0.00">
                  <c:v>0.97009985774318941</c:v>
                </c:pt>
                <c:pt idx="35" formatCode="0.00">
                  <c:v>0.96466622080746589</c:v>
                </c:pt>
                <c:pt idx="36" formatCode="0.00">
                  <c:v>0.95811345143101079</c:v>
                </c:pt>
                <c:pt idx="37" formatCode="0.00">
                  <c:v>0.95563749886173965</c:v>
                </c:pt>
                <c:pt idx="38" formatCode="0.00">
                  <c:v>0.9534687677773952</c:v>
                </c:pt>
                <c:pt idx="39" formatCode="0.00">
                  <c:v>0.94860710091767453</c:v>
                </c:pt>
                <c:pt idx="40" formatCode="0.00">
                  <c:v>0.9413907464694018</c:v>
                </c:pt>
                <c:pt idx="41" formatCode="0.00">
                  <c:v>0.93771440785156945</c:v>
                </c:pt>
                <c:pt idx="42" formatCode="0.00">
                  <c:v>0.93363987609283228</c:v>
                </c:pt>
                <c:pt idx="43" formatCode="0.00">
                  <c:v>0.93199149721136798</c:v>
                </c:pt>
                <c:pt idx="44" formatCode="0.00">
                  <c:v>0.92741491427615907</c:v>
                </c:pt>
                <c:pt idx="45" formatCode="0.00">
                  <c:v>0.9208826852812052</c:v>
                </c:pt>
                <c:pt idx="46" formatCode="0.00">
                  <c:v>0.91485824839048058</c:v>
                </c:pt>
                <c:pt idx="47" formatCode="0.00">
                  <c:v>0.91042325465844587</c:v>
                </c:pt>
                <c:pt idx="48" formatCode="0.00">
                  <c:v>0.9062957004684048</c:v>
                </c:pt>
                <c:pt idx="49" formatCode="0.00">
                  <c:v>0.89917420337852993</c:v>
                </c:pt>
                <c:pt idx="50" formatCode="0.00">
                  <c:v>0.89402497662168834</c:v>
                </c:pt>
                <c:pt idx="51" formatCode="0.00">
                  <c:v>0.88980328234941408</c:v>
                </c:pt>
                <c:pt idx="52" formatCode="0.00">
                  <c:v>0.88509864753922163</c:v>
                </c:pt>
                <c:pt idx="53" formatCode="0.00">
                  <c:v>0.87964133653787679</c:v>
                </c:pt>
                <c:pt idx="54" formatCode="0.00">
                  <c:v>0.87487999511161962</c:v>
                </c:pt>
                <c:pt idx="55" formatCode="0.00">
                  <c:v>0.86997969519113183</c:v>
                </c:pt>
                <c:pt idx="56" formatCode="0.00">
                  <c:v>0.86499765421669661</c:v>
                </c:pt>
                <c:pt idx="57" formatCode="0.00">
                  <c:v>0.85917613342752863</c:v>
                </c:pt>
                <c:pt idx="58" formatCode="0.00">
                  <c:v>0.8554428640944699</c:v>
                </c:pt>
                <c:pt idx="59" formatCode="0.00">
                  <c:v>0.84968564799914881</c:v>
                </c:pt>
                <c:pt idx="60" formatCode="0.00">
                  <c:v>0.84476650774808348</c:v>
                </c:pt>
                <c:pt idx="61" formatCode="0.00">
                  <c:v>0.83961086206833568</c:v>
                </c:pt>
                <c:pt idx="62" formatCode="0.00">
                  <c:v>0.83496080180767218</c:v>
                </c:pt>
                <c:pt idx="63" formatCode="0.00">
                  <c:v>0.83012690906403719</c:v>
                </c:pt>
                <c:pt idx="64" formatCode="0.00">
                  <c:v>0.82605053641745441</c:v>
                </c:pt>
                <c:pt idx="65" formatCode="0.00">
                  <c:v>0.82085368633353162</c:v>
                </c:pt>
                <c:pt idx="66" formatCode="0.00">
                  <c:v>0.81558657963406989</c:v>
                </c:pt>
                <c:pt idx="67" formatCode="0.00">
                  <c:v>0.81117195516497087</c:v>
                </c:pt>
                <c:pt idx="68" formatCode="0.00">
                  <c:v>0.80734150289965512</c:v>
                </c:pt>
                <c:pt idx="69" formatCode="0.00">
                  <c:v>0.8022623551088981</c:v>
                </c:pt>
                <c:pt idx="70" formatCode="0.00">
                  <c:v>0.79817167858498173</c:v>
                </c:pt>
                <c:pt idx="71" formatCode="0.00">
                  <c:v>0.79289997799547995</c:v>
                </c:pt>
                <c:pt idx="72" formatCode="0.00">
                  <c:v>0.78890682646503629</c:v>
                </c:pt>
                <c:pt idx="73" formatCode="0.00">
                  <c:v>0.78349850397781007</c:v>
                </c:pt>
                <c:pt idx="74" formatCode="0.00">
                  <c:v>0.7791592136919967</c:v>
                </c:pt>
                <c:pt idx="75" formatCode="0.00">
                  <c:v>0.77518633838063999</c:v>
                </c:pt>
                <c:pt idx="76" formatCode="0.00">
                  <c:v>0.77074714270517519</c:v>
                </c:pt>
                <c:pt idx="77" formatCode="0.00">
                  <c:v>0.76589821739532415</c:v>
                </c:pt>
                <c:pt idx="78" formatCode="0.00">
                  <c:v>0.76055162559049994</c:v>
                </c:pt>
                <c:pt idx="79" formatCode="0.00">
                  <c:v>0.75758150364857535</c:v>
                </c:pt>
                <c:pt idx="80" formatCode="0.00">
                  <c:v>0.75291043349637121</c:v>
                </c:pt>
                <c:pt idx="81" formatCode="0.00">
                  <c:v>0.74874055070326906</c:v>
                </c:pt>
                <c:pt idx="82" formatCode="0.00">
                  <c:v>0.74403007329030824</c:v>
                </c:pt>
                <c:pt idx="83" formatCode="0.00">
                  <c:v>0.73976929762872223</c:v>
                </c:pt>
                <c:pt idx="84" formatCode="0.00">
                  <c:v>0.73609017312138159</c:v>
                </c:pt>
                <c:pt idx="85" formatCode="0.00">
                  <c:v>0.73145928177840047</c:v>
                </c:pt>
                <c:pt idx="86" formatCode="0.00">
                  <c:v>0.72694927512933005</c:v>
                </c:pt>
                <c:pt idx="87" formatCode="0.00">
                  <c:v>0.72264948087910386</c:v>
                </c:pt>
                <c:pt idx="88" formatCode="0.00">
                  <c:v>0.71932783135974332</c:v>
                </c:pt>
                <c:pt idx="89" formatCode="0.00">
                  <c:v>0.71498286489543628</c:v>
                </c:pt>
                <c:pt idx="90" formatCode="0.00">
                  <c:v>0.71075385013929548</c:v>
                </c:pt>
                <c:pt idx="91" formatCode="0.00">
                  <c:v>0.70672823541614549</c:v>
                </c:pt>
                <c:pt idx="92" formatCode="0.00">
                  <c:v>0.70126340995773762</c:v>
                </c:pt>
                <c:pt idx="93" formatCode="0.00">
                  <c:v>0.698921694057409</c:v>
                </c:pt>
                <c:pt idx="94" formatCode="0.00">
                  <c:v>0.69417406987966379</c:v>
                </c:pt>
                <c:pt idx="95" formatCode="0.00">
                  <c:v>0.69019880048125426</c:v>
                </c:pt>
                <c:pt idx="96" formatCode="0.00">
                  <c:v>0.68615968237147384</c:v>
                </c:pt>
                <c:pt idx="97" formatCode="0.00">
                  <c:v>0.68309197320625159</c:v>
                </c:pt>
                <c:pt idx="98" formatCode="0.00">
                  <c:v>0.67742503233576656</c:v>
                </c:pt>
                <c:pt idx="99" formatCode="0.00">
                  <c:v>0.67435381406849448</c:v>
                </c:pt>
                <c:pt idx="100" formatCode="0.00">
                  <c:v>0.67142362977246461</c:v>
                </c:pt>
                <c:pt idx="101" formatCode="0.00">
                  <c:v>0.66757864344321982</c:v>
                </c:pt>
                <c:pt idx="102" formatCode="0.00">
                  <c:v>0.6637556758800961</c:v>
                </c:pt>
                <c:pt idx="103" formatCode="0.00">
                  <c:v>0.65991295208008416</c:v>
                </c:pt>
                <c:pt idx="104" formatCode="0.00">
                  <c:v>0.65625812204798417</c:v>
                </c:pt>
                <c:pt idx="105" formatCode="0.00">
                  <c:v>0.65196486547633259</c:v>
                </c:pt>
                <c:pt idx="106" formatCode="0.00">
                  <c:v>0.64819040297999986</c:v>
                </c:pt>
                <c:pt idx="107" formatCode="0.00">
                  <c:v>0.64411250677193754</c:v>
                </c:pt>
                <c:pt idx="108" formatCode="0.00">
                  <c:v>0.64026227068900854</c:v>
                </c:pt>
                <c:pt idx="109" formatCode="0.00">
                  <c:v>0.63675645794610325</c:v>
                </c:pt>
                <c:pt idx="110" formatCode="0.00">
                  <c:v>0.63322987672308062</c:v>
                </c:pt>
                <c:pt idx="111" formatCode="0.00">
                  <c:v>0.62984206505831053</c:v>
                </c:pt>
                <c:pt idx="112" formatCode="0.00">
                  <c:v>0.62670964609372526</c:v>
                </c:pt>
                <c:pt idx="113" formatCode="0.00">
                  <c:v>0.62202057486861384</c:v>
                </c:pt>
                <c:pt idx="114" formatCode="0.00">
                  <c:v>0.61927870320321243</c:v>
                </c:pt>
                <c:pt idx="115" formatCode="0.00">
                  <c:v>0.61553806495709984</c:v>
                </c:pt>
                <c:pt idx="116" formatCode="0.00">
                  <c:v>0.61162698972462137</c:v>
                </c:pt>
                <c:pt idx="117" formatCode="0.00">
                  <c:v>0.6079709385218075</c:v>
                </c:pt>
                <c:pt idx="118" formatCode="0.00">
                  <c:v>0.60468010043211795</c:v>
                </c:pt>
                <c:pt idx="119" formatCode="0.00">
                  <c:v>0.60178674731999926</c:v>
                </c:pt>
                <c:pt idx="135" formatCode="0.00">
                  <c:v>0.5970580229449971</c:v>
                </c:pt>
                <c:pt idx="136" formatCode="0.00">
                  <c:v>0.59435116178817293</c:v>
                </c:pt>
                <c:pt idx="137" formatCode="0.00">
                  <c:v>0.59128329158601678</c:v>
                </c:pt>
                <c:pt idx="138" formatCode="0.00">
                  <c:v>0.58789723832240215</c:v>
                </c:pt>
                <c:pt idx="139" formatCode="0.00">
                  <c:v>0.58478886384560225</c:v>
                </c:pt>
                <c:pt idx="140" formatCode="0.00">
                  <c:v>0.58118319264838447</c:v>
                </c:pt>
                <c:pt idx="141" formatCode="0.00">
                  <c:v>0.57789144879541188</c:v>
                </c:pt>
                <c:pt idx="142" formatCode="0.00">
                  <c:v>0.57432830544425828</c:v>
                </c:pt>
                <c:pt idx="143" formatCode="0.00">
                  <c:v>0.57129167364948941</c:v>
                </c:pt>
                <c:pt idx="144" formatCode="0.00">
                  <c:v>0.5679125704058372</c:v>
                </c:pt>
                <c:pt idx="145" formatCode="0.00">
                  <c:v>0.56476727084566958</c:v>
                </c:pt>
                <c:pt idx="147" formatCode="0.00">
                  <c:v>1</c:v>
                </c:pt>
                <c:pt idx="148" formatCode="0.00">
                  <c:v>0.99220480937425537</c:v>
                </c:pt>
                <c:pt idx="149" formatCode="0.00">
                  <c:v>0.98926608723709608</c:v>
                </c:pt>
                <c:pt idx="150" formatCode="0.00">
                  <c:v>0.98447038374540241</c:v>
                </c:pt>
                <c:pt idx="151" formatCode="0.00">
                  <c:v>0.97926521791959975</c:v>
                </c:pt>
                <c:pt idx="152" formatCode="0.00">
                  <c:v>0.9730430520489971</c:v>
                </c:pt>
                <c:pt idx="153" formatCode="0.00">
                  <c:v>0.96802048294050069</c:v>
                </c:pt>
                <c:pt idx="154" formatCode="0.00">
                  <c:v>0.96156629144936634</c:v>
                </c:pt>
                <c:pt idx="155" formatCode="0.00">
                  <c:v>0.9570256589042182</c:v>
                </c:pt>
                <c:pt idx="156" formatCode="0.00">
                  <c:v>0.95094480125385106</c:v>
                </c:pt>
                <c:pt idx="157" formatCode="0.00">
                  <c:v>0.9456781344797911</c:v>
                </c:pt>
                <c:pt idx="158" formatCode="0.00">
                  <c:v>0.94008459233824704</c:v>
                </c:pt>
                <c:pt idx="159" formatCode="0.00">
                  <c:v>0.93405242614736061</c:v>
                </c:pt>
                <c:pt idx="160" formatCode="0.00">
                  <c:v>0.9298177452057923</c:v>
                </c:pt>
                <c:pt idx="161" formatCode="0.00">
                  <c:v>0.92455138188716512</c:v>
                </c:pt>
                <c:pt idx="162" formatCode="0.00">
                  <c:v>0.91879282703790399</c:v>
                </c:pt>
                <c:pt idx="163" formatCode="0.00">
                  <c:v>0.91347360011143386</c:v>
                </c:pt>
                <c:pt idx="164" formatCode="0.00">
                  <c:v>0.90841446202860898</c:v>
                </c:pt>
                <c:pt idx="165" formatCode="0.00">
                  <c:v>0.90349737681375153</c:v>
                </c:pt>
                <c:pt idx="166" formatCode="0.00">
                  <c:v>0.89764332418140091</c:v>
                </c:pt>
                <c:pt idx="167" formatCode="0.00">
                  <c:v>0.8931790384055075</c:v>
                </c:pt>
                <c:pt idx="168" formatCode="0.00">
                  <c:v>0.88772792900621067</c:v>
                </c:pt>
                <c:pt idx="169" formatCode="0.00">
                  <c:v>0.8817534311926708</c:v>
                </c:pt>
                <c:pt idx="170" formatCode="0.00">
                  <c:v>0.87764507172836859</c:v>
                </c:pt>
                <c:pt idx="171" formatCode="0.00">
                  <c:v>0.87217867215042888</c:v>
                </c:pt>
                <c:pt idx="172" formatCode="0.00">
                  <c:v>0.86707458812827376</c:v>
                </c:pt>
                <c:pt idx="173" formatCode="0.00">
                  <c:v>0.85765922328897837</c:v>
                </c:pt>
              </c:numCache>
            </c:numRef>
          </c:val>
          <c:smooth val="0"/>
        </c:ser>
        <c:dLbls>
          <c:showLegendKey val="0"/>
          <c:showVal val="0"/>
          <c:showCatName val="0"/>
          <c:showSerName val="0"/>
          <c:showPercent val="0"/>
          <c:showBubbleSize val="0"/>
        </c:dLbls>
        <c:marker val="1"/>
        <c:smooth val="0"/>
        <c:axId val="233372288"/>
        <c:axId val="233402752"/>
      </c:lineChart>
      <c:dateAx>
        <c:axId val="233372288"/>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3402752"/>
        <c:crossesAt val="1.0000000000000003E-4"/>
        <c:auto val="0"/>
        <c:lblOffset val="100"/>
        <c:baseTimeUnit val="days"/>
        <c:majorUnit val="24"/>
        <c:majorTimeUnit val="months"/>
      </c:dateAx>
      <c:valAx>
        <c:axId val="233402752"/>
        <c:scaling>
          <c:logBase val="10"/>
          <c:orientation val="minMax"/>
          <c:min val="1.0000000000000003E-4"/>
        </c:scaling>
        <c:delete val="0"/>
        <c:axPos val="l"/>
        <c:minorGridlines>
          <c:spPr>
            <a:ln>
              <a:solidFill>
                <a:schemeClr val="bg1">
                  <a:lumMod val="85000"/>
                </a:schemeClr>
              </a:solidFill>
            </a:ln>
          </c:spPr>
        </c:min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mBq/kg生</a:t>
                </a:r>
              </a:p>
            </c:rich>
          </c:tx>
          <c:layout>
            <c:manualLayout>
              <c:xMode val="edge"/>
              <c:yMode val="edge"/>
              <c:x val="1.3868533838333497E-2"/>
              <c:y val="0.12879294319835854"/>
            </c:manualLayout>
          </c:layout>
          <c:overlay val="0"/>
          <c:spPr>
            <a:solidFill>
              <a:schemeClr val="bg1"/>
            </a:solidFill>
            <a:ln w="25400">
              <a:noFill/>
            </a:ln>
          </c:spPr>
        </c:title>
        <c:numFmt formatCode="General" sourceLinked="0"/>
        <c:majorTickMark val="none"/>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Meiryo UI"/>
                <a:ea typeface="Meiryo UI"/>
                <a:cs typeface="Meiryo UI"/>
              </a:defRPr>
            </a:pPr>
            <a:endParaRPr lang="ja-JP"/>
          </a:p>
        </c:txPr>
        <c:crossAx val="233372288"/>
        <c:crosses val="autoZero"/>
        <c:crossBetween val="between"/>
      </c:valAx>
      <c:spPr>
        <a:solidFill>
          <a:srgbClr val="FFFFFF"/>
        </a:solidFill>
        <a:ln w="12700">
          <a:solidFill>
            <a:srgbClr val="808080"/>
          </a:solidFill>
          <a:prstDash val="solid"/>
        </a:ln>
      </c:spPr>
    </c:plotArea>
    <c:legend>
      <c:legendPos val="r"/>
      <c:layout>
        <c:manualLayout>
          <c:xMode val="edge"/>
          <c:yMode val="edge"/>
          <c:x val="0.43782563806621189"/>
          <c:y val="1.0967708333333354E-2"/>
          <c:w val="0.31698113517060367"/>
          <c:h val="0.19152932849685925"/>
        </c:manualLayout>
      </c:layout>
      <c:overlay val="0"/>
      <c:spPr>
        <a:solidFill>
          <a:srgbClr val="FFFFFF"/>
        </a:solidFill>
        <a:ln w="25400">
          <a:noFill/>
        </a:ln>
      </c:spPr>
      <c:txPr>
        <a:bodyPr/>
        <a:lstStyle/>
        <a:p>
          <a:pPr>
            <a:defRPr sz="10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あらめ </a:t>
            </a:r>
            <a:r>
              <a:rPr lang="en-US" altLang="ja-JP" sz="1200" b="0" i="0" u="none" strike="noStrike" baseline="0">
                <a:solidFill>
                  <a:srgbClr val="000000"/>
                </a:solidFill>
                <a:latin typeface="Meiryo UI"/>
                <a:ea typeface="Meiryo UI"/>
              </a:rPr>
              <a:t>(</a:t>
            </a:r>
            <a:r>
              <a:rPr lang="ja-JP" altLang="en-US" sz="1200" b="0" i="0" u="none" strike="noStrike" baseline="0">
                <a:solidFill>
                  <a:srgbClr val="000000"/>
                </a:solidFill>
                <a:latin typeface="Meiryo UI"/>
                <a:ea typeface="Meiryo UI"/>
              </a:rPr>
              <a:t>Sr-90</a:t>
            </a:r>
            <a:r>
              <a:rPr lang="en-US" altLang="ja-JP" sz="1200" b="0" i="0" u="none" strike="noStrike" baseline="0">
                <a:solidFill>
                  <a:srgbClr val="000000"/>
                </a:solidFill>
                <a:latin typeface="Meiryo UI"/>
                <a:ea typeface="Meiryo UI"/>
              </a:rPr>
              <a:t>)</a:t>
            </a:r>
            <a:endParaRPr lang="ja-JP" altLang="en-US" sz="1200" b="0" i="0" u="none" strike="noStrike" baseline="0">
              <a:solidFill>
                <a:srgbClr val="000000"/>
              </a:solidFill>
              <a:latin typeface="Meiryo UI"/>
              <a:ea typeface="Meiryo UI"/>
            </a:endParaRPr>
          </a:p>
        </c:rich>
      </c:tx>
      <c:layout>
        <c:manualLayout>
          <c:xMode val="edge"/>
          <c:yMode val="edge"/>
          <c:x val="0.15164195254347326"/>
          <c:y val="4.3238888888888882E-2"/>
        </c:manualLayout>
      </c:layout>
      <c:overlay val="0"/>
      <c:spPr>
        <a:solidFill>
          <a:srgbClr val="FFFFFF"/>
        </a:solidFill>
        <a:ln w="25400">
          <a:noFill/>
        </a:ln>
      </c:spPr>
    </c:title>
    <c:autoTitleDeleted val="0"/>
    <c:plotArea>
      <c:layout>
        <c:manualLayout>
          <c:layoutTarget val="inner"/>
          <c:xMode val="edge"/>
          <c:yMode val="edge"/>
          <c:x val="4.0814858660671208E-2"/>
          <c:y val="6.476354166666666E-2"/>
          <c:w val="0.89124421220632721"/>
          <c:h val="0.8041194444444445"/>
        </c:manualLayout>
      </c:layout>
      <c:lineChart>
        <c:grouping val="standard"/>
        <c:varyColors val="0"/>
        <c:ser>
          <c:idx val="4"/>
          <c:order val="0"/>
          <c:tx>
            <c:strRef>
              <c:f>あらめ!$AW$195</c:f>
              <c:strCache>
                <c:ptCount val="1"/>
                <c:pt idx="0">
                  <c:v>Sr90崩壊</c:v>
                </c:pt>
              </c:strCache>
            </c:strRef>
          </c:tx>
          <c:spPr>
            <a:ln>
              <a:solidFill>
                <a:srgbClr val="C00000"/>
              </a:solidFill>
              <a:prstDash val="sysDash"/>
            </a:ln>
          </c:spPr>
          <c:marker>
            <c:symbol val="none"/>
          </c:marker>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あらめ!$AW$197:$AW$383</c:f>
              <c:numCache>
                <c:formatCode>0.00_);[Red]\(0.00\)</c:formatCode>
                <c:ptCount val="187"/>
                <c:pt idx="0">
                  <c:v>0.1</c:v>
                </c:pt>
                <c:pt idx="1">
                  <c:v>9.9809083966926712E-2</c:v>
                </c:pt>
                <c:pt idx="2">
                  <c:v>9.941524166837179E-2</c:v>
                </c:pt>
                <c:pt idx="3">
                  <c:v>9.9036004754980034E-2</c:v>
                </c:pt>
                <c:pt idx="4">
                  <c:v>9.8775305274112324E-2</c:v>
                </c:pt>
                <c:pt idx="5">
                  <c:v>9.7778003343075945E-2</c:v>
                </c:pt>
                <c:pt idx="6">
                  <c:v>9.7591329457875076E-2</c:v>
                </c:pt>
                <c:pt idx="7">
                  <c:v>9.6758885454801644E-2</c:v>
                </c:pt>
                <c:pt idx="8">
                  <c:v>9.5542399973265205E-2</c:v>
                </c:pt>
                <c:pt idx="9">
                  <c:v>9.5196754101951775E-2</c:v>
                </c:pt>
                <c:pt idx="10" formatCode="0.000">
                  <c:v>9.4671270320945078E-2</c:v>
                </c:pt>
                <c:pt idx="11" formatCode="0.000">
                  <c:v>9.4179712435841625E-2</c:v>
                </c:pt>
                <c:pt idx="12" formatCode="0.000">
                  <c:v>9.3628988720669534E-2</c:v>
                </c:pt>
                <c:pt idx="13" formatCode="0.000">
                  <c:v>9.3056953837139703E-2</c:v>
                </c:pt>
                <c:pt idx="14" formatCode="0.000">
                  <c:v>9.2647009796043525E-2</c:v>
                </c:pt>
                <c:pt idx="15" formatCode="0.000">
                  <c:v>9.2512795546417601E-2</c:v>
                </c:pt>
                <c:pt idx="16" formatCode="0.000">
                  <c:v>9.208097440270846E-2</c:v>
                </c:pt>
                <c:pt idx="17" formatCode="0.000">
                  <c:v>9.192334741623881E-2</c:v>
                </c:pt>
                <c:pt idx="18" formatCode="0.000">
                  <c:v>9.1367753879112473E-2</c:v>
                </c:pt>
                <c:pt idx="19" formatCode="0.000">
                  <c:v>9.0827487957086672E-2</c:v>
                </c:pt>
                <c:pt idx="20" formatCode="0.000">
                  <c:v>9.0349934091971867E-2</c:v>
                </c:pt>
                <c:pt idx="21" formatCode="0.000">
                  <c:v>9.020121405925223E-2</c:v>
                </c:pt>
                <c:pt idx="23" formatCode="0.000">
                  <c:v>0.1</c:v>
                </c:pt>
                <c:pt idx="24" formatCode="0.000">
                  <c:v>9.9835395527164139E-2</c:v>
                </c:pt>
                <c:pt idx="25" formatCode="0.000">
                  <c:v>9.968419872245779E-2</c:v>
                </c:pt>
                <c:pt idx="26" formatCode="0.000">
                  <c:v>9.9186218406308313E-2</c:v>
                </c:pt>
                <c:pt idx="27" formatCode="0.000">
                  <c:v>9.9101287065111399E-2</c:v>
                </c:pt>
                <c:pt idx="28" formatCode="0.000">
                  <c:v>9.8729753471965651E-2</c:v>
                </c:pt>
                <c:pt idx="29" formatCode="0.000">
                  <c:v>9.846337159816046E-2</c:v>
                </c:pt>
                <c:pt idx="30" formatCode="0.000">
                  <c:v>9.8236541162718752E-2</c:v>
                </c:pt>
                <c:pt idx="31" formatCode="0.000">
                  <c:v>9.8061914787027929E-2</c:v>
                </c:pt>
                <c:pt idx="32" formatCode="0.000">
                  <c:v>9.7681403347351162E-2</c:v>
                </c:pt>
                <c:pt idx="33" formatCode="0.000">
                  <c:v>9.7527041822219884E-2</c:v>
                </c:pt>
                <c:pt idx="34" formatCode="0.000">
                  <c:v>9.688010584097545E-2</c:v>
                </c:pt>
                <c:pt idx="35" formatCode="0.000">
                  <c:v>9.6313591350380132E-2</c:v>
                </c:pt>
                <c:pt idx="36" formatCode="0.000">
                  <c:v>9.5630582761872321E-2</c:v>
                </c:pt>
                <c:pt idx="37" formatCode="0.000">
                  <c:v>9.5372562733123611E-2</c:v>
                </c:pt>
                <c:pt idx="38" formatCode="0.000">
                  <c:v>9.51465826161631E-2</c:v>
                </c:pt>
                <c:pt idx="39" formatCode="0.000">
                  <c:v>9.4640083150900986E-2</c:v>
                </c:pt>
                <c:pt idx="40" formatCode="0.000">
                  <c:v>9.3888478375675724E-2</c:v>
                </c:pt>
                <c:pt idx="41" formatCode="0.000">
                  <c:v>9.3505674409906536E-2</c:v>
                </c:pt>
                <c:pt idx="42" formatCode="0.000">
                  <c:v>9.3081485408306186E-2</c:v>
                </c:pt>
                <c:pt idx="43" formatCode="0.000">
                  <c:v>9.2909900121425859E-2</c:v>
                </c:pt>
                <c:pt idx="44" formatCode="0.000">
                  <c:v>9.2433578534922664E-2</c:v>
                </c:pt>
                <c:pt idx="45" formatCode="0.000">
                  <c:v>9.1753897026956466E-2</c:v>
                </c:pt>
                <c:pt idx="46" formatCode="0.000">
                  <c:v>9.1127240077457566E-2</c:v>
                </c:pt>
                <c:pt idx="47" formatCode="0.000">
                  <c:v>9.0666031997345853E-2</c:v>
                </c:pt>
                <c:pt idx="48" formatCode="0.000">
                  <c:v>9.0236884526157149E-2</c:v>
                </c:pt>
                <c:pt idx="49" formatCode="0.000">
                  <c:v>8.9496655699828731E-2</c:v>
                </c:pt>
                <c:pt idx="50" formatCode="0.000">
                  <c:v>8.896159134367132E-2</c:v>
                </c:pt>
                <c:pt idx="51" formatCode="0.000">
                  <c:v>8.8523009786025397E-2</c:v>
                </c:pt>
                <c:pt idx="52" formatCode="0.000">
                  <c:v>8.8034364912287014E-2</c:v>
                </c:pt>
                <c:pt idx="53" formatCode="0.000">
                  <c:v>8.74676872770727E-2</c:v>
                </c:pt>
                <c:pt idx="54" formatCode="0.000">
                  <c:v>8.6973404597170317E-2</c:v>
                </c:pt>
                <c:pt idx="55" formatCode="0.000">
                  <c:v>8.6464820367487649E-2</c:v>
                </c:pt>
                <c:pt idx="56" formatCode="0.000">
                  <c:v>8.5947882130204628E-2</c:v>
                </c:pt>
                <c:pt idx="57" formatCode="0.000">
                  <c:v>8.5344005696483441E-2</c:v>
                </c:pt>
                <c:pt idx="58" formatCode="0.000">
                  <c:v>8.4956842149485595E-2</c:v>
                </c:pt>
                <c:pt idx="59" formatCode="0.000">
                  <c:v>8.4359928838931605E-2</c:v>
                </c:pt>
                <c:pt idx="60" formatCode="0.000">
                  <c:v>8.3850049329832366E-2</c:v>
                </c:pt>
                <c:pt idx="61" formatCode="0.000">
                  <c:v>8.3315796154356025E-2</c:v>
                </c:pt>
                <c:pt idx="62" formatCode="0.000">
                  <c:v>8.2834058351192008E-2</c:v>
                </c:pt>
                <c:pt idx="63" formatCode="0.000">
                  <c:v>8.2333401349815899E-2</c:v>
                </c:pt>
                <c:pt idx="64" formatCode="0.000">
                  <c:v>8.1911302345276063E-2</c:v>
                </c:pt>
                <c:pt idx="65" formatCode="0.000">
                  <c:v>8.13733138289192E-2</c:v>
                </c:pt>
                <c:pt idx="66" formatCode="0.000">
                  <c:v>8.0828205569849376E-2</c:v>
                </c:pt>
                <c:pt idx="67" formatCode="0.000">
                  <c:v>8.0371442812029903E-2</c:v>
                </c:pt>
                <c:pt idx="68" formatCode="0.000">
                  <c:v>7.9975210774738917E-2</c:v>
                </c:pt>
                <c:pt idx="69" formatCode="0.000">
                  <c:v>7.9449938391586414E-2</c:v>
                </c:pt>
                <c:pt idx="70" formatCode="0.000">
                  <c:v>7.9026997806607255E-2</c:v>
                </c:pt>
                <c:pt idx="71" formatCode="0.000">
                  <c:v>7.8482090674816041E-2</c:v>
                </c:pt>
                <c:pt idx="72" formatCode="0.000">
                  <c:v>7.8069446588900596E-2</c:v>
                </c:pt>
                <c:pt idx="73" formatCode="0.000">
                  <c:v>7.7510708679178517E-2</c:v>
                </c:pt>
                <c:pt idx="74" formatCode="0.000">
                  <c:v>7.7062536300778459E-2</c:v>
                </c:pt>
                <c:pt idx="75" formatCode="0.000">
                  <c:v>7.6652304715419797E-2</c:v>
                </c:pt>
                <c:pt idx="76" formatCode="0.000">
                  <c:v>7.6194031545882612E-2</c:v>
                </c:pt>
                <c:pt idx="77" formatCode="0.000">
                  <c:v>7.5693593720906671E-2</c:v>
                </c:pt>
                <c:pt idx="78" formatCode="0.000">
                  <c:v>7.5141955867407073E-2</c:v>
                </c:pt>
                <c:pt idx="79" formatCode="0.000">
                  <c:v>7.4835585594937623E-2</c:v>
                </c:pt>
                <c:pt idx="80" formatCode="0.000">
                  <c:v>7.4353868566399167E-2</c:v>
                </c:pt>
                <c:pt idx="81" formatCode="0.000">
                  <c:v>7.3923949259938213E-2</c:v>
                </c:pt>
                <c:pt idx="82" formatCode="0.000">
                  <c:v>7.3438421199134685E-2</c:v>
                </c:pt>
                <c:pt idx="83" formatCode="0.000">
                  <c:v>7.2999362541033258E-2</c:v>
                </c:pt>
                <c:pt idx="84" formatCode="0.000">
                  <c:v>7.2620330843846517E-2</c:v>
                </c:pt>
                <c:pt idx="85" formatCode="0.000">
                  <c:v>7.2143364870538712E-2</c:v>
                </c:pt>
                <c:pt idx="86" formatCode="0.000">
                  <c:v>7.167897767990046E-2</c:v>
                </c:pt>
                <c:pt idx="87" formatCode="0.000">
                  <c:v>7.1236354051411488E-2</c:v>
                </c:pt>
                <c:pt idx="88" formatCode="0.000">
                  <c:v>7.0894500813161551E-2</c:v>
                </c:pt>
                <c:pt idx="89" formatCode="0.000">
                  <c:v>7.0447436368636152E-2</c:v>
                </c:pt>
                <c:pt idx="90" formatCode="0.000">
                  <c:v>7.0012417609824046E-2</c:v>
                </c:pt>
                <c:pt idx="91" formatCode="0.000">
                  <c:v>6.9598427752929098E-2</c:v>
                </c:pt>
                <c:pt idx="92" formatCode="0.000">
                  <c:v>6.9036597646749506E-2</c:v>
                </c:pt>
                <c:pt idx="93" formatCode="0.000">
                  <c:v>6.8795908565849592E-2</c:v>
                </c:pt>
                <c:pt idx="94" formatCode="0.000">
                  <c:v>6.8308041840646358E-2</c:v>
                </c:pt>
                <c:pt idx="95" formatCode="0.000">
                  <c:v>6.7899655648536283E-2</c:v>
                </c:pt>
                <c:pt idx="96" formatCode="0.000">
                  <c:v>6.7484816482361973E-2</c:v>
                </c:pt>
                <c:pt idx="97" formatCode="0.000">
                  <c:v>6.7169818211427743E-2</c:v>
                </c:pt>
                <c:pt idx="98" formatCode="0.000">
                  <c:v>6.6588090209502585E-2</c:v>
                </c:pt>
                <c:pt idx="99" formatCode="0.000">
                  <c:v>6.6272910313623506E-2</c:v>
                </c:pt>
                <c:pt idx="100" formatCode="0.000">
                  <c:v>6.5972262894774383E-2</c:v>
                </c:pt>
                <c:pt idx="101" formatCode="0.000">
                  <c:v>6.5577841381545626E-2</c:v>
                </c:pt>
                <c:pt idx="102" formatCode="0.000">
                  <c:v>6.5185777955235072E-2</c:v>
                </c:pt>
                <c:pt idx="103" formatCode="0.000">
                  <c:v>6.4791788854941676E-2</c:v>
                </c:pt>
                <c:pt idx="104" formatCode="0.000">
                  <c:v>6.4417158167044034E-2</c:v>
                </c:pt>
                <c:pt idx="105" formatCode="0.000">
                  <c:v>6.3977204539564986E-2</c:v>
                </c:pt>
                <c:pt idx="106" formatCode="0.000">
                  <c:v>6.3590520173028159E-2</c:v>
                </c:pt>
                <c:pt idx="107" formatCode="0.000">
                  <c:v>6.3172861454112411E-2</c:v>
                </c:pt>
                <c:pt idx="108" formatCode="0.000">
                  <c:v>6.277862679929358E-2</c:v>
                </c:pt>
                <c:pt idx="109" formatCode="0.000">
                  <c:v>6.2419749434891404E-2</c:v>
                </c:pt>
                <c:pt idx="110" formatCode="0.000">
                  <c:v>6.2058834046036418E-2</c:v>
                </c:pt>
                <c:pt idx="111" formatCode="0.000">
                  <c:v>6.1712204058811643E-2</c:v>
                </c:pt>
                <c:pt idx="112" formatCode="0.000">
                  <c:v>6.1391778227306626E-2</c:v>
                </c:pt>
                <c:pt idx="113" formatCode="0.000">
                  <c:v>6.0912249309641425E-2</c:v>
                </c:pt>
                <c:pt idx="114" formatCode="0.000">
                  <c:v>6.0631925023379274E-2</c:v>
                </c:pt>
                <c:pt idx="115" formatCode="0.000">
                  <c:v>6.0249576920632625E-2</c:v>
                </c:pt>
                <c:pt idx="116" formatCode="0.000">
                  <c:v>5.9849917314061529E-2</c:v>
                </c:pt>
                <c:pt idx="117" formatCode="0.000">
                  <c:v>5.947641972427159E-2</c:v>
                </c:pt>
                <c:pt idx="118" formatCode="0.000">
                  <c:v>5.9140316586673063E-2</c:v>
                </c:pt>
                <c:pt idx="119" formatCode="0.000">
                  <c:v>5.8844876447428821E-2</c:v>
                </c:pt>
                <c:pt idx="135" formatCode="0.000">
                  <c:v>5.8362161712131259E-2</c:v>
                </c:pt>
                <c:pt idx="136" formatCode="0.000">
                  <c:v>5.8085917416885159E-2</c:v>
                </c:pt>
                <c:pt idx="137" formatCode="0.000">
                  <c:v>5.7772898065580718E-2</c:v>
                </c:pt>
                <c:pt idx="138" formatCode="0.000">
                  <c:v>5.7427497242889793E-2</c:v>
                </c:pt>
                <c:pt idx="139" formatCode="0.000">
                  <c:v>5.7110498846572356E-2</c:v>
                </c:pt>
                <c:pt idx="140" formatCode="0.000">
                  <c:v>5.6742878287663001E-2</c:v>
                </c:pt>
                <c:pt idx="141" formatCode="0.000">
                  <c:v>5.6407352435762975E-2</c:v>
                </c:pt>
                <c:pt idx="142" formatCode="0.000">
                  <c:v>5.6044258033720699E-2</c:v>
                </c:pt>
                <c:pt idx="143" formatCode="0.000">
                  <c:v>5.5734895084394366E-2</c:v>
                </c:pt>
                <c:pt idx="144" formatCode="0.000">
                  <c:v>5.5390727487503205E-2</c:v>
                </c:pt>
                <c:pt idx="145" formatCode="0.000">
                  <c:v>5.5070454398759627E-2</c:v>
                </c:pt>
                <c:pt idx="147" formatCode="0.000">
                  <c:v>0.1</c:v>
                </c:pt>
                <c:pt idx="148" formatCode="0.000">
                  <c:v>9.9186218406308313E-2</c:v>
                </c:pt>
                <c:pt idx="149" formatCode="0.000">
                  <c:v>9.8879502614214021E-2</c:v>
                </c:pt>
                <c:pt idx="150" formatCode="0.000">
                  <c:v>9.8379059217438933E-2</c:v>
                </c:pt>
                <c:pt idx="151" formatCode="0.000">
                  <c:v>9.7836009189135487E-2</c:v>
                </c:pt>
                <c:pt idx="152" formatCode="0.000">
                  <c:v>9.7187023703436154E-2</c:v>
                </c:pt>
                <c:pt idx="153" formatCode="0.000">
                  <c:v>9.6663292298859671E-2</c:v>
                </c:pt>
                <c:pt idx="154" formatCode="0.000">
                  <c:v>9.5990453750897223E-2</c:v>
                </c:pt>
                <c:pt idx="155" formatCode="0.000">
                  <c:v>9.5517219829501065E-2</c:v>
                </c:pt>
                <c:pt idx="156" formatCode="0.000">
                  <c:v>9.4883615803565552E-2</c:v>
                </c:pt>
                <c:pt idx="157" formatCode="0.000">
                  <c:v>9.4334992052208924E-2</c:v>
                </c:pt>
                <c:pt idx="158" formatCode="0.000">
                  <c:v>9.3752465657062883E-2</c:v>
                </c:pt>
                <c:pt idx="159" formatCode="0.000">
                  <c:v>9.3124431220057258E-2</c:v>
                </c:pt>
                <c:pt idx="160" formatCode="0.000">
                  <c:v>9.2683647463631905E-2</c:v>
                </c:pt>
                <c:pt idx="161" formatCode="0.000">
                  <c:v>9.2135600541958573E-2</c:v>
                </c:pt>
                <c:pt idx="162" formatCode="0.000">
                  <c:v>9.1536491142207896E-2</c:v>
                </c:pt>
                <c:pt idx="163" formatCode="0.000">
                  <c:v>9.0983235801542939E-2</c:v>
                </c:pt>
                <c:pt idx="164" formatCode="0.000">
                  <c:v>9.0457164322149217E-2</c:v>
                </c:pt>
                <c:pt idx="165" formatCode="0.000">
                  <c:v>8.994598801248084E-2</c:v>
                </c:pt>
                <c:pt idx="166" formatCode="0.000">
                  <c:v>8.933756544241199E-2</c:v>
                </c:pt>
                <c:pt idx="167" formatCode="0.000">
                  <c:v>8.8873701541776762E-2</c:v>
                </c:pt>
                <c:pt idx="168" formatCode="0.000">
                  <c:v>8.8307440011288429E-2</c:v>
                </c:pt>
                <c:pt idx="169" formatCode="0.000">
                  <c:v>8.7686985142321705E-2</c:v>
                </c:pt>
                <c:pt idx="170" formatCode="0.000">
                  <c:v>8.7260437333958052E-2</c:v>
                </c:pt>
                <c:pt idx="171" formatCode="0.000">
                  <c:v>8.6693028559004431E-2</c:v>
                </c:pt>
                <c:pt idx="172" formatCode="0.000">
                  <c:v>8.6163369559455152E-2</c:v>
                </c:pt>
                <c:pt idx="173" formatCode="0.000">
                  <c:v>8.5186683586326806E-2</c:v>
                </c:pt>
              </c:numCache>
            </c:numRef>
          </c:val>
          <c:smooth val="0"/>
        </c:ser>
        <c:ser>
          <c:idx val="1"/>
          <c:order val="1"/>
          <c:tx>
            <c:strRef>
              <c:f>あらめ!$C$195:$J$195</c:f>
              <c:strCache>
                <c:ptCount val="1"/>
                <c:pt idx="0">
                  <c:v>放水口(シウリ崎/県)</c:v>
                </c:pt>
              </c:strCache>
            </c:strRef>
          </c:tx>
          <c:spPr>
            <a:ln w="12700">
              <a:solidFill>
                <a:srgbClr val="0066FF"/>
              </a:solidFill>
              <a:prstDash val="solid"/>
            </a:ln>
          </c:spPr>
          <c:marker>
            <c:symbol val="square"/>
            <c:size val="5"/>
            <c:spPr>
              <a:noFill/>
              <a:ln>
                <a:solidFill>
                  <a:srgbClr val="0066FF"/>
                </a:solidFill>
                <a:prstDash val="solid"/>
              </a:ln>
            </c:spPr>
          </c:marker>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あらめ!$H$197:$H$383</c:f>
              <c:numCache>
                <c:formatCode>0.000_);[Red]\(0.000\)</c:formatCode>
                <c:ptCount val="187"/>
                <c:pt idx="10" formatCode="0.000">
                  <c:v>9.4671270320945081E-3</c:v>
                </c:pt>
                <c:pt idx="12">
                  <c:v>6.2962962962962957E-2</c:v>
                </c:pt>
                <c:pt idx="13">
                  <c:v>5.5555555555555552E-2</c:v>
                </c:pt>
                <c:pt idx="18" formatCode="0.000">
                  <c:v>9.1367753879112463E-3</c:v>
                </c:pt>
                <c:pt idx="21" formatCode="0.000">
                  <c:v>9.020121405925223E-3</c:v>
                </c:pt>
                <c:pt idx="24" formatCode="0.000">
                  <c:v>8.9691484132651753E-3</c:v>
                </c:pt>
                <c:pt idx="26" formatCode="0.000">
                  <c:v>8.9108267537704941E-3</c:v>
                </c:pt>
                <c:pt idx="28" formatCode="0.000">
                  <c:v>8.8698182344978203E-3</c:v>
                </c:pt>
                <c:pt idx="30" formatCode="0.000">
                  <c:v>8.8255083544444973E-3</c:v>
                </c:pt>
                <c:pt idx="34">
                  <c:v>0.1</c:v>
                </c:pt>
                <c:pt idx="36" formatCode="0.000">
                  <c:v>8.5913907097697993E-3</c:v>
                </c:pt>
                <c:pt idx="39" formatCode="0.000">
                  <c:v>8.5024048549317104E-3</c:v>
                </c:pt>
                <c:pt idx="41">
                  <c:v>0.1</c:v>
                </c:pt>
                <c:pt idx="44" formatCode="0.000">
                  <c:v>8.3041738841345882E-3</c:v>
                </c:pt>
                <c:pt idx="46">
                  <c:v>0.06</c:v>
                </c:pt>
                <c:pt idx="48">
                  <c:v>7.2999999999999995E-2</c:v>
                </c:pt>
                <c:pt idx="50" formatCode="0.000">
                  <c:v>7.9922527639461477E-3</c:v>
                </c:pt>
                <c:pt idx="52" formatCode="0.000">
                  <c:v>7.9089513313042037E-3</c:v>
                </c:pt>
                <c:pt idx="54" formatCode="0.000">
                  <c:v>7.8136353316367608E-3</c:v>
                </c:pt>
                <c:pt idx="56">
                  <c:v>4.9000000000000002E-2</c:v>
                </c:pt>
                <c:pt idx="58" formatCode="0.000">
                  <c:v>7.6324686443872422E-3</c:v>
                </c:pt>
                <c:pt idx="60" formatCode="0.000">
                  <c:v>7.5330350816734575E-3</c:v>
                </c:pt>
                <c:pt idx="62" formatCode="0.000">
                  <c:v>7.4417590985830255E-3</c:v>
                </c:pt>
                <c:pt idx="64">
                  <c:v>0.02</c:v>
                </c:pt>
                <c:pt idx="66" formatCode="0.000">
                  <c:v>7.2615545609435884E-3</c:v>
                </c:pt>
                <c:pt idx="68" formatCode="0.000">
                  <c:v>7.1849220512741428E-3</c:v>
                </c:pt>
                <c:pt idx="70" formatCode="0.000">
                  <c:v>7.0997352015236296E-3</c:v>
                </c:pt>
                <c:pt idx="72" formatCode="0.000">
                  <c:v>7.0137094093728194E-3</c:v>
                </c:pt>
                <c:pt idx="74" formatCode="0.000">
                  <c:v>6.9232492297408993E-3</c:v>
                </c:pt>
                <c:pt idx="76">
                  <c:v>4.9000000000000002E-2</c:v>
                </c:pt>
                <c:pt idx="78" formatCode="0.000">
                  <c:v>6.7507055055881348E-3</c:v>
                </c:pt>
                <c:pt idx="80" formatCode="0.000">
                  <c:v>6.6799042438910631E-3</c:v>
                </c:pt>
                <c:pt idx="82" formatCode="0.000">
                  <c:v>6.5976610348751387E-3</c:v>
                </c:pt>
                <c:pt idx="84" formatCode="0.000;&quot;△ &quot;0.000">
                  <c:v>7.1999999999999995E-2</c:v>
                </c:pt>
                <c:pt idx="86" formatCode="0.000">
                  <c:v>6.4395937485640853E-3</c:v>
                </c:pt>
                <c:pt idx="88" formatCode="0.000">
                  <c:v>6.3691168459845803E-3</c:v>
                </c:pt>
                <c:pt idx="90" formatCode="0.000">
                  <c:v>6.289871052227696E-3</c:v>
                </c:pt>
                <c:pt idx="92" formatCode="0.000">
                  <c:v>6.2022040076166384E-3</c:v>
                </c:pt>
                <c:pt idx="94" formatCode="0.000">
                  <c:v>6.1367510175445242E-3</c:v>
                </c:pt>
                <c:pt idx="96" formatCode="0.000;&quot;△ &quot;0.000">
                  <c:v>2.8000000000000001E-2</c:v>
                </c:pt>
                <c:pt idx="98">
                  <c:v>4.2000000000000003E-2</c:v>
                </c:pt>
                <c:pt idx="100" formatCode="0.000;&quot;△ &quot;0.000">
                  <c:v>3.4000000000000002E-2</c:v>
                </c:pt>
                <c:pt idx="102" formatCode="0.000;&quot;△ &quot;0.000">
                  <c:v>2.9000000000000001E-2</c:v>
                </c:pt>
                <c:pt idx="104" formatCode="0.000">
                  <c:v>5.7871965039071804E-3</c:v>
                </c:pt>
                <c:pt idx="106" formatCode="0.000">
                  <c:v>5.7129318724783917E-3</c:v>
                </c:pt>
                <c:pt idx="108" formatCode="0.000">
                  <c:v>5.6399918883543168E-3</c:v>
                </c:pt>
                <c:pt idx="110" formatCode="0.000">
                  <c:v>5.5753261653743377E-3</c:v>
                </c:pt>
                <c:pt idx="112">
                  <c:v>4.4999999999999998E-2</c:v>
                </c:pt>
                <c:pt idx="114" formatCode="0.000;&quot;△ &quot;0.000">
                  <c:v>3.7999999999999999E-2</c:v>
                </c:pt>
                <c:pt idx="116" formatCode="0.000;&quot;△ &quot;0.000">
                  <c:v>5.3999999999999999E-2</c:v>
                </c:pt>
                <c:pt idx="118" formatCode="0.000">
                  <c:v>5.3131284137501325E-3</c:v>
                </c:pt>
                <c:pt idx="135" formatCode="0.000">
                  <c:v>5.2432194749272082E-3</c:v>
                </c:pt>
                <c:pt idx="137">
                  <c:v>3.4000000000000002E-2</c:v>
                </c:pt>
                <c:pt idx="139">
                  <c:v>4.7E-2</c:v>
                </c:pt>
                <c:pt idx="141" formatCode="0.000">
                  <c:v>5.0676006532979169E-3</c:v>
                </c:pt>
                <c:pt idx="143">
                  <c:v>2.9000000000000001E-2</c:v>
                </c:pt>
                <c:pt idx="151" formatCode="0.000">
                  <c:v>4.8302351222929878E-3</c:v>
                </c:pt>
                <c:pt idx="153">
                  <c:v>2.7E-2</c:v>
                </c:pt>
                <c:pt idx="155" formatCode="0.000">
                  <c:v>4.7157548005900326E-3</c:v>
                </c:pt>
                <c:pt idx="157" formatCode="0.000">
                  <c:v>4.6573873530647821E-3</c:v>
                </c:pt>
                <c:pt idx="159" formatCode="0.000">
                  <c:v>4.5976210819587381E-3</c:v>
                </c:pt>
                <c:pt idx="161" formatCode="0.000">
                  <c:v>4.5488017902588938E-3</c:v>
                </c:pt>
                <c:pt idx="163" formatCode="0.000">
                  <c:v>4.4919087026423794E-3</c:v>
                </c:pt>
                <c:pt idx="165">
                  <c:v>2.1999999999999999E-2</c:v>
                </c:pt>
                <c:pt idx="167" formatCode="0.000">
                  <c:v>4.3877594578228705E-3</c:v>
                </c:pt>
                <c:pt idx="169">
                  <c:v>3.2000000000000001E-2</c:v>
                </c:pt>
                <c:pt idx="171" formatCode="0.000">
                  <c:v>4.2800980423693879E-3</c:v>
                </c:pt>
                <c:pt idx="172">
                  <c:v>3.5999999999999997E-2</c:v>
                </c:pt>
                <c:pt idx="173" formatCode="0.000">
                  <c:v>4.2057286925398073E-3</c:v>
                </c:pt>
              </c:numCache>
            </c:numRef>
          </c:val>
          <c:smooth val="0"/>
        </c:ser>
        <c:ser>
          <c:idx val="3"/>
          <c:order val="2"/>
          <c:tx>
            <c:strRef>
              <c:f>あらめ!$W$195:$AD$195</c:f>
              <c:strCache>
                <c:ptCount val="1"/>
                <c:pt idx="0">
                  <c:v>前面海域(シウリ崎/電力)</c:v>
                </c:pt>
              </c:strCache>
            </c:strRef>
          </c:tx>
          <c:spPr>
            <a:ln w="0">
              <a:solidFill>
                <a:srgbClr val="FF00FF"/>
              </a:solidFill>
              <a:prstDash val="sysDash"/>
            </a:ln>
          </c:spPr>
          <c:marker>
            <c:symbol val="circle"/>
            <c:size val="6"/>
            <c:spPr>
              <a:solidFill>
                <a:srgbClr val="FF00FF"/>
              </a:solidFill>
              <a:ln>
                <a:solidFill>
                  <a:srgbClr val="FF00FF"/>
                </a:solidFill>
                <a:prstDash val="solid"/>
              </a:ln>
            </c:spPr>
          </c:marker>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あらめ!$AB$197:$AB$383</c:f>
              <c:numCache>
                <c:formatCode>0.000;"△ "0.000</c:formatCode>
                <c:ptCount val="187"/>
                <c:pt idx="11" formatCode="0.000">
                  <c:v>8.4834383320072752E-3</c:v>
                </c:pt>
                <c:pt idx="16">
                  <c:v>9.6296296296296297E-2</c:v>
                </c:pt>
                <c:pt idx="22">
                  <c:v>6.6666666666666666E-2</c:v>
                </c:pt>
                <c:pt idx="31">
                  <c:v>6.2962962962962957E-2</c:v>
                </c:pt>
                <c:pt idx="37">
                  <c:v>4.9000000000000002E-2</c:v>
                </c:pt>
                <c:pt idx="42" formatCode="0.000">
                  <c:v>7.5261432828641044E-3</c:v>
                </c:pt>
                <c:pt idx="47">
                  <c:v>4.9000000000000002E-2</c:v>
                </c:pt>
                <c:pt idx="51">
                  <c:v>4.1000000000000002E-2</c:v>
                </c:pt>
                <c:pt idx="55">
                  <c:v>4.9000000000000002E-2</c:v>
                </c:pt>
                <c:pt idx="59">
                  <c:v>0.04</c:v>
                </c:pt>
                <c:pt idx="63">
                  <c:v>1.7999999999999999E-2</c:v>
                </c:pt>
                <c:pt idx="67">
                  <c:v>0.04</c:v>
                </c:pt>
                <c:pt idx="71">
                  <c:v>4.4999999999999998E-2</c:v>
                </c:pt>
                <c:pt idx="75" formatCode="0.000">
                  <c:v>6.2092008224748033E-3</c:v>
                </c:pt>
                <c:pt idx="79">
                  <c:v>3.3000000000000002E-2</c:v>
                </c:pt>
                <c:pt idx="83" formatCode="0.000">
                  <c:v>5.9070638348517421E-3</c:v>
                </c:pt>
                <c:pt idx="87" formatCode="0.000">
                  <c:v>5.7670618368097313E-3</c:v>
                </c:pt>
                <c:pt idx="91" formatCode="0.000">
                  <c:v>5.6359460402099866E-3</c:v>
                </c:pt>
                <c:pt idx="95" formatCode="0.000">
                  <c:v>5.504908420370257E-3</c:v>
                </c:pt>
                <c:pt idx="99">
                  <c:v>3.5000000000000003E-2</c:v>
                </c:pt>
                <c:pt idx="103">
                  <c:v>2.4E-2</c:v>
                </c:pt>
                <c:pt idx="107">
                  <c:v>4.3999999999999997E-2</c:v>
                </c:pt>
                <c:pt idx="111">
                  <c:v>0.03</c:v>
                </c:pt>
                <c:pt idx="115" formatCode="0.000">
                  <c:v>8.9999999999999993E-3</c:v>
                </c:pt>
                <c:pt idx="119" formatCode="0.000">
                  <c:v>4.7607502277803807E-3</c:v>
                </c:pt>
                <c:pt idx="138">
                  <c:v>2.4E-2</c:v>
                </c:pt>
                <c:pt idx="139">
                  <c:v>0.03</c:v>
                </c:pt>
                <c:pt idx="143" formatCode="0.000">
                  <c:v>4.5061718127830507E-3</c:v>
                </c:pt>
                <c:pt idx="149">
                  <c:v>4.2000000000000003E-2</c:v>
                </c:pt>
                <c:pt idx="153">
                  <c:v>3.7999999999999999E-2</c:v>
                </c:pt>
                <c:pt idx="157">
                  <c:v>3.9E-2</c:v>
                </c:pt>
                <c:pt idx="161">
                  <c:v>3.6999999999999998E-2</c:v>
                </c:pt>
                <c:pt idx="165" formatCode="0.000">
                  <c:v>3.9824328441699138E-3</c:v>
                </c:pt>
                <c:pt idx="169">
                  <c:v>0.04</c:v>
                </c:pt>
                <c:pt idx="173">
                  <c:v>4.4999999999999998E-2</c:v>
                </c:pt>
              </c:numCache>
            </c:numRef>
          </c:val>
          <c:smooth val="0"/>
        </c:ser>
        <c:dLbls>
          <c:showLegendKey val="0"/>
          <c:showVal val="0"/>
          <c:showCatName val="0"/>
          <c:showSerName val="0"/>
          <c:showPercent val="0"/>
          <c:showBubbleSize val="0"/>
        </c:dLbls>
        <c:marker val="1"/>
        <c:smooth val="0"/>
        <c:axId val="233441152"/>
        <c:axId val="233467904"/>
      </c:lineChart>
      <c:dateAx>
        <c:axId val="233441152"/>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3467904"/>
        <c:crossesAt val="1.0000000000000002E-3"/>
        <c:auto val="0"/>
        <c:lblOffset val="100"/>
        <c:baseTimeUnit val="days"/>
        <c:majorUnit val="24"/>
        <c:majorTimeUnit val="months"/>
      </c:dateAx>
      <c:valAx>
        <c:axId val="233467904"/>
        <c:scaling>
          <c:logBase val="10"/>
          <c:orientation val="minMax"/>
          <c:min val="1.0000000000000002E-3"/>
        </c:scaling>
        <c:delete val="0"/>
        <c:axPos val="l"/>
        <c:minorGridlines>
          <c:spPr>
            <a:ln>
              <a:solidFill>
                <a:schemeClr val="bg1">
                  <a:lumMod val="85000"/>
                </a:schemeClr>
              </a:solidFill>
            </a:ln>
          </c:spPr>
        </c:min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Bq/kg生</a:t>
                </a:r>
              </a:p>
            </c:rich>
          </c:tx>
          <c:layout>
            <c:manualLayout>
              <c:xMode val="edge"/>
              <c:yMode val="edge"/>
              <c:x val="4.0269969297078954E-3"/>
              <c:y val="0.24282256944444444"/>
            </c:manualLayout>
          </c:layout>
          <c:overlay val="0"/>
          <c:spPr>
            <a:solidFill>
              <a:srgbClr val="FFFFFF"/>
            </a:solid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3441152"/>
        <c:crosses val="autoZero"/>
        <c:crossBetween val="midCat"/>
      </c:valAx>
      <c:spPr>
        <a:solidFill>
          <a:srgbClr val="FFFFFF"/>
        </a:solidFill>
        <a:ln w="12700">
          <a:solidFill>
            <a:srgbClr val="808080"/>
          </a:solidFill>
          <a:prstDash val="solid"/>
        </a:ln>
      </c:spPr>
    </c:plotArea>
    <c:legend>
      <c:legendPos val="r"/>
      <c:layout>
        <c:manualLayout>
          <c:xMode val="edge"/>
          <c:yMode val="edge"/>
          <c:x val="0.56216462356235042"/>
          <c:y val="1.3730208333333334E-2"/>
          <c:w val="0.34469326384223836"/>
          <c:h val="0.21908333333333332"/>
        </c:manualLayout>
      </c:layout>
      <c:overlay val="0"/>
      <c:spPr>
        <a:solidFill>
          <a:schemeClr val="bg1"/>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あらめ </a:t>
            </a:r>
            <a:r>
              <a:rPr lang="en-US" altLang="ja-JP" sz="1200" b="0" i="0" u="none" strike="noStrike" baseline="0">
                <a:solidFill>
                  <a:srgbClr val="000000"/>
                </a:solidFill>
                <a:latin typeface="Meiryo UI"/>
                <a:ea typeface="Meiryo UI"/>
              </a:rPr>
              <a:t>(I-131/</a:t>
            </a:r>
            <a:r>
              <a:rPr lang="ja-JP" altLang="en-US" sz="1200" b="0" i="0" u="none" strike="noStrike" baseline="0">
                <a:solidFill>
                  <a:srgbClr val="000000"/>
                </a:solidFill>
                <a:latin typeface="Meiryo UI"/>
                <a:ea typeface="Meiryo UI"/>
              </a:rPr>
              <a:t>県</a:t>
            </a:r>
            <a:r>
              <a:rPr lang="en-US" altLang="ja-JP" sz="1200" b="0" i="0" u="none" strike="noStrike" baseline="0">
                <a:solidFill>
                  <a:srgbClr val="000000"/>
                </a:solidFill>
                <a:latin typeface="Meiryo UI"/>
                <a:ea typeface="Meiryo UI"/>
              </a:rPr>
              <a:t>)</a:t>
            </a:r>
            <a:endParaRPr lang="ja-JP" altLang="en-US" sz="1200" b="0" i="0" u="none" strike="noStrike" baseline="0">
              <a:solidFill>
                <a:srgbClr val="000000"/>
              </a:solidFill>
              <a:latin typeface="Meiryo UI"/>
              <a:ea typeface="Meiryo UI"/>
            </a:endParaRPr>
          </a:p>
        </c:rich>
      </c:tx>
      <c:layout>
        <c:manualLayout>
          <c:xMode val="edge"/>
          <c:yMode val="edge"/>
          <c:x val="0.1081258594338219"/>
          <c:y val="7.9611111111111115E-3"/>
        </c:manualLayout>
      </c:layout>
      <c:overlay val="0"/>
      <c:spPr>
        <a:solidFill>
          <a:srgbClr val="FFFFFF"/>
        </a:solidFill>
        <a:ln w="25400">
          <a:noFill/>
        </a:ln>
      </c:spPr>
    </c:title>
    <c:autoTitleDeleted val="0"/>
    <c:plotArea>
      <c:layout>
        <c:manualLayout>
          <c:layoutTarget val="inner"/>
          <c:xMode val="edge"/>
          <c:yMode val="edge"/>
          <c:x val="4.0814858660671208E-2"/>
          <c:y val="6.476354166666666E-2"/>
          <c:w val="0.89124421220632721"/>
          <c:h val="0.8041194444444445"/>
        </c:manualLayout>
      </c:layout>
      <c:lineChart>
        <c:grouping val="standard"/>
        <c:varyColors val="0"/>
        <c:ser>
          <c:idx val="4"/>
          <c:order val="0"/>
          <c:tx>
            <c:strRef>
              <c:f>あらめ!$AX$195</c:f>
              <c:strCache>
                <c:ptCount val="1"/>
                <c:pt idx="0">
                  <c:v>I131崩壊</c:v>
                </c:pt>
              </c:strCache>
            </c:strRef>
          </c:tx>
          <c:spPr>
            <a:ln>
              <a:solidFill>
                <a:srgbClr val="C00000"/>
              </a:solidFill>
              <a:prstDash val="sysDash"/>
            </a:ln>
          </c:spPr>
          <c:marker>
            <c:symbol val="none"/>
          </c:marker>
          <c:cat>
            <c:numRef>
              <c:f>あらめ!$K$332:$K$383</c:f>
              <c:numCache>
                <c:formatCode>[$-411]m\.d\.ge</c:formatCode>
                <c:ptCount val="52"/>
                <c:pt idx="0">
                  <c:v>39687</c:v>
                </c:pt>
                <c:pt idx="1">
                  <c:v>39762</c:v>
                </c:pt>
                <c:pt idx="2">
                  <c:v>39856</c:v>
                </c:pt>
                <c:pt idx="3">
                  <c:v>39952</c:v>
                </c:pt>
                <c:pt idx="4">
                  <c:v>40028</c:v>
                </c:pt>
                <c:pt idx="5">
                  <c:v>40128</c:v>
                </c:pt>
                <c:pt idx="6">
                  <c:v>40218</c:v>
                </c:pt>
                <c:pt idx="7">
                  <c:v>40316</c:v>
                </c:pt>
                <c:pt idx="8">
                  <c:v>40399</c:v>
                </c:pt>
                <c:pt idx="9">
                  <c:v>40490</c:v>
                </c:pt>
                <c:pt idx="10">
                  <c:v>40581</c:v>
                </c:pt>
                <c:pt idx="11">
                  <c:v>40612</c:v>
                </c:pt>
                <c:pt idx="12">
                  <c:v>40613</c:v>
                </c:pt>
                <c:pt idx="13">
                  <c:v>40737</c:v>
                </c:pt>
                <c:pt idx="14">
                  <c:v>40784</c:v>
                </c:pt>
                <c:pt idx="15">
                  <c:v>40861</c:v>
                </c:pt>
                <c:pt idx="16">
                  <c:v>40945</c:v>
                </c:pt>
                <c:pt idx="17">
                  <c:v>41058</c:v>
                </c:pt>
                <c:pt idx="18">
                  <c:v>41127</c:v>
                </c:pt>
                <c:pt idx="19">
                  <c:v>41222</c:v>
                </c:pt>
                <c:pt idx="20">
                  <c:v>41311</c:v>
                </c:pt>
                <c:pt idx="21">
                  <c:v>41415</c:v>
                </c:pt>
                <c:pt idx="22">
                  <c:v>41514</c:v>
                </c:pt>
                <c:pt idx="23">
                  <c:v>41595</c:v>
                </c:pt>
                <c:pt idx="24">
                  <c:v>41694</c:v>
                </c:pt>
                <c:pt idx="25">
                  <c:v>41788</c:v>
                </c:pt>
                <c:pt idx="26">
                  <c:v>41856</c:v>
                </c:pt>
                <c:pt idx="27">
                  <c:v>41948</c:v>
                </c:pt>
                <c:pt idx="28">
                  <c:v>42038</c:v>
                </c:pt>
                <c:pt idx="29">
                  <c:v>42150</c:v>
                </c:pt>
                <c:pt idx="30">
                  <c:v>42234</c:v>
                </c:pt>
                <c:pt idx="31">
                  <c:v>42338</c:v>
                </c:pt>
                <c:pt idx="32">
                  <c:v>42422</c:v>
                </c:pt>
                <c:pt idx="33">
                  <c:v>42514</c:v>
                </c:pt>
                <c:pt idx="34">
                  <c:v>42618</c:v>
                </c:pt>
                <c:pt idx="35">
                  <c:v>42681</c:v>
                </c:pt>
                <c:pt idx="36">
                  <c:v>42774</c:v>
                </c:pt>
                <c:pt idx="37">
                  <c:v>42866</c:v>
                </c:pt>
                <c:pt idx="38">
                  <c:v>43053</c:v>
                </c:pt>
              </c:numCache>
            </c:numRef>
          </c:cat>
          <c:val>
            <c:numRef>
              <c:f>あらめ!$AX$332:$AX$383</c:f>
              <c:numCache>
                <c:formatCode>.00000</c:formatCode>
                <c:ptCount val="52"/>
                <c:pt idx="0" formatCode=".00">
                  <c:v>10</c:v>
                </c:pt>
                <c:pt idx="1">
                  <c:v>6.9357069796977498E-3</c:v>
                </c:pt>
                <c:pt idx="2" formatCode="0.E+00">
                  <c:v>3.7212646578716332E-6</c:v>
                </c:pt>
                <c:pt idx="3" formatCode="0.E+00">
                  <c:v>7.150340430146322E-10</c:v>
                </c:pt>
                <c:pt idx="4" formatCode="0.E+00">
                  <c:v>9.0274049556824096E-13</c:v>
                </c:pt>
                <c:pt idx="5" formatCode="0.E+00">
                  <c:v>2.6608309134454203E-16</c:v>
                </c:pt>
                <c:pt idx="6" formatCode="0.E+00">
                  <c:v>1.104399455694145E-19</c:v>
                </c:pt>
                <c:pt idx="7" formatCode="0.E+00">
                  <c:v>4.2079585377283704E-23</c:v>
                </c:pt>
                <c:pt idx="8" formatCode="0.E+00">
                  <c:v>1.746547326689461E-26</c:v>
                </c:pt>
                <c:pt idx="9" formatCode="0.E+00">
                  <c:v>7.2491863620233882E-30</c:v>
                </c:pt>
                <c:pt idx="10" formatCode="0.E+00">
                  <c:v>9.080447120182773E-34</c:v>
                </c:pt>
                <c:pt idx="12" formatCode=".00">
                  <c:v>10</c:v>
                </c:pt>
                <c:pt idx="13">
                  <c:v>2.4643866046606376E-4</c:v>
                </c:pt>
                <c:pt idx="14">
                  <c:v>5.7083257733896701E-6</c:v>
                </c:pt>
                <c:pt idx="15" formatCode="0.E+00">
                  <c:v>7.8507038366471586E-9</c:v>
                </c:pt>
                <c:pt idx="16" formatCode="0.E+00">
                  <c:v>3.5496140844986186E-12</c:v>
                </c:pt>
                <c:pt idx="17" formatCode="0.E+00">
                  <c:v>8.816743676255119E-16</c:v>
                </c:pt>
                <c:pt idx="18" formatCode="0.E+00">
                  <c:v>1.8454743538178941E-19</c:v>
                </c:pt>
                <c:pt idx="19" formatCode="0.E+00">
                  <c:v>3.8628497273566163E-23</c:v>
                </c:pt>
                <c:pt idx="20" formatCode="0.E+00">
                  <c:v>4.1097626626472831E-26</c:v>
                </c:pt>
                <c:pt idx="21" formatCode="0.E+00">
                  <c:v>1.4374686169081326E-29</c:v>
                </c:pt>
                <c:pt idx="22" formatCode="0.E+00">
                  <c:v>3.8894580013670919E-33</c:v>
                </c:pt>
                <c:pt idx="23" formatCode="0.E+00">
                  <c:v>1.3604128200790036E-36</c:v>
                </c:pt>
                <c:pt idx="24" formatCode="0.E+00">
                  <c:v>8.6615938275622077E-40</c:v>
                </c:pt>
                <c:pt idx="25" formatCode="0.E+00">
                  <c:v>4.2661291363209234E-43</c:v>
                </c:pt>
                <c:pt idx="26" formatCode="0.E+00">
                  <c:v>1.9288859169399185E-46</c:v>
                </c:pt>
                <c:pt idx="27" formatCode="0.E+00">
                  <c:v>1.3378187517160699E-49</c:v>
                </c:pt>
                <c:pt idx="28" formatCode="0.E+00">
                  <c:v>3.619828486713701E-53</c:v>
                </c:pt>
                <c:pt idx="29" formatCode="0.E+00">
                  <c:v>6.9554327247309404E-57</c:v>
                </c:pt>
                <c:pt idx="30" formatCode="0.E+00">
                  <c:v>1.8819794147828826E-60</c:v>
                </c:pt>
                <c:pt idx="31" formatCode="0.E+00">
                  <c:v>2.3760253741030886E-63</c:v>
                </c:pt>
                <c:pt idx="32" formatCode="0.E+00">
                  <c:v>1.6479415771105516E-66</c:v>
                </c:pt>
                <c:pt idx="33" formatCode="0.E+00">
                  <c:v>3.7575541565960843E-70</c:v>
                </c:pt>
                <c:pt idx="34" formatCode="0.E+00">
                  <c:v>4.743964758864845E-73</c:v>
                </c:pt>
                <c:pt idx="35" formatCode="0.E+00">
                  <c:v>4.2199263324272844E-77</c:v>
                </c:pt>
                <c:pt idx="36" formatCode="0.E+00">
                  <c:v>8.8329275608508607E-81</c:v>
                </c:pt>
                <c:pt idx="37" formatCode="0.E+00">
                  <c:v>7.2698036692844615E-84</c:v>
                </c:pt>
                <c:pt idx="38" formatCode="0.E+00">
                  <c:v>1.9211385514742715E-90</c:v>
                </c:pt>
              </c:numCache>
            </c:numRef>
          </c:val>
          <c:smooth val="0"/>
        </c:ser>
        <c:ser>
          <c:idx val="1"/>
          <c:order val="1"/>
          <c:tx>
            <c:strRef>
              <c:f>あらめ!$Q$330</c:f>
              <c:strCache>
                <c:ptCount val="1"/>
                <c:pt idx="0">
                  <c:v>牡鹿半島西側(対照海域10km圏外)</c:v>
                </c:pt>
              </c:strCache>
            </c:strRef>
          </c:tx>
          <c:spPr>
            <a:ln w="12700">
              <a:solidFill>
                <a:srgbClr val="0066FF"/>
              </a:solidFill>
              <a:prstDash val="solid"/>
            </a:ln>
          </c:spPr>
          <c:marker>
            <c:symbol val="square"/>
            <c:size val="5"/>
            <c:spPr>
              <a:noFill/>
              <a:ln>
                <a:solidFill>
                  <a:srgbClr val="0066FF"/>
                </a:solidFill>
                <a:prstDash val="solid"/>
              </a:ln>
            </c:spPr>
          </c:marker>
          <c:cat>
            <c:numRef>
              <c:f>あらめ!$K$332:$K$383</c:f>
              <c:numCache>
                <c:formatCode>[$-411]m\.d\.ge</c:formatCode>
                <c:ptCount val="52"/>
                <c:pt idx="0">
                  <c:v>39687</c:v>
                </c:pt>
                <c:pt idx="1">
                  <c:v>39762</c:v>
                </c:pt>
                <c:pt idx="2">
                  <c:v>39856</c:v>
                </c:pt>
                <c:pt idx="3">
                  <c:v>39952</c:v>
                </c:pt>
                <c:pt idx="4">
                  <c:v>40028</c:v>
                </c:pt>
                <c:pt idx="5">
                  <c:v>40128</c:v>
                </c:pt>
                <c:pt idx="6">
                  <c:v>40218</c:v>
                </c:pt>
                <c:pt idx="7">
                  <c:v>40316</c:v>
                </c:pt>
                <c:pt idx="8">
                  <c:v>40399</c:v>
                </c:pt>
                <c:pt idx="9">
                  <c:v>40490</c:v>
                </c:pt>
                <c:pt idx="10">
                  <c:v>40581</c:v>
                </c:pt>
                <c:pt idx="11">
                  <c:v>40612</c:v>
                </c:pt>
                <c:pt idx="12">
                  <c:v>40613</c:v>
                </c:pt>
                <c:pt idx="13">
                  <c:v>40737</c:v>
                </c:pt>
                <c:pt idx="14">
                  <c:v>40784</c:v>
                </c:pt>
                <c:pt idx="15">
                  <c:v>40861</c:v>
                </c:pt>
                <c:pt idx="16">
                  <c:v>40945</c:v>
                </c:pt>
                <c:pt idx="17">
                  <c:v>41058</c:v>
                </c:pt>
                <c:pt idx="18">
                  <c:v>41127</c:v>
                </c:pt>
                <c:pt idx="19">
                  <c:v>41222</c:v>
                </c:pt>
                <c:pt idx="20">
                  <c:v>41311</c:v>
                </c:pt>
                <c:pt idx="21">
                  <c:v>41415</c:v>
                </c:pt>
                <c:pt idx="22">
                  <c:v>41514</c:v>
                </c:pt>
                <c:pt idx="23">
                  <c:v>41595</c:v>
                </c:pt>
                <c:pt idx="24">
                  <c:v>41694</c:v>
                </c:pt>
                <c:pt idx="25">
                  <c:v>41788</c:v>
                </c:pt>
                <c:pt idx="26">
                  <c:v>41856</c:v>
                </c:pt>
                <c:pt idx="27">
                  <c:v>41948</c:v>
                </c:pt>
                <c:pt idx="28">
                  <c:v>42038</c:v>
                </c:pt>
                <c:pt idx="29">
                  <c:v>42150</c:v>
                </c:pt>
                <c:pt idx="30">
                  <c:v>42234</c:v>
                </c:pt>
                <c:pt idx="31">
                  <c:v>42338</c:v>
                </c:pt>
                <c:pt idx="32">
                  <c:v>42422</c:v>
                </c:pt>
                <c:pt idx="33">
                  <c:v>42514</c:v>
                </c:pt>
                <c:pt idx="34">
                  <c:v>42618</c:v>
                </c:pt>
                <c:pt idx="35">
                  <c:v>42681</c:v>
                </c:pt>
                <c:pt idx="36">
                  <c:v>42774</c:v>
                </c:pt>
                <c:pt idx="37">
                  <c:v>42866</c:v>
                </c:pt>
                <c:pt idx="38">
                  <c:v>43053</c:v>
                </c:pt>
              </c:numCache>
            </c:numRef>
          </c:cat>
          <c:val>
            <c:numRef>
              <c:f>あらめ!$U$332:$U$383</c:f>
              <c:numCache>
                <c:formatCode>"("0.00")"</c:formatCode>
                <c:ptCount val="52"/>
                <c:pt idx="0" formatCode="0.000">
                  <c:v>0.21</c:v>
                </c:pt>
                <c:pt idx="1">
                  <c:v>6.6000000000000003E-2</c:v>
                </c:pt>
                <c:pt idx="2" formatCode="0.000">
                  <c:v>8.1000000000000003E-2</c:v>
                </c:pt>
                <c:pt idx="3" formatCode="0.000">
                  <c:v>7.2999999999999995E-2</c:v>
                </c:pt>
                <c:pt idx="4" formatCode="0.000">
                  <c:v>0.24</c:v>
                </c:pt>
                <c:pt idx="5" formatCode="0.000">
                  <c:v>0.2</c:v>
                </c:pt>
                <c:pt idx="6">
                  <c:v>7.9000000000000001E-2</c:v>
                </c:pt>
                <c:pt idx="7" formatCode=".00000">
                  <c:v>7.628513569280651E-26</c:v>
                </c:pt>
                <c:pt idx="8" formatCode="0.000">
                  <c:v>0.23</c:v>
                </c:pt>
                <c:pt idx="9" formatCode="0.000">
                  <c:v>0.11</c:v>
                </c:pt>
                <c:pt idx="17" formatCode="0.000">
                  <c:v>0.17</c:v>
                </c:pt>
                <c:pt idx="18" formatCode="0.000">
                  <c:v>0.41</c:v>
                </c:pt>
                <c:pt idx="19" formatCode="0.000">
                  <c:v>0.17</c:v>
                </c:pt>
                <c:pt idx="20" formatCode=".00000">
                  <c:v>3.7869916088391485E-28</c:v>
                </c:pt>
                <c:pt idx="21" formatCode=".00000">
                  <c:v>5.1674460381184223E-32</c:v>
                </c:pt>
                <c:pt idx="22" formatCode=".00000">
                  <c:v>1.0816225908629476E-35</c:v>
                </c:pt>
                <c:pt idx="23" formatCode="0.000">
                  <c:v>0.17</c:v>
                </c:pt>
                <c:pt idx="24" formatCode="0.000">
                  <c:v>0.21</c:v>
                </c:pt>
                <c:pt idx="25" formatCode="0.000">
                  <c:v>0.19</c:v>
                </c:pt>
                <c:pt idx="26">
                  <c:v>0.13</c:v>
                </c:pt>
                <c:pt idx="27">
                  <c:v>0.17</c:v>
                </c:pt>
                <c:pt idx="28" formatCode="0.000">
                  <c:v>0.19</c:v>
                </c:pt>
                <c:pt idx="29">
                  <c:v>0.15</c:v>
                </c:pt>
                <c:pt idx="30" formatCode="0.000">
                  <c:v>0.2</c:v>
                </c:pt>
                <c:pt idx="31" formatCode=".00000">
                  <c:v>2.577731715937589E-66</c:v>
                </c:pt>
                <c:pt idx="32">
                  <c:v>0.15</c:v>
                </c:pt>
                <c:pt idx="33" formatCode=".00000">
                  <c:v>7.4205715712671932E-73</c:v>
                </c:pt>
                <c:pt idx="34" formatCode="0.000">
                  <c:v>0.15</c:v>
                </c:pt>
                <c:pt idx="35" formatCode="0.000">
                  <c:v>0.27</c:v>
                </c:pt>
                <c:pt idx="36">
                  <c:v>0.14000000000000001</c:v>
                </c:pt>
                <c:pt idx="37">
                  <c:v>0.14000000000000001</c:v>
                </c:pt>
                <c:pt idx="38" formatCode=".00000">
                  <c:v>6.9061541098862275E-93</c:v>
                </c:pt>
              </c:numCache>
            </c:numRef>
          </c:val>
          <c:smooth val="0"/>
        </c:ser>
        <c:ser>
          <c:idx val="3"/>
          <c:order val="2"/>
          <c:tx>
            <c:strRef>
              <c:f>あらめ!$L$330</c:f>
              <c:strCache>
                <c:ptCount val="1"/>
                <c:pt idx="0">
                  <c:v>牡鹿半島北側(対照海域10km圏外)</c:v>
                </c:pt>
              </c:strCache>
            </c:strRef>
          </c:tx>
          <c:spPr>
            <a:ln w="0">
              <a:solidFill>
                <a:srgbClr val="FF00FF"/>
              </a:solidFill>
              <a:prstDash val="sysDash"/>
            </a:ln>
          </c:spPr>
          <c:marker>
            <c:symbol val="circle"/>
            <c:size val="6"/>
            <c:spPr>
              <a:solidFill>
                <a:srgbClr val="FF00FF"/>
              </a:solidFill>
              <a:ln>
                <a:solidFill>
                  <a:srgbClr val="FF00FF"/>
                </a:solidFill>
                <a:prstDash val="solid"/>
              </a:ln>
            </c:spPr>
          </c:marker>
          <c:cat>
            <c:numRef>
              <c:f>あらめ!$K$332:$K$383</c:f>
              <c:numCache>
                <c:formatCode>[$-411]m\.d\.ge</c:formatCode>
                <c:ptCount val="52"/>
                <c:pt idx="0">
                  <c:v>39687</c:v>
                </c:pt>
                <c:pt idx="1">
                  <c:v>39762</c:v>
                </c:pt>
                <c:pt idx="2">
                  <c:v>39856</c:v>
                </c:pt>
                <c:pt idx="3">
                  <c:v>39952</c:v>
                </c:pt>
                <c:pt idx="4">
                  <c:v>40028</c:v>
                </c:pt>
                <c:pt idx="5">
                  <c:v>40128</c:v>
                </c:pt>
                <c:pt idx="6">
                  <c:v>40218</c:v>
                </c:pt>
                <c:pt idx="7">
                  <c:v>40316</c:v>
                </c:pt>
                <c:pt idx="8">
                  <c:v>40399</c:v>
                </c:pt>
                <c:pt idx="9">
                  <c:v>40490</c:v>
                </c:pt>
                <c:pt idx="10">
                  <c:v>40581</c:v>
                </c:pt>
                <c:pt idx="11">
                  <c:v>40612</c:v>
                </c:pt>
                <c:pt idx="12">
                  <c:v>40613</c:v>
                </c:pt>
                <c:pt idx="13">
                  <c:v>40737</c:v>
                </c:pt>
                <c:pt idx="14">
                  <c:v>40784</c:v>
                </c:pt>
                <c:pt idx="15">
                  <c:v>40861</c:v>
                </c:pt>
                <c:pt idx="16">
                  <c:v>40945</c:v>
                </c:pt>
                <c:pt idx="17">
                  <c:v>41058</c:v>
                </c:pt>
                <c:pt idx="18">
                  <c:v>41127</c:v>
                </c:pt>
                <c:pt idx="19">
                  <c:v>41222</c:v>
                </c:pt>
                <c:pt idx="20">
                  <c:v>41311</c:v>
                </c:pt>
                <c:pt idx="21">
                  <c:v>41415</c:v>
                </c:pt>
                <c:pt idx="22">
                  <c:v>41514</c:v>
                </c:pt>
                <c:pt idx="23">
                  <c:v>41595</c:v>
                </c:pt>
                <c:pt idx="24">
                  <c:v>41694</c:v>
                </c:pt>
                <c:pt idx="25">
                  <c:v>41788</c:v>
                </c:pt>
                <c:pt idx="26">
                  <c:v>41856</c:v>
                </c:pt>
                <c:pt idx="27">
                  <c:v>41948</c:v>
                </c:pt>
                <c:pt idx="28">
                  <c:v>42038</c:v>
                </c:pt>
                <c:pt idx="29">
                  <c:v>42150</c:v>
                </c:pt>
                <c:pt idx="30">
                  <c:v>42234</c:v>
                </c:pt>
                <c:pt idx="31">
                  <c:v>42338</c:v>
                </c:pt>
                <c:pt idx="32">
                  <c:v>42422</c:v>
                </c:pt>
                <c:pt idx="33">
                  <c:v>42514</c:v>
                </c:pt>
                <c:pt idx="34">
                  <c:v>42618</c:v>
                </c:pt>
                <c:pt idx="35">
                  <c:v>42681</c:v>
                </c:pt>
                <c:pt idx="36">
                  <c:v>42774</c:v>
                </c:pt>
                <c:pt idx="37">
                  <c:v>42866</c:v>
                </c:pt>
                <c:pt idx="38">
                  <c:v>43053</c:v>
                </c:pt>
              </c:numCache>
            </c:numRef>
          </c:cat>
          <c:val>
            <c:numRef>
              <c:f>あらめ!$P$332:$P$383</c:f>
              <c:numCache>
                <c:formatCode>.00000</c:formatCode>
                <c:ptCount val="52"/>
                <c:pt idx="0" formatCode="0.000">
                  <c:v>9.5000000000000001E-2</c:v>
                </c:pt>
                <c:pt idx="1">
                  <c:v>2.8690071477960352E-5</c:v>
                </c:pt>
                <c:pt idx="2">
                  <c:v>9.2119086254167264E-9</c:v>
                </c:pt>
                <c:pt idx="3">
                  <c:v>2.4925296656601198E-12</c:v>
                </c:pt>
                <c:pt idx="4">
                  <c:v>3.7342536845509776E-15</c:v>
                </c:pt>
                <c:pt idx="5">
                  <c:v>7.1752986019379898E-19</c:v>
                </c:pt>
                <c:pt idx="6">
                  <c:v>3.2442366325207802E-22</c:v>
                </c:pt>
                <c:pt idx="7">
                  <c:v>7.3973464914236621E-26</c:v>
                </c:pt>
                <c:pt idx="8" formatCode="&quot;(&quot;0.00&quot;)&quot;">
                  <c:v>6.4000000000000001E-2</c:v>
                </c:pt>
                <c:pt idx="9">
                  <c:v>2.5269862653060328E-32</c:v>
                </c:pt>
                <c:pt idx="17">
                  <c:v>9.275362553517617E-19</c:v>
                </c:pt>
                <c:pt idx="18">
                  <c:v>2.5295300627461406E-21</c:v>
                </c:pt>
                <c:pt idx="19">
                  <c:v>7.4557991144595477E-25</c:v>
                </c:pt>
                <c:pt idx="20">
                  <c:v>3.6722342873591743E-28</c:v>
                </c:pt>
                <c:pt idx="21">
                  <c:v>5.0108567642360459E-32</c:v>
                </c:pt>
                <c:pt idx="22">
                  <c:v>1.0488461487155855E-35</c:v>
                </c:pt>
                <c:pt idx="23">
                  <c:v>1.0243705355470637E-38</c:v>
                </c:pt>
                <c:pt idx="24">
                  <c:v>2.1441584575607652E-42</c:v>
                </c:pt>
                <c:pt idx="25" formatCode="0.000">
                  <c:v>0.14000000000000001</c:v>
                </c:pt>
                <c:pt idx="26">
                  <c:v>2.0452549764916803E-48</c:v>
                </c:pt>
                <c:pt idx="27" formatCode="&quot;(&quot;0.00&quot;)&quot;">
                  <c:v>0.12</c:v>
                </c:pt>
                <c:pt idx="28">
                  <c:v>3.5234269419508063E-55</c:v>
                </c:pt>
                <c:pt idx="29">
                  <c:v>2.4245869932013404E-59</c:v>
                </c:pt>
                <c:pt idx="30">
                  <c:v>1.8318594371477685E-62</c:v>
                </c:pt>
                <c:pt idx="31">
                  <c:v>2.4996186336364502E-66</c:v>
                </c:pt>
                <c:pt idx="32">
                  <c:v>1.8885484398525105E-69</c:v>
                </c:pt>
                <c:pt idx="33">
                  <c:v>7.195705766077278E-73</c:v>
                </c:pt>
                <c:pt idx="34">
                  <c:v>9.8187229054308848E-77</c:v>
                </c:pt>
                <c:pt idx="35">
                  <c:v>4.4745131145534838E-79</c:v>
                </c:pt>
                <c:pt idx="36">
                  <c:v>1.5650471100371089E-82</c:v>
                </c:pt>
                <c:pt idx="37">
                  <c:v>5.9631081079161618E-86</c:v>
                </c:pt>
                <c:pt idx="38">
                  <c:v>6.6968767126169477E-93</c:v>
                </c:pt>
              </c:numCache>
            </c:numRef>
          </c:val>
          <c:smooth val="0"/>
        </c:ser>
        <c:ser>
          <c:idx val="0"/>
          <c:order val="3"/>
          <c:tx>
            <c:strRef>
              <c:f>あらめ!$C$391</c:f>
              <c:strCache>
                <c:ptCount val="1"/>
                <c:pt idx="0">
                  <c:v>放水口(シウリ崎/県)</c:v>
                </c:pt>
              </c:strCache>
            </c:strRef>
          </c:tx>
          <c:spPr>
            <a:ln w="0">
              <a:solidFill>
                <a:srgbClr val="FF0000"/>
              </a:solidFill>
            </a:ln>
          </c:spPr>
          <c:marker>
            <c:symbol val="square"/>
            <c:size val="4"/>
            <c:spPr>
              <a:solidFill>
                <a:srgbClr val="FF0000"/>
              </a:solidFill>
              <a:ln w="0">
                <a:solidFill>
                  <a:srgbClr val="FF0000"/>
                </a:solidFill>
              </a:ln>
            </c:spPr>
          </c:marker>
          <c:cat>
            <c:numRef>
              <c:f>あらめ!$K$332:$K$383</c:f>
              <c:numCache>
                <c:formatCode>[$-411]m\.d\.ge</c:formatCode>
                <c:ptCount val="52"/>
                <c:pt idx="0">
                  <c:v>39687</c:v>
                </c:pt>
                <c:pt idx="1">
                  <c:v>39762</c:v>
                </c:pt>
                <c:pt idx="2">
                  <c:v>39856</c:v>
                </c:pt>
                <c:pt idx="3">
                  <c:v>39952</c:v>
                </c:pt>
                <c:pt idx="4">
                  <c:v>40028</c:v>
                </c:pt>
                <c:pt idx="5">
                  <c:v>40128</c:v>
                </c:pt>
                <c:pt idx="6">
                  <c:v>40218</c:v>
                </c:pt>
                <c:pt idx="7">
                  <c:v>40316</c:v>
                </c:pt>
                <c:pt idx="8">
                  <c:v>40399</c:v>
                </c:pt>
                <c:pt idx="9">
                  <c:v>40490</c:v>
                </c:pt>
                <c:pt idx="10">
                  <c:v>40581</c:v>
                </c:pt>
                <c:pt idx="11">
                  <c:v>40612</c:v>
                </c:pt>
                <c:pt idx="12">
                  <c:v>40613</c:v>
                </c:pt>
                <c:pt idx="13">
                  <c:v>40737</c:v>
                </c:pt>
                <c:pt idx="14">
                  <c:v>40784</c:v>
                </c:pt>
                <c:pt idx="15">
                  <c:v>40861</c:v>
                </c:pt>
                <c:pt idx="16">
                  <c:v>40945</c:v>
                </c:pt>
                <c:pt idx="17">
                  <c:v>41058</c:v>
                </c:pt>
                <c:pt idx="18">
                  <c:v>41127</c:v>
                </c:pt>
                <c:pt idx="19">
                  <c:v>41222</c:v>
                </c:pt>
                <c:pt idx="20">
                  <c:v>41311</c:v>
                </c:pt>
                <c:pt idx="21">
                  <c:v>41415</c:v>
                </c:pt>
                <c:pt idx="22">
                  <c:v>41514</c:v>
                </c:pt>
                <c:pt idx="23">
                  <c:v>41595</c:v>
                </c:pt>
                <c:pt idx="24">
                  <c:v>41694</c:v>
                </c:pt>
                <c:pt idx="25">
                  <c:v>41788</c:v>
                </c:pt>
                <c:pt idx="26">
                  <c:v>41856</c:v>
                </c:pt>
                <c:pt idx="27">
                  <c:v>41948</c:v>
                </c:pt>
                <c:pt idx="28">
                  <c:v>42038</c:v>
                </c:pt>
                <c:pt idx="29">
                  <c:v>42150</c:v>
                </c:pt>
                <c:pt idx="30">
                  <c:v>42234</c:v>
                </c:pt>
                <c:pt idx="31">
                  <c:v>42338</c:v>
                </c:pt>
                <c:pt idx="32">
                  <c:v>42422</c:v>
                </c:pt>
                <c:pt idx="33">
                  <c:v>42514</c:v>
                </c:pt>
                <c:pt idx="34">
                  <c:v>42618</c:v>
                </c:pt>
                <c:pt idx="35">
                  <c:v>42681</c:v>
                </c:pt>
                <c:pt idx="36">
                  <c:v>42774</c:v>
                </c:pt>
                <c:pt idx="37">
                  <c:v>42866</c:v>
                </c:pt>
                <c:pt idx="38">
                  <c:v>43053</c:v>
                </c:pt>
              </c:numCache>
            </c:numRef>
          </c:cat>
          <c:val>
            <c:numRef>
              <c:f>あらめ!$G$332:$G$383</c:f>
              <c:numCache>
                <c:formatCode>0.000</c:formatCode>
                <c:ptCount val="52"/>
                <c:pt idx="0" formatCode="0.000;&quot;△ &quot;0.000">
                  <c:v>0.17</c:v>
                </c:pt>
                <c:pt idx="4" formatCode="0.000;&quot;△ &quot;0.000">
                  <c:v>0.14000000000000001</c:v>
                </c:pt>
                <c:pt idx="15" formatCode=".00000">
                  <c:v>1.2753722808184653E-11</c:v>
                </c:pt>
                <c:pt idx="16" formatCode=".00000">
                  <c:v>9.6358792447745515E-15</c:v>
                </c:pt>
                <c:pt idx="17" formatCode=".00000">
                  <c:v>1.6996671131935797E-18</c:v>
                </c:pt>
                <c:pt idx="18" formatCode=".00000">
                  <c:v>1.5238615926956963E-21</c:v>
                </c:pt>
                <c:pt idx="19" formatCode=".00000">
                  <c:v>1.7522652719950565E-25</c:v>
                </c:pt>
                <c:pt idx="20" formatCode=".00000">
                  <c:v>2.8597427948460305E-28</c:v>
                </c:pt>
                <c:pt idx="21" formatCode=".00000">
                  <c:v>5.0442836165966929E-32</c:v>
                </c:pt>
                <c:pt idx="22" formatCode=".00000">
                  <c:v>2.7064457021712538E-35</c:v>
                </c:pt>
                <c:pt idx="23" formatCode=".00000">
                  <c:v>8.6899506427530931E-39</c:v>
                </c:pt>
                <c:pt idx="24" formatCode=".00000">
                  <c:v>1.4071039877742523E-42</c:v>
                </c:pt>
                <c:pt idx="25" formatCode=".00000">
                  <c:v>2.9685490528102399E-45</c:v>
                </c:pt>
                <c:pt idx="26" formatCode=".00000">
                  <c:v>1.3421985783226652E-48</c:v>
                </c:pt>
                <c:pt idx="27" formatCode=".00000">
                  <c:v>2.809419378603747E-52</c:v>
                </c:pt>
                <c:pt idx="28" formatCode=".00000">
                  <c:v>1.0704387981452575E-55</c:v>
                </c:pt>
                <c:pt idx="29" formatCode=".00000">
                  <c:v>5.7433021314378399E-59</c:v>
                </c:pt>
                <c:pt idx="30" formatCode=".00000">
                  <c:v>3.6566951999611801E-62</c:v>
                </c:pt>
                <c:pt idx="31" formatCode=".00000">
                  <c:v>5.4354312555362954E-66</c:v>
                </c:pt>
                <c:pt idx="32" formatCode=".00000">
                  <c:v>6.2995071686102091E-69</c:v>
                </c:pt>
                <c:pt idx="33" formatCode="&quot;(&quot;0.00&quot;)&quot;">
                  <c:v>0.11</c:v>
                </c:pt>
                <c:pt idx="34" formatCode="&quot;(&quot;0.00&quot;)&quot;">
                  <c:v>0.11</c:v>
                </c:pt>
                <c:pt idx="35" formatCode=".00000">
                  <c:v>2.936399231425724E-79</c:v>
                </c:pt>
                <c:pt idx="36" formatCode=".00000">
                  <c:v>6.1463162287014238E-83</c:v>
                </c:pt>
                <c:pt idx="37" formatCode=".00000">
                  <c:v>2.1497924365929565E-86</c:v>
                </c:pt>
                <c:pt idx="38" formatCode=".00000">
                  <c:v>7.9999466160533254E-93</c:v>
                </c:pt>
              </c:numCache>
            </c:numRef>
          </c:val>
          <c:smooth val="0"/>
        </c:ser>
        <c:dLbls>
          <c:showLegendKey val="0"/>
          <c:showVal val="0"/>
          <c:showCatName val="0"/>
          <c:showSerName val="0"/>
          <c:showPercent val="0"/>
          <c:showBubbleSize val="0"/>
        </c:dLbls>
        <c:marker val="1"/>
        <c:smooth val="0"/>
        <c:axId val="230909440"/>
        <c:axId val="230911360"/>
      </c:lineChart>
      <c:dateAx>
        <c:axId val="230909440"/>
        <c:scaling>
          <c:orientation val="minMax"/>
          <c:min val="39539"/>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0911360"/>
        <c:crossesAt val="1.0000000000000002E-3"/>
        <c:auto val="0"/>
        <c:lblOffset val="100"/>
        <c:baseTimeUnit val="days"/>
        <c:majorUnit val="24"/>
        <c:majorTimeUnit val="months"/>
      </c:dateAx>
      <c:valAx>
        <c:axId val="230911360"/>
        <c:scaling>
          <c:logBase val="10"/>
          <c:orientation val="minMax"/>
          <c:min val="1.0000000000000002E-3"/>
        </c:scaling>
        <c:delete val="0"/>
        <c:axPos val="l"/>
        <c:minorGridlines>
          <c:spPr>
            <a:ln>
              <a:solidFill>
                <a:schemeClr val="bg1">
                  <a:lumMod val="85000"/>
                </a:schemeClr>
              </a:solidFill>
            </a:ln>
          </c:spPr>
        </c:min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Bq/kg生</a:t>
                </a:r>
              </a:p>
            </c:rich>
          </c:tx>
          <c:layout>
            <c:manualLayout>
              <c:xMode val="edge"/>
              <c:yMode val="edge"/>
              <c:x val="4.0269969297078954E-3"/>
              <c:y val="0.24282256944444444"/>
            </c:manualLayout>
          </c:layout>
          <c:overlay val="0"/>
          <c:spPr>
            <a:solidFill>
              <a:srgbClr val="FFFFFF"/>
            </a:solid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0909440"/>
        <c:crosses val="autoZero"/>
        <c:crossBetween val="midCat"/>
      </c:valAx>
      <c:spPr>
        <a:solidFill>
          <a:srgbClr val="FFFFFF"/>
        </a:solidFill>
        <a:ln w="12700">
          <a:solidFill>
            <a:srgbClr val="808080"/>
          </a:solidFill>
          <a:prstDash val="solid"/>
        </a:ln>
      </c:spPr>
    </c:plotArea>
    <c:legend>
      <c:legendPos val="r"/>
      <c:layout>
        <c:manualLayout>
          <c:xMode val="edge"/>
          <c:yMode val="edge"/>
          <c:x val="0.50618922309737435"/>
          <c:y val="8.2830318063680463E-4"/>
          <c:w val="0.41567535147912293"/>
          <c:h val="0.22567176066504058"/>
        </c:manualLayout>
      </c:layout>
      <c:overlay val="0"/>
      <c:spPr>
        <a:solidFill>
          <a:schemeClr val="bg1"/>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25"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あらめ (放水口付近/県)</a:t>
            </a:r>
          </a:p>
        </c:rich>
      </c:tx>
      <c:layout>
        <c:manualLayout>
          <c:xMode val="edge"/>
          <c:yMode val="edge"/>
          <c:x val="0.1583901126283265"/>
          <c:y val="0.17748156150665864"/>
        </c:manualLayout>
      </c:layout>
      <c:overlay val="0"/>
      <c:spPr>
        <a:solidFill>
          <a:srgbClr val="FFFFFF"/>
        </a:solidFill>
        <a:ln w="25400">
          <a:noFill/>
        </a:ln>
      </c:spPr>
    </c:title>
    <c:autoTitleDeleted val="0"/>
    <c:plotArea>
      <c:layout>
        <c:manualLayout>
          <c:layoutTarget val="inner"/>
          <c:xMode val="edge"/>
          <c:yMode val="edge"/>
          <c:x val="4.56540758492145E-2"/>
          <c:y val="3.1284763886029125E-2"/>
          <c:w val="0.89088965520325969"/>
          <c:h val="0.85852641318079104"/>
        </c:manualLayout>
      </c:layout>
      <c:lineChart>
        <c:grouping val="standard"/>
        <c:varyColors val="0"/>
        <c:ser>
          <c:idx val="1"/>
          <c:order val="0"/>
          <c:tx>
            <c:strRef>
              <c:f>あらめ!$D$196</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あらめ!$D$197:$D$383</c:f>
              <c:numCache>
                <c:formatCode>0</c:formatCode>
                <c:ptCount val="187"/>
                <c:pt idx="1">
                  <c:v>377.77777777777777</c:v>
                </c:pt>
                <c:pt idx="3">
                  <c:v>315.55555555555554</c:v>
                </c:pt>
                <c:pt idx="4">
                  <c:v>271.11111111111109</c:v>
                </c:pt>
                <c:pt idx="5">
                  <c:v>267.77777777777777</c:v>
                </c:pt>
                <c:pt idx="6">
                  <c:v>349.62962962962962</c:v>
                </c:pt>
                <c:pt idx="8">
                  <c:v>281.85185185185185</c:v>
                </c:pt>
                <c:pt idx="9">
                  <c:v>562.96296296296293</c:v>
                </c:pt>
                <c:pt idx="10">
                  <c:v>385.18518518518516</c:v>
                </c:pt>
                <c:pt idx="11">
                  <c:v>292.22222222222223</c:v>
                </c:pt>
                <c:pt idx="12">
                  <c:v>306.2962962962963</c:v>
                </c:pt>
                <c:pt idx="13">
                  <c:v>355.55555555555554</c:v>
                </c:pt>
                <c:pt idx="15">
                  <c:v>369.62962962962962</c:v>
                </c:pt>
                <c:pt idx="16">
                  <c:v>392.59259259259261</c:v>
                </c:pt>
                <c:pt idx="17">
                  <c:v>333.7037037037037</c:v>
                </c:pt>
                <c:pt idx="18">
                  <c:v>333.7037037037037</c:v>
                </c:pt>
                <c:pt idx="19">
                  <c:v>422.22222222222223</c:v>
                </c:pt>
                <c:pt idx="21">
                  <c:v>374.44444444444446</c:v>
                </c:pt>
                <c:pt idx="24">
                  <c:v>321.11111111111109</c:v>
                </c:pt>
                <c:pt idx="25">
                  <c:v>283.7037037037037</c:v>
                </c:pt>
                <c:pt idx="26">
                  <c:v>374.07407407407408</c:v>
                </c:pt>
                <c:pt idx="27">
                  <c:v>396.2962962962963</c:v>
                </c:pt>
                <c:pt idx="28">
                  <c:v>448.14814814814815</c:v>
                </c:pt>
                <c:pt idx="30">
                  <c:v>408.14814814814815</c:v>
                </c:pt>
                <c:pt idx="33">
                  <c:v>238.14814814814815</c:v>
                </c:pt>
                <c:pt idx="34">
                  <c:v>249.62962962962962</c:v>
                </c:pt>
                <c:pt idx="35">
                  <c:v>392.59259259259261</c:v>
                </c:pt>
                <c:pt idx="36">
                  <c:v>324.07407407407408</c:v>
                </c:pt>
                <c:pt idx="37">
                  <c:v>327</c:v>
                </c:pt>
                <c:pt idx="38">
                  <c:v>361</c:v>
                </c:pt>
                <c:pt idx="39">
                  <c:v>351</c:v>
                </c:pt>
                <c:pt idx="40">
                  <c:v>436</c:v>
                </c:pt>
                <c:pt idx="41">
                  <c:v>450</c:v>
                </c:pt>
                <c:pt idx="42">
                  <c:v>332</c:v>
                </c:pt>
                <c:pt idx="43">
                  <c:v>295</c:v>
                </c:pt>
                <c:pt idx="44">
                  <c:v>227</c:v>
                </c:pt>
                <c:pt idx="45">
                  <c:v>378</c:v>
                </c:pt>
                <c:pt idx="46">
                  <c:v>334</c:v>
                </c:pt>
                <c:pt idx="47">
                  <c:v>300</c:v>
                </c:pt>
                <c:pt idx="48">
                  <c:v>219</c:v>
                </c:pt>
                <c:pt idx="49">
                  <c:v>380</c:v>
                </c:pt>
                <c:pt idx="50">
                  <c:v>335</c:v>
                </c:pt>
                <c:pt idx="51">
                  <c:v>274</c:v>
                </c:pt>
                <c:pt idx="52">
                  <c:v>317</c:v>
                </c:pt>
                <c:pt idx="53">
                  <c:v>351</c:v>
                </c:pt>
                <c:pt idx="54">
                  <c:v>407</c:v>
                </c:pt>
                <c:pt idx="55">
                  <c:v>309</c:v>
                </c:pt>
                <c:pt idx="56">
                  <c:v>274</c:v>
                </c:pt>
                <c:pt idx="57">
                  <c:v>379</c:v>
                </c:pt>
                <c:pt idx="58">
                  <c:v>386</c:v>
                </c:pt>
                <c:pt idx="59">
                  <c:v>309</c:v>
                </c:pt>
                <c:pt idx="60">
                  <c:v>288</c:v>
                </c:pt>
                <c:pt idx="61">
                  <c:v>405</c:v>
                </c:pt>
                <c:pt idx="63">
                  <c:v>285</c:v>
                </c:pt>
                <c:pt idx="64">
                  <c:v>252</c:v>
                </c:pt>
                <c:pt idx="65">
                  <c:v>347</c:v>
                </c:pt>
                <c:pt idx="66">
                  <c:v>428</c:v>
                </c:pt>
                <c:pt idx="67">
                  <c:v>340</c:v>
                </c:pt>
                <c:pt idx="68">
                  <c:v>292</c:v>
                </c:pt>
                <c:pt idx="69">
                  <c:v>352</c:v>
                </c:pt>
                <c:pt idx="70">
                  <c:v>345</c:v>
                </c:pt>
                <c:pt idx="71">
                  <c:v>326</c:v>
                </c:pt>
                <c:pt idx="72">
                  <c:v>271</c:v>
                </c:pt>
                <c:pt idx="73">
                  <c:v>390</c:v>
                </c:pt>
                <c:pt idx="74">
                  <c:v>415</c:v>
                </c:pt>
                <c:pt idx="75">
                  <c:v>300</c:v>
                </c:pt>
                <c:pt idx="76">
                  <c:v>244</c:v>
                </c:pt>
                <c:pt idx="77">
                  <c:v>354</c:v>
                </c:pt>
                <c:pt idx="78">
                  <c:v>369</c:v>
                </c:pt>
                <c:pt idx="79">
                  <c:v>306</c:v>
                </c:pt>
                <c:pt idx="80">
                  <c:v>280</c:v>
                </c:pt>
                <c:pt idx="81">
                  <c:v>356</c:v>
                </c:pt>
                <c:pt idx="82">
                  <c:v>405</c:v>
                </c:pt>
                <c:pt idx="83">
                  <c:v>276</c:v>
                </c:pt>
                <c:pt idx="84">
                  <c:v>250</c:v>
                </c:pt>
                <c:pt idx="85">
                  <c:v>366</c:v>
                </c:pt>
                <c:pt idx="86">
                  <c:v>396</c:v>
                </c:pt>
                <c:pt idx="87">
                  <c:v>392</c:v>
                </c:pt>
                <c:pt idx="88">
                  <c:v>311</c:v>
                </c:pt>
                <c:pt idx="89">
                  <c:v>373</c:v>
                </c:pt>
                <c:pt idx="90">
                  <c:v>387</c:v>
                </c:pt>
                <c:pt idx="91">
                  <c:v>375</c:v>
                </c:pt>
                <c:pt idx="92">
                  <c:v>267</c:v>
                </c:pt>
                <c:pt idx="93">
                  <c:v>391</c:v>
                </c:pt>
                <c:pt idx="94">
                  <c:v>411</c:v>
                </c:pt>
                <c:pt idx="95">
                  <c:v>387</c:v>
                </c:pt>
                <c:pt idx="96">
                  <c:v>266</c:v>
                </c:pt>
                <c:pt idx="97">
                  <c:v>387</c:v>
                </c:pt>
                <c:pt idx="98">
                  <c:v>417</c:v>
                </c:pt>
                <c:pt idx="99">
                  <c:v>362</c:v>
                </c:pt>
                <c:pt idx="100">
                  <c:v>372</c:v>
                </c:pt>
                <c:pt idx="101">
                  <c:v>371</c:v>
                </c:pt>
                <c:pt idx="102">
                  <c:v>439</c:v>
                </c:pt>
                <c:pt idx="103">
                  <c:v>332</c:v>
                </c:pt>
                <c:pt idx="104">
                  <c:v>264</c:v>
                </c:pt>
                <c:pt idx="105">
                  <c:v>377</c:v>
                </c:pt>
                <c:pt idx="106">
                  <c:v>414</c:v>
                </c:pt>
                <c:pt idx="107">
                  <c:v>330</c:v>
                </c:pt>
                <c:pt idx="108">
                  <c:v>263</c:v>
                </c:pt>
                <c:pt idx="109">
                  <c:v>383</c:v>
                </c:pt>
                <c:pt idx="110">
                  <c:v>395</c:v>
                </c:pt>
                <c:pt idx="111">
                  <c:v>380</c:v>
                </c:pt>
                <c:pt idx="112">
                  <c:v>331</c:v>
                </c:pt>
                <c:pt idx="113">
                  <c:v>462</c:v>
                </c:pt>
                <c:pt idx="114">
                  <c:v>520</c:v>
                </c:pt>
                <c:pt idx="115">
                  <c:v>384</c:v>
                </c:pt>
                <c:pt idx="116">
                  <c:v>297</c:v>
                </c:pt>
                <c:pt idx="117">
                  <c:v>403</c:v>
                </c:pt>
                <c:pt idx="118">
                  <c:v>443</c:v>
                </c:pt>
                <c:pt idx="119">
                  <c:v>328</c:v>
                </c:pt>
                <c:pt idx="135">
                  <c:v>302</c:v>
                </c:pt>
                <c:pt idx="136">
                  <c:v>411</c:v>
                </c:pt>
                <c:pt idx="137">
                  <c:v>484</c:v>
                </c:pt>
                <c:pt idx="138">
                  <c:v>374</c:v>
                </c:pt>
                <c:pt idx="139">
                  <c:v>296</c:v>
                </c:pt>
                <c:pt idx="140">
                  <c:v>390</c:v>
                </c:pt>
                <c:pt idx="141">
                  <c:v>421</c:v>
                </c:pt>
                <c:pt idx="142">
                  <c:v>350</c:v>
                </c:pt>
                <c:pt idx="143">
                  <c:v>289</c:v>
                </c:pt>
                <c:pt idx="144">
                  <c:v>365</c:v>
                </c:pt>
                <c:pt idx="150">
                  <c:v>300</c:v>
                </c:pt>
                <c:pt idx="151">
                  <c:v>382</c:v>
                </c:pt>
                <c:pt idx="152">
                  <c:v>375</c:v>
                </c:pt>
                <c:pt idx="153">
                  <c:v>300</c:v>
                </c:pt>
                <c:pt idx="154">
                  <c:v>380</c:v>
                </c:pt>
                <c:pt idx="155">
                  <c:v>410</c:v>
                </c:pt>
                <c:pt idx="156">
                  <c:v>319</c:v>
                </c:pt>
                <c:pt idx="157">
                  <c:v>281</c:v>
                </c:pt>
                <c:pt idx="158">
                  <c:v>358</c:v>
                </c:pt>
                <c:pt idx="159">
                  <c:v>373</c:v>
                </c:pt>
                <c:pt idx="160">
                  <c:v>254</c:v>
                </c:pt>
                <c:pt idx="161">
                  <c:v>295</c:v>
                </c:pt>
                <c:pt idx="162">
                  <c:v>281</c:v>
                </c:pt>
                <c:pt idx="163">
                  <c:v>369</c:v>
                </c:pt>
                <c:pt idx="164">
                  <c:v>268</c:v>
                </c:pt>
                <c:pt idx="165">
                  <c:v>242</c:v>
                </c:pt>
                <c:pt idx="166">
                  <c:v>299</c:v>
                </c:pt>
                <c:pt idx="167">
                  <c:v>385</c:v>
                </c:pt>
                <c:pt idx="168">
                  <c:v>331</c:v>
                </c:pt>
                <c:pt idx="169">
                  <c:v>260</c:v>
                </c:pt>
                <c:pt idx="170">
                  <c:v>312</c:v>
                </c:pt>
                <c:pt idx="171">
                  <c:v>402</c:v>
                </c:pt>
                <c:pt idx="172">
                  <c:v>319</c:v>
                </c:pt>
                <c:pt idx="173">
                  <c:v>361</c:v>
                </c:pt>
              </c:numCache>
            </c:numRef>
          </c:val>
          <c:smooth val="0"/>
        </c:ser>
        <c:ser>
          <c:idx val="0"/>
          <c:order val="1"/>
          <c:tx>
            <c:strRef>
              <c:f>あらめ!$C$196</c:f>
              <c:strCache>
                <c:ptCount val="1"/>
                <c:pt idx="0">
                  <c:v>Be-7</c:v>
                </c:pt>
              </c:strCache>
            </c:strRef>
          </c:tx>
          <c:spPr>
            <a:ln w="0" cmpd="sng">
              <a:solidFill>
                <a:srgbClr val="0066FF"/>
              </a:solidFill>
              <a:prstDash val="sysDash"/>
            </a:ln>
          </c:spPr>
          <c:marker>
            <c:symbol val="circle"/>
            <c:size val="5"/>
            <c:spPr>
              <a:solidFill>
                <a:srgbClr val="FFFFFF"/>
              </a:solidFill>
              <a:ln>
                <a:solidFill>
                  <a:srgbClr val="0066FF"/>
                </a:solidFill>
                <a:prstDash val="solid"/>
              </a:ln>
            </c:spPr>
          </c:marker>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あらめ!$C$197:$C$383</c:f>
              <c:numCache>
                <c:formatCode>0.00_);[Red]\(0.00\)</c:formatCode>
                <c:ptCount val="187"/>
                <c:pt idx="1">
                  <c:v>0.66666666666666663</c:v>
                </c:pt>
                <c:pt idx="3" formatCode="0.000">
                  <c:v>0.18518518518518517</c:v>
                </c:pt>
                <c:pt idx="4" formatCode="&quot;(&quot;0.00&quot;)&quot;">
                  <c:v>0.37037037037037035</c:v>
                </c:pt>
                <c:pt idx="5" formatCode="&quot;(&quot;0.00&quot;)&quot;">
                  <c:v>0.62962962962962965</c:v>
                </c:pt>
                <c:pt idx="6" formatCode="0.000">
                  <c:v>0.18518518518518517</c:v>
                </c:pt>
                <c:pt idx="8" formatCode="0.000">
                  <c:v>0.18518518518518517</c:v>
                </c:pt>
                <c:pt idx="9">
                  <c:v>0.88888888888888884</c:v>
                </c:pt>
                <c:pt idx="10" formatCode="0.000">
                  <c:v>0.18518518518518517</c:v>
                </c:pt>
                <c:pt idx="11" formatCode="0.000">
                  <c:v>0.18518518518518517</c:v>
                </c:pt>
                <c:pt idx="12" formatCode="0.000">
                  <c:v>0.18518518518518517</c:v>
                </c:pt>
                <c:pt idx="13">
                  <c:v>0.7407407407407407</c:v>
                </c:pt>
                <c:pt idx="15" formatCode="0.000">
                  <c:v>0.18518518518518517</c:v>
                </c:pt>
                <c:pt idx="16">
                  <c:v>2.2222222222222223</c:v>
                </c:pt>
                <c:pt idx="17" formatCode="0.000">
                  <c:v>0.18518518518518517</c:v>
                </c:pt>
                <c:pt idx="18" formatCode="0.000">
                  <c:v>0.18518518518518517</c:v>
                </c:pt>
                <c:pt idx="19">
                  <c:v>1.5185185185185186</c:v>
                </c:pt>
                <c:pt idx="21" formatCode="0.000">
                  <c:v>0.18518518518518517</c:v>
                </c:pt>
                <c:pt idx="24" formatCode="0.000">
                  <c:v>0.18518518518518517</c:v>
                </c:pt>
                <c:pt idx="25" formatCode="0.000">
                  <c:v>0.18518518518518517</c:v>
                </c:pt>
                <c:pt idx="26" formatCode="0.000">
                  <c:v>0.18518518518518517</c:v>
                </c:pt>
                <c:pt idx="27" formatCode="0.000">
                  <c:v>0.18518518518518517</c:v>
                </c:pt>
                <c:pt idx="28" formatCode="0.000">
                  <c:v>0.18518518518518517</c:v>
                </c:pt>
                <c:pt idx="30" formatCode="0.000">
                  <c:v>0.18518518518518517</c:v>
                </c:pt>
                <c:pt idx="33" formatCode="0.000">
                  <c:v>0.18518518518518517</c:v>
                </c:pt>
                <c:pt idx="34" formatCode="0.00">
                  <c:v>0.66666666666666663</c:v>
                </c:pt>
                <c:pt idx="35" formatCode="0.000">
                  <c:v>0.18518518518518517</c:v>
                </c:pt>
                <c:pt idx="36" formatCode="0.000">
                  <c:v>0.18518518518518517</c:v>
                </c:pt>
                <c:pt idx="37" formatCode="0.000">
                  <c:v>0.18518518518518517</c:v>
                </c:pt>
                <c:pt idx="38" formatCode="0.000">
                  <c:v>0.18518518518518517</c:v>
                </c:pt>
                <c:pt idx="39" formatCode="0.00">
                  <c:v>0.81</c:v>
                </c:pt>
                <c:pt idx="40" formatCode="0.00">
                  <c:v>0.82</c:v>
                </c:pt>
                <c:pt idx="41" formatCode="0.000">
                  <c:v>0.18518518518518517</c:v>
                </c:pt>
                <c:pt idx="42" formatCode="0.000">
                  <c:v>0.18518518518518517</c:v>
                </c:pt>
                <c:pt idx="43" formatCode="&quot;(&quot;0.00&quot;)&quot;">
                  <c:v>0.78</c:v>
                </c:pt>
                <c:pt idx="44" formatCode="0.00">
                  <c:v>0.57999999999999996</c:v>
                </c:pt>
                <c:pt idx="45" formatCode="0.00">
                  <c:v>1.1000000000000001</c:v>
                </c:pt>
                <c:pt idx="46" formatCode="0.000">
                  <c:v>0.18518518518518517</c:v>
                </c:pt>
                <c:pt idx="47" formatCode="0.000">
                  <c:v>0.18518518518518517</c:v>
                </c:pt>
                <c:pt idx="48" formatCode="0.000">
                  <c:v>0.18518518518518517</c:v>
                </c:pt>
                <c:pt idx="49" formatCode="0.000">
                  <c:v>0.18518518518518517</c:v>
                </c:pt>
                <c:pt idx="50" formatCode="0.000">
                  <c:v>0.18518518518518517</c:v>
                </c:pt>
                <c:pt idx="51" formatCode="0.00">
                  <c:v>0.69</c:v>
                </c:pt>
                <c:pt idx="52" formatCode="0.00">
                  <c:v>0.66</c:v>
                </c:pt>
                <c:pt idx="53" formatCode="0.00">
                  <c:v>0.91</c:v>
                </c:pt>
                <c:pt idx="54" formatCode="0.000">
                  <c:v>0.18518518518518517</c:v>
                </c:pt>
                <c:pt idx="55" formatCode="0.00">
                  <c:v>0.77</c:v>
                </c:pt>
                <c:pt idx="56" formatCode="0.00">
                  <c:v>0.64</c:v>
                </c:pt>
                <c:pt idx="57" formatCode="&quot;(&quot;0.00&quot;)&quot;">
                  <c:v>0.68</c:v>
                </c:pt>
                <c:pt idx="58" formatCode="0.000">
                  <c:v>0.18518518518518517</c:v>
                </c:pt>
                <c:pt idx="59" formatCode="0.00">
                  <c:v>1</c:v>
                </c:pt>
                <c:pt idx="60" formatCode="0.00">
                  <c:v>0.88</c:v>
                </c:pt>
                <c:pt idx="61" formatCode="0.00">
                  <c:v>1.4</c:v>
                </c:pt>
                <c:pt idx="63" formatCode="0.00">
                  <c:v>0.64</c:v>
                </c:pt>
                <c:pt idx="64" formatCode="0.00">
                  <c:v>0.74</c:v>
                </c:pt>
                <c:pt idx="65" formatCode="0.00">
                  <c:v>1.6</c:v>
                </c:pt>
                <c:pt idx="66" formatCode="0.000">
                  <c:v>0.18518518518518517</c:v>
                </c:pt>
                <c:pt idx="67" formatCode="0.00">
                  <c:v>0.76</c:v>
                </c:pt>
                <c:pt idx="68" formatCode="0.00">
                  <c:v>0.93</c:v>
                </c:pt>
                <c:pt idx="69" formatCode="0.00">
                  <c:v>2.1</c:v>
                </c:pt>
                <c:pt idx="70" formatCode="0.000">
                  <c:v>0.18518518518518517</c:v>
                </c:pt>
                <c:pt idx="71" formatCode="0.000">
                  <c:v>0.18518518518518517</c:v>
                </c:pt>
                <c:pt idx="72" formatCode="0.00">
                  <c:v>1.4</c:v>
                </c:pt>
                <c:pt idx="73" formatCode="0.00">
                  <c:v>0.54</c:v>
                </c:pt>
                <c:pt idx="74" formatCode="0.000">
                  <c:v>0.18518518518518517</c:v>
                </c:pt>
                <c:pt idx="75" formatCode="0.000">
                  <c:v>0.18518518518518517</c:v>
                </c:pt>
                <c:pt idx="76" formatCode="0.00">
                  <c:v>0.76</c:v>
                </c:pt>
                <c:pt idx="77" formatCode="0.00">
                  <c:v>2.8</c:v>
                </c:pt>
                <c:pt idx="78" formatCode="0.000">
                  <c:v>0.18518518518518517</c:v>
                </c:pt>
                <c:pt idx="79" formatCode="0.00">
                  <c:v>0.76</c:v>
                </c:pt>
                <c:pt idx="80" formatCode="0.000">
                  <c:v>0.18518518518518517</c:v>
                </c:pt>
                <c:pt idx="81" formatCode="0.00">
                  <c:v>1.3</c:v>
                </c:pt>
                <c:pt idx="82" formatCode="0.000">
                  <c:v>0.18518518518518517</c:v>
                </c:pt>
                <c:pt idx="83" formatCode="0.00">
                  <c:v>0.85</c:v>
                </c:pt>
                <c:pt idx="84" formatCode="0.00">
                  <c:v>0.87</c:v>
                </c:pt>
                <c:pt idx="85" formatCode="0.00">
                  <c:v>1.1000000000000001</c:v>
                </c:pt>
                <c:pt idx="86" formatCode="0.000">
                  <c:v>0.18518518518518517</c:v>
                </c:pt>
                <c:pt idx="87" formatCode="0.000">
                  <c:v>0.18518518518518517</c:v>
                </c:pt>
                <c:pt idx="88" formatCode="0.000">
                  <c:v>0.18518518518518517</c:v>
                </c:pt>
                <c:pt idx="89" formatCode="0.00">
                  <c:v>2.2999999999999998</c:v>
                </c:pt>
                <c:pt idx="90" formatCode="0.000">
                  <c:v>0.18518518518518517</c:v>
                </c:pt>
                <c:pt idx="91" formatCode="0.000">
                  <c:v>0.18518518518518517</c:v>
                </c:pt>
                <c:pt idx="92" formatCode="&quot;(&quot;0.00&quot;)&quot;">
                  <c:v>0.53</c:v>
                </c:pt>
                <c:pt idx="93" formatCode="&quot;(&quot;0.00&quot;)&quot;">
                  <c:v>0.86</c:v>
                </c:pt>
                <c:pt idx="94" formatCode="0.000">
                  <c:v>0.18518518518518517</c:v>
                </c:pt>
                <c:pt idx="95" formatCode="0.000">
                  <c:v>0.18518518518518517</c:v>
                </c:pt>
                <c:pt idx="96" formatCode="0.00">
                  <c:v>0.78</c:v>
                </c:pt>
                <c:pt idx="97" formatCode="0.000">
                  <c:v>0.18518518518518517</c:v>
                </c:pt>
                <c:pt idx="98" formatCode="0.000">
                  <c:v>0.18518518518518517</c:v>
                </c:pt>
                <c:pt idx="99" formatCode="0.000">
                  <c:v>0.18518518518518517</c:v>
                </c:pt>
                <c:pt idx="100" formatCode="0.000">
                  <c:v>0.18518518518518517</c:v>
                </c:pt>
                <c:pt idx="101" formatCode="0.00">
                  <c:v>1</c:v>
                </c:pt>
                <c:pt idx="102" formatCode="0.000">
                  <c:v>0.18518518518518517</c:v>
                </c:pt>
                <c:pt idx="103" formatCode="0.000">
                  <c:v>0.18518518518518517</c:v>
                </c:pt>
                <c:pt idx="104" formatCode="&quot;(&quot;0.00&quot;)&quot;">
                  <c:v>0.87</c:v>
                </c:pt>
                <c:pt idx="105" formatCode="0.00">
                  <c:v>2.1</c:v>
                </c:pt>
                <c:pt idx="106" formatCode="0.000">
                  <c:v>0.18518518518518517</c:v>
                </c:pt>
                <c:pt idx="107" formatCode="0.000">
                  <c:v>0.18518518518518517</c:v>
                </c:pt>
                <c:pt idx="108" formatCode="0.00">
                  <c:v>1.1000000000000001</c:v>
                </c:pt>
                <c:pt idx="109" formatCode="0.00">
                  <c:v>1.3</c:v>
                </c:pt>
                <c:pt idx="110" formatCode="0.000">
                  <c:v>0.18518518518518517</c:v>
                </c:pt>
                <c:pt idx="111" formatCode="0.000">
                  <c:v>0.18518518518518517</c:v>
                </c:pt>
                <c:pt idx="112" formatCode="0.00">
                  <c:v>0.56999999999999995</c:v>
                </c:pt>
                <c:pt idx="113" formatCode="0.00">
                  <c:v>2.2999999999999998</c:v>
                </c:pt>
                <c:pt idx="114" formatCode="0.000">
                  <c:v>0.18518518518518517</c:v>
                </c:pt>
                <c:pt idx="115" formatCode="&quot;(&quot;0.00&quot;)&quot;">
                  <c:v>0.6</c:v>
                </c:pt>
                <c:pt idx="116" formatCode="0.00">
                  <c:v>1.3</c:v>
                </c:pt>
                <c:pt idx="117" formatCode="0.00">
                  <c:v>1.2</c:v>
                </c:pt>
                <c:pt idx="118" formatCode="0.000">
                  <c:v>0.18518518518518517</c:v>
                </c:pt>
                <c:pt idx="119" formatCode="0.000">
                  <c:v>0.18518518518518517</c:v>
                </c:pt>
                <c:pt idx="135" formatCode="General">
                  <c:v>1.7</c:v>
                </c:pt>
                <c:pt idx="136" formatCode="&quot;(&quot;0.00&quot;)&quot;">
                  <c:v>0.56000000000000005</c:v>
                </c:pt>
                <c:pt idx="137" formatCode="0.000">
                  <c:v>0.18518518518518517</c:v>
                </c:pt>
                <c:pt idx="138" formatCode="0.000">
                  <c:v>0.18518518518518517</c:v>
                </c:pt>
                <c:pt idx="139" formatCode="General">
                  <c:v>0.7</c:v>
                </c:pt>
                <c:pt idx="140" formatCode="General">
                  <c:v>1.4</c:v>
                </c:pt>
                <c:pt idx="141" formatCode="General">
                  <c:v>0.67</c:v>
                </c:pt>
                <c:pt idx="142" formatCode="&quot;(&quot;0.00&quot;)&quot;">
                  <c:v>0.48</c:v>
                </c:pt>
                <c:pt idx="143" formatCode="&quot;(&quot;0.00&quot;)&quot;">
                  <c:v>0.42</c:v>
                </c:pt>
                <c:pt idx="144" formatCode="0.00">
                  <c:v>2</c:v>
                </c:pt>
                <c:pt idx="150" formatCode="General">
                  <c:v>1.5</c:v>
                </c:pt>
                <c:pt idx="151" formatCode="0.000">
                  <c:v>0.18518518518518517</c:v>
                </c:pt>
                <c:pt idx="152" formatCode="0.000">
                  <c:v>0.18518518518518517</c:v>
                </c:pt>
                <c:pt idx="153" formatCode="0.000">
                  <c:v>0.18518518518518517</c:v>
                </c:pt>
                <c:pt idx="154" formatCode="General">
                  <c:v>1.8</c:v>
                </c:pt>
                <c:pt idx="155" formatCode="0.000">
                  <c:v>0.18518518518518517</c:v>
                </c:pt>
                <c:pt idx="156" formatCode="&quot;(&quot;0.0&quot;)&quot;">
                  <c:v>1.2</c:v>
                </c:pt>
                <c:pt idx="157" formatCode="&quot;(&quot;0.0&quot;)&quot;">
                  <c:v>1.6</c:v>
                </c:pt>
                <c:pt idx="158" formatCode="General">
                  <c:v>1.5</c:v>
                </c:pt>
                <c:pt idx="159" formatCode="0.000">
                  <c:v>0.18518518518518517</c:v>
                </c:pt>
                <c:pt idx="160" formatCode="0.000">
                  <c:v>0.18518518518518517</c:v>
                </c:pt>
                <c:pt idx="161" formatCode="0.000">
                  <c:v>0.18518518518518517</c:v>
                </c:pt>
                <c:pt idx="162" formatCode="0.0">
                  <c:v>2.2999999999999998</c:v>
                </c:pt>
                <c:pt idx="163" formatCode="0.000">
                  <c:v>0.18518518518518517</c:v>
                </c:pt>
                <c:pt idx="164" formatCode="0.000">
                  <c:v>0.18518518518518517</c:v>
                </c:pt>
                <c:pt idx="165" formatCode="0.000">
                  <c:v>0.18518518518518517</c:v>
                </c:pt>
                <c:pt idx="166" formatCode="0.0">
                  <c:v>2.29</c:v>
                </c:pt>
                <c:pt idx="167" formatCode="0.000">
                  <c:v>0.18518518518518517</c:v>
                </c:pt>
                <c:pt idx="168" formatCode="0.0">
                  <c:v>1.3</c:v>
                </c:pt>
                <c:pt idx="169" formatCode="0.0">
                  <c:v>2.1</c:v>
                </c:pt>
                <c:pt idx="170" formatCode="0.0">
                  <c:v>2.4</c:v>
                </c:pt>
                <c:pt idx="171" formatCode="0.000">
                  <c:v>0.18518518518518517</c:v>
                </c:pt>
                <c:pt idx="172" formatCode="0.00">
                  <c:v>1.1000000000000001</c:v>
                </c:pt>
                <c:pt idx="173" formatCode="0.00">
                  <c:v>1.8</c:v>
                </c:pt>
              </c:numCache>
            </c:numRef>
          </c:val>
          <c:smooth val="0"/>
        </c:ser>
        <c:ser>
          <c:idx val="2"/>
          <c:order val="2"/>
          <c:tx>
            <c:strRef>
              <c:f>あらめ!$F$196</c:f>
              <c:strCache>
                <c:ptCount val="1"/>
                <c:pt idx="0">
                  <c:v>Cs-137</c:v>
                </c:pt>
              </c:strCache>
            </c:strRef>
          </c:tx>
          <c:spPr>
            <a:ln w="12700">
              <a:solidFill>
                <a:srgbClr val="FF0000"/>
              </a:solidFill>
              <a:prstDash val="sysDash"/>
            </a:ln>
          </c:spPr>
          <c:marker>
            <c:symbol val="triangle"/>
            <c:size val="4"/>
            <c:spPr>
              <a:solidFill>
                <a:srgbClr val="FF0000"/>
              </a:solidFill>
              <a:ln>
                <a:solidFill>
                  <a:srgbClr val="FF0000"/>
                </a:solidFill>
                <a:prstDash val="solid"/>
              </a:ln>
            </c:spPr>
          </c:marker>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あらめ!$F$197:$F$383</c:f>
              <c:numCache>
                <c:formatCode>0.000</c:formatCode>
                <c:ptCount val="187"/>
                <c:pt idx="1">
                  <c:v>0.14814814814814814</c:v>
                </c:pt>
                <c:pt idx="3">
                  <c:v>0.11481481481481481</c:v>
                </c:pt>
                <c:pt idx="4">
                  <c:v>7.0370370370370361E-2</c:v>
                </c:pt>
                <c:pt idx="5">
                  <c:v>0.15185185185185185</c:v>
                </c:pt>
                <c:pt idx="6">
                  <c:v>0.18518518518518517</c:v>
                </c:pt>
                <c:pt idx="8">
                  <c:v>0.16666666666666666</c:v>
                </c:pt>
                <c:pt idx="9">
                  <c:v>0.17037037037037034</c:v>
                </c:pt>
                <c:pt idx="10">
                  <c:v>7.407407407407407E-2</c:v>
                </c:pt>
                <c:pt idx="11">
                  <c:v>6.6666666666666666E-2</c:v>
                </c:pt>
                <c:pt idx="12">
                  <c:v>0.12592592592592591</c:v>
                </c:pt>
                <c:pt idx="13">
                  <c:v>0.14444444444444443</c:v>
                </c:pt>
                <c:pt idx="15">
                  <c:v>6.2962962962962957E-2</c:v>
                </c:pt>
                <c:pt idx="16">
                  <c:v>0.11851851851851852</c:v>
                </c:pt>
                <c:pt idx="17">
                  <c:v>9.6296296296296297E-2</c:v>
                </c:pt>
                <c:pt idx="18">
                  <c:v>0.15555555555555556</c:v>
                </c:pt>
                <c:pt idx="19">
                  <c:v>0.17037037037037034</c:v>
                </c:pt>
                <c:pt idx="21">
                  <c:v>8.1481481481481502E-2</c:v>
                </c:pt>
                <c:pt idx="24">
                  <c:v>0.15555555555555556</c:v>
                </c:pt>
                <c:pt idx="25">
                  <c:v>0.24074074074074073</c:v>
                </c:pt>
                <c:pt idx="26">
                  <c:v>0.13703703703703704</c:v>
                </c:pt>
                <c:pt idx="27">
                  <c:v>0.21851851851851853</c:v>
                </c:pt>
                <c:pt idx="28">
                  <c:v>0.162962962962963</c:v>
                </c:pt>
                <c:pt idx="30">
                  <c:v>9.6296296296296297E-2</c:v>
                </c:pt>
                <c:pt idx="33">
                  <c:v>0.12592592592592591</c:v>
                </c:pt>
                <c:pt idx="34">
                  <c:v>0.15925925925925924</c:v>
                </c:pt>
                <c:pt idx="35">
                  <c:v>0.18148148148148149</c:v>
                </c:pt>
                <c:pt idx="36">
                  <c:v>5.9259259259259262E-2</c:v>
                </c:pt>
                <c:pt idx="37">
                  <c:v>8.6999999999999994E-2</c:v>
                </c:pt>
                <c:pt idx="38">
                  <c:v>6.0999999999999999E-2</c:v>
                </c:pt>
                <c:pt idx="39">
                  <c:v>0.14000000000000001</c:v>
                </c:pt>
                <c:pt idx="40">
                  <c:v>8.6999999999999994E-2</c:v>
                </c:pt>
                <c:pt idx="41">
                  <c:v>7.1999999999999995E-2</c:v>
                </c:pt>
                <c:pt idx="42">
                  <c:v>7.2999999999999995E-2</c:v>
                </c:pt>
                <c:pt idx="43">
                  <c:v>6.3E-2</c:v>
                </c:pt>
                <c:pt idx="44">
                  <c:v>8.5000000000000006E-2</c:v>
                </c:pt>
                <c:pt idx="45" formatCode="&quot;(&quot;0.00&quot;)&quot;">
                  <c:v>7.3999999999999996E-2</c:v>
                </c:pt>
                <c:pt idx="46">
                  <c:v>8.5000000000000006E-2</c:v>
                </c:pt>
                <c:pt idx="47">
                  <c:v>6.2E-2</c:v>
                </c:pt>
                <c:pt idx="48">
                  <c:v>9.6000000000000002E-2</c:v>
                </c:pt>
                <c:pt idx="49">
                  <c:v>8.5000000000000006E-2</c:v>
                </c:pt>
                <c:pt idx="50" formatCode="&quot;(&quot;0.00&quot;)&quot;">
                  <c:v>4.9000000000000002E-2</c:v>
                </c:pt>
                <c:pt idx="51" formatCode="&quot;(&quot;0.00&quot;)&quot;">
                  <c:v>0.04</c:v>
                </c:pt>
                <c:pt idx="52">
                  <c:v>0.11</c:v>
                </c:pt>
                <c:pt idx="53">
                  <c:v>0.1</c:v>
                </c:pt>
                <c:pt idx="54">
                  <c:v>6.5000000000000002E-2</c:v>
                </c:pt>
                <c:pt idx="55">
                  <c:v>7.0000000000000007E-2</c:v>
                </c:pt>
                <c:pt idx="56">
                  <c:v>5.8999999999999997E-2</c:v>
                </c:pt>
                <c:pt idx="57">
                  <c:v>6.9000000000000006E-2</c:v>
                </c:pt>
                <c:pt idx="58">
                  <c:v>5.7000000000000002E-2</c:v>
                </c:pt>
                <c:pt idx="59">
                  <c:v>5.6000000000000001E-2</c:v>
                </c:pt>
                <c:pt idx="60">
                  <c:v>6.7000000000000004E-2</c:v>
                </c:pt>
                <c:pt idx="61">
                  <c:v>0.13</c:v>
                </c:pt>
                <c:pt idx="63">
                  <c:v>7.0999999999999994E-2</c:v>
                </c:pt>
                <c:pt idx="64">
                  <c:v>7.4999999999999997E-2</c:v>
                </c:pt>
                <c:pt idx="65">
                  <c:v>0.13</c:v>
                </c:pt>
                <c:pt idx="66">
                  <c:v>8.2000000000000003E-2</c:v>
                </c:pt>
                <c:pt idx="67">
                  <c:v>0.05</c:v>
                </c:pt>
                <c:pt idx="68">
                  <c:v>6.4000000000000001E-2</c:v>
                </c:pt>
                <c:pt idx="69">
                  <c:v>5.7000000000000002E-2</c:v>
                </c:pt>
                <c:pt idx="70">
                  <c:v>1.5963433571699635E-2</c:v>
                </c:pt>
                <c:pt idx="71">
                  <c:v>4.9000000000000002E-2</c:v>
                </c:pt>
                <c:pt idx="72">
                  <c:v>4.7E-2</c:v>
                </c:pt>
                <c:pt idx="73">
                  <c:v>8.5999999999999993E-2</c:v>
                </c:pt>
                <c:pt idx="74">
                  <c:v>1.5583184273839935E-2</c:v>
                </c:pt>
                <c:pt idx="75">
                  <c:v>5.2999999999999999E-2</c:v>
                </c:pt>
                <c:pt idx="76">
                  <c:v>0.06</c:v>
                </c:pt>
                <c:pt idx="77">
                  <c:v>7.3999999999999996E-2</c:v>
                </c:pt>
                <c:pt idx="78">
                  <c:v>1.5211032511809998E-2</c:v>
                </c:pt>
                <c:pt idx="79">
                  <c:v>1.5151630072971507E-2</c:v>
                </c:pt>
                <c:pt idx="80">
                  <c:v>0.06</c:v>
                </c:pt>
                <c:pt idx="81">
                  <c:v>9.6000000000000002E-2</c:v>
                </c:pt>
                <c:pt idx="82">
                  <c:v>7.1999999999999995E-2</c:v>
                </c:pt>
                <c:pt idx="83" formatCode="&quot;(&quot;0.00&quot;)&quot;">
                  <c:v>5.0999999999999997E-2</c:v>
                </c:pt>
                <c:pt idx="84">
                  <c:v>5.3999999999999999E-2</c:v>
                </c:pt>
                <c:pt idx="85">
                  <c:v>0.09</c:v>
                </c:pt>
                <c:pt idx="86">
                  <c:v>1.4538985502586602E-2</c:v>
                </c:pt>
                <c:pt idx="87" formatCode="&quot;(&quot;0.00&quot;)&quot;">
                  <c:v>5.8999999999999997E-2</c:v>
                </c:pt>
                <c:pt idx="88">
                  <c:v>6.0999999999999999E-2</c:v>
                </c:pt>
                <c:pt idx="89">
                  <c:v>9.5000000000000001E-2</c:v>
                </c:pt>
                <c:pt idx="90" formatCode="&quot;(&quot;0.00&quot;)&quot;">
                  <c:v>6.0999999999999999E-2</c:v>
                </c:pt>
                <c:pt idx="92" formatCode="&quot;(&quot;0.00&quot;)&quot;">
                  <c:v>5.3999999999999999E-2</c:v>
                </c:pt>
                <c:pt idx="93">
                  <c:v>7.1999999999999995E-2</c:v>
                </c:pt>
                <c:pt idx="94">
                  <c:v>1.3883481397593276E-2</c:v>
                </c:pt>
                <c:pt idx="95" formatCode="&quot;(&quot;0.00&quot;)&quot;">
                  <c:v>6.0999999999999999E-2</c:v>
                </c:pt>
                <c:pt idx="96">
                  <c:v>7.3999999999999996E-2</c:v>
                </c:pt>
                <c:pt idx="97" formatCode="&quot;(&quot;0.00&quot;)&quot;">
                  <c:v>0.06</c:v>
                </c:pt>
                <c:pt idx="98" formatCode="&quot;(&quot;0.00&quot;)&quot;">
                  <c:v>0.06</c:v>
                </c:pt>
                <c:pt idx="99">
                  <c:v>1.348707628136989E-2</c:v>
                </c:pt>
                <c:pt idx="100" formatCode="&quot;(&quot;0.00&quot;)&quot;">
                  <c:v>5.8999999999999997E-2</c:v>
                </c:pt>
                <c:pt idx="101">
                  <c:v>9.2999999999999999E-2</c:v>
                </c:pt>
                <c:pt idx="102">
                  <c:v>1.3275113517601923E-2</c:v>
                </c:pt>
                <c:pt idx="103" formatCode="&quot;(&quot;0.00&quot;)&quot;">
                  <c:v>5.7000000000000002E-2</c:v>
                </c:pt>
                <c:pt idx="104">
                  <c:v>5.8000000000000003E-2</c:v>
                </c:pt>
                <c:pt idx="105">
                  <c:v>7.2999999999999995E-2</c:v>
                </c:pt>
                <c:pt idx="106" formatCode="&quot;(&quot;0.00&quot;)&quot;">
                  <c:v>6.0999999999999999E-2</c:v>
                </c:pt>
                <c:pt idx="107">
                  <c:v>6.4000000000000001E-2</c:v>
                </c:pt>
                <c:pt idx="108">
                  <c:v>7.0000000000000007E-2</c:v>
                </c:pt>
                <c:pt idx="109" formatCode="&quot;(&quot;0.00&quot;)&quot;">
                  <c:v>5.8000000000000003E-2</c:v>
                </c:pt>
                <c:pt idx="110" formatCode="&quot;(&quot;0.00&quot;)&quot;">
                  <c:v>5.6000000000000001E-2</c:v>
                </c:pt>
                <c:pt idx="111">
                  <c:v>1.2596841301166211E-2</c:v>
                </c:pt>
                <c:pt idx="112" formatCode="&quot;(&quot;0.00&quot;)&quot;">
                  <c:v>0.06</c:v>
                </c:pt>
                <c:pt idx="113" formatCode="&quot;(&quot;0.00&quot;)&quot;">
                  <c:v>7.8E-2</c:v>
                </c:pt>
                <c:pt idx="114" formatCode="&quot;(&quot;0.00&quot;)&quot;">
                  <c:v>8.1000000000000003E-2</c:v>
                </c:pt>
                <c:pt idx="115" formatCode="&quot;(&quot;0.00&quot;)&quot;">
                  <c:v>5.8000000000000003E-2</c:v>
                </c:pt>
                <c:pt idx="116">
                  <c:v>6.6000000000000003E-2</c:v>
                </c:pt>
                <c:pt idx="117" formatCode="&quot;(&quot;0.00&quot;)&quot;">
                  <c:v>7.0000000000000007E-2</c:v>
                </c:pt>
                <c:pt idx="118" formatCode="&quot;(&quot;0.00&quot;)&quot;">
                  <c:v>6.4000000000000001E-2</c:v>
                </c:pt>
                <c:pt idx="119" formatCode="&quot;(&quot;0.00&quot;)&quot;">
                  <c:v>5.7000000000000002E-2</c:v>
                </c:pt>
                <c:pt idx="135">
                  <c:v>5.8999999999999997E-2</c:v>
                </c:pt>
                <c:pt idx="136" formatCode="&quot;(&quot;0.00&quot;)&quot;">
                  <c:v>7.0999999999999994E-2</c:v>
                </c:pt>
                <c:pt idx="137" formatCode="&quot;(&quot;0.00&quot;)&quot;">
                  <c:v>7.0000000000000007E-2</c:v>
                </c:pt>
                <c:pt idx="138">
                  <c:v>1.1757944766448043E-2</c:v>
                </c:pt>
                <c:pt idx="139">
                  <c:v>5.3999999999999999E-2</c:v>
                </c:pt>
                <c:pt idx="140" formatCode="&quot;(&quot;0.00&quot;)&quot;">
                  <c:v>6.8000000000000005E-2</c:v>
                </c:pt>
                <c:pt idx="141">
                  <c:v>1.1557828975908237E-2</c:v>
                </c:pt>
                <c:pt idx="142">
                  <c:v>1.1486566108885167E-2</c:v>
                </c:pt>
                <c:pt idx="143" formatCode="&quot;(&quot;0.00&quot;)&quot;">
                  <c:v>5.1999999999999998E-2</c:v>
                </c:pt>
                <c:pt idx="144">
                  <c:v>1.1358251408116745E-2</c:v>
                </c:pt>
                <c:pt idx="150" formatCode="General">
                  <c:v>1.5</c:v>
                </c:pt>
                <c:pt idx="151" formatCode="0.00_ ">
                  <c:v>0.39</c:v>
                </c:pt>
                <c:pt idx="152" formatCode="0.00_ ">
                  <c:v>0.39</c:v>
                </c:pt>
                <c:pt idx="153" formatCode="0.00_ ">
                  <c:v>0.3</c:v>
                </c:pt>
                <c:pt idx="154" formatCode="0.00_ ">
                  <c:v>0.15</c:v>
                </c:pt>
                <c:pt idx="155">
                  <c:v>1.9140513178084365E-2</c:v>
                </c:pt>
                <c:pt idx="156" formatCode="0.00_ ">
                  <c:v>0.16</c:v>
                </c:pt>
                <c:pt idx="157" formatCode="0.00_ ">
                  <c:v>0.1</c:v>
                </c:pt>
                <c:pt idx="158" formatCode="0.00_ ">
                  <c:v>0.19</c:v>
                </c:pt>
                <c:pt idx="159" formatCode="&quot;(&quot;0.00&quot;)&quot;">
                  <c:v>0.1</c:v>
                </c:pt>
                <c:pt idx="160">
                  <c:v>1.8596354904115847E-2</c:v>
                </c:pt>
                <c:pt idx="161">
                  <c:v>8.7999999999999995E-2</c:v>
                </c:pt>
                <c:pt idx="162" formatCode="&quot;(&quot;0.00&quot;)&quot;">
                  <c:v>8.8999999999999996E-2</c:v>
                </c:pt>
                <c:pt idx="163">
                  <c:v>1.8269472002228677E-2</c:v>
                </c:pt>
                <c:pt idx="164" formatCode="&quot;(&quot;0.00&quot;)&quot;">
                  <c:v>8.6999999999999994E-2</c:v>
                </c:pt>
                <c:pt idx="165" formatCode="0.00_ ">
                  <c:v>0.15</c:v>
                </c:pt>
                <c:pt idx="166">
                  <c:v>1.7952866483628017E-2</c:v>
                </c:pt>
                <c:pt idx="167">
                  <c:v>1.7863580768110149E-2</c:v>
                </c:pt>
                <c:pt idx="168" formatCode="&quot;(&quot;0.00&quot;)&quot;">
                  <c:v>8.6999999999999994E-2</c:v>
                </c:pt>
                <c:pt idx="169">
                  <c:v>0.08</c:v>
                </c:pt>
                <c:pt idx="170">
                  <c:v>1.7552901434567371E-2</c:v>
                </c:pt>
                <c:pt idx="171" formatCode="&quot;(&quot;0.00&quot;)&quot;">
                  <c:v>9.8000000000000004E-2</c:v>
                </c:pt>
                <c:pt idx="172">
                  <c:v>1.7341491762565477E-2</c:v>
                </c:pt>
                <c:pt idx="173" formatCode="0.00_ ">
                  <c:v>0.1</c:v>
                </c:pt>
              </c:numCache>
            </c:numRef>
          </c:val>
          <c:smooth val="0"/>
        </c:ser>
        <c:ser>
          <c:idx val="3"/>
          <c:order val="3"/>
          <c:tx>
            <c:strRef>
              <c:f>あらめ!$E$196</c:f>
              <c:strCache>
                <c:ptCount val="1"/>
                <c:pt idx="0">
                  <c:v>Cs-134</c:v>
                </c:pt>
              </c:strCache>
            </c:strRef>
          </c:tx>
          <c:spPr>
            <a:ln w="12700">
              <a:solidFill>
                <a:srgbClr val="FF0000"/>
              </a:solidFill>
              <a:prstDash val="sysDot"/>
            </a:ln>
          </c:spPr>
          <c:marker>
            <c:symbol val="triangle"/>
            <c:size val="5"/>
            <c:spPr>
              <a:noFill/>
              <a:ln>
                <a:solidFill>
                  <a:srgbClr val="FF0000"/>
                </a:solidFill>
                <a:prstDash val="solid"/>
              </a:ln>
            </c:spPr>
          </c:marker>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あらめ!$E$197:$E$383</c:f>
              <c:numCache>
                <c:formatCode>0.000</c:formatCode>
                <c:ptCount val="187"/>
                <c:pt idx="1">
                  <c:v>1.9473263628656447E-2</c:v>
                </c:pt>
                <c:pt idx="3">
                  <c:v>1.7469253114855289E-2</c:v>
                </c:pt>
                <c:pt idx="4">
                  <c:v>1.6837840964029908E-2</c:v>
                </c:pt>
                <c:pt idx="5">
                  <c:v>1.4612780357014323E-2</c:v>
                </c:pt>
                <c:pt idx="6">
                  <c:v>1.4227926211989619E-2</c:v>
                </c:pt>
                <c:pt idx="8">
                  <c:v>1.0578856688753505E-2</c:v>
                </c:pt>
                <c:pt idx="9">
                  <c:v>1.0056696047677409E-2</c:v>
                </c:pt>
                <c:pt idx="10">
                  <c:v>9.3085205620326347E-3</c:v>
                </c:pt>
                <c:pt idx="11">
                  <c:v>8.6557457734116727E-3</c:v>
                </c:pt>
                <c:pt idx="12">
                  <c:v>7.975011881001819E-3</c:v>
                </c:pt>
                <c:pt idx="13">
                  <c:v>7.3208143172718686E-3</c:v>
                </c:pt>
                <c:pt idx="15">
                  <c:v>6.7450665358254171E-3</c:v>
                </c:pt>
                <c:pt idx="16">
                  <c:v>6.3184078337600895E-3</c:v>
                </c:pt>
                <c:pt idx="17">
                  <c:v>6.1690103319475284E-3</c:v>
                </c:pt>
                <c:pt idx="18">
                  <c:v>5.6681749826675036E-3</c:v>
                </c:pt>
                <c:pt idx="19">
                  <c:v>5.2175953804288805E-3</c:v>
                </c:pt>
                <c:pt idx="21">
                  <c:v>4.7369856559017877E-3</c:v>
                </c:pt>
                <c:pt idx="24">
                  <c:v>1.9545083798284808E-2</c:v>
                </c:pt>
                <c:pt idx="25">
                  <c:v>1.9135705327120171E-2</c:v>
                </c:pt>
                <c:pt idx="26">
                  <c:v>1.7842980448668899E-2</c:v>
                </c:pt>
                <c:pt idx="27">
                  <c:v>1.7630771666596986E-2</c:v>
                </c:pt>
                <c:pt idx="28">
                  <c:v>1.6729713927595553E-2</c:v>
                </c:pt>
                <c:pt idx="30">
                  <c:v>1.559952734529463E-2</c:v>
                </c:pt>
                <c:pt idx="33">
                  <c:v>1.4097581716609291E-2</c:v>
                </c:pt>
                <c:pt idx="34">
                  <c:v>1.2846212056406483E-2</c:v>
                </c:pt>
                <c:pt idx="35">
                  <c:v>1.1835917604050684E-2</c:v>
                </c:pt>
                <c:pt idx="36">
                  <c:v>1.0716044558375389E-2</c:v>
                </c:pt>
                <c:pt idx="37">
                  <c:v>1.0319220160265482E-2</c:v>
                </c:pt>
                <c:pt idx="38">
                  <c:v>9.9829233697212184E-3</c:v>
                </c:pt>
                <c:pt idx="39">
                  <c:v>9.2657839732554394E-3</c:v>
                </c:pt>
                <c:pt idx="40">
                  <c:v>8.2893155000445563E-3</c:v>
                </c:pt>
                <c:pt idx="41">
                  <c:v>7.8295602713759089E-3</c:v>
                </c:pt>
                <c:pt idx="42">
                  <c:v>7.3478145230982004E-3</c:v>
                </c:pt>
                <c:pt idx="43">
                  <c:v>7.1608838774506077E-3</c:v>
                </c:pt>
                <c:pt idx="44">
                  <c:v>6.6648466219674553E-3</c:v>
                </c:pt>
                <c:pt idx="45">
                  <c:v>6.0120688249548629E-3</c:v>
                </c:pt>
                <c:pt idx="46">
                  <c:v>5.4633033414170111E-3</c:v>
                </c:pt>
                <c:pt idx="47">
                  <c:v>5.0895401102341456E-3</c:v>
                </c:pt>
                <c:pt idx="48">
                  <c:v>4.7632158205547052E-3</c:v>
                </c:pt>
                <c:pt idx="49">
                  <c:v>4.2455891560429764E-3</c:v>
                </c:pt>
                <c:pt idx="50">
                  <c:v>3.9044998908984601E-3</c:v>
                </c:pt>
                <c:pt idx="51">
                  <c:v>3.6440811388888219E-3</c:v>
                </c:pt>
                <c:pt idx="52">
                  <c:v>3.3729769747685629E-3</c:v>
                </c:pt>
                <c:pt idx="53">
                  <c:v>3.0820731192019112E-3</c:v>
                </c:pt>
                <c:pt idx="54">
                  <c:v>2.8475337432418875E-3</c:v>
                </c:pt>
                <c:pt idx="55">
                  <c:v>2.6235885420369523E-3</c:v>
                </c:pt>
                <c:pt idx="56">
                  <c:v>2.4128102837188501E-3</c:v>
                </c:pt>
                <c:pt idx="57">
                  <c:v>2.1865300543555443E-3</c:v>
                </c:pt>
                <c:pt idx="58">
                  <c:v>2.0519948415648405E-3</c:v>
                </c:pt>
                <c:pt idx="59">
                  <c:v>1.8595529133557357E-3</c:v>
                </c:pt>
                <c:pt idx="60">
                  <c:v>1.7085838303502947E-3</c:v>
                </c:pt>
                <c:pt idx="61">
                  <c:v>1.5626637997485089E-3</c:v>
                </c:pt>
                <c:pt idx="63">
                  <c:v>1.324097140192552E-3</c:v>
                </c:pt>
                <c:pt idx="64">
                  <c:v>1.2323764081356536E-3</c:v>
                </c:pt>
                <c:pt idx="65">
                  <c:v>1.1240187098130138E-3</c:v>
                </c:pt>
                <c:pt idx="66">
                  <c:v>1.0233031431286436E-3</c:v>
                </c:pt>
                <c:pt idx="67">
                  <c:v>9.4543189500281399E-4</c:v>
                </c:pt>
                <c:pt idx="68">
                  <c:v>8.8237434574262291E-4</c:v>
                </c:pt>
                <c:pt idx="69">
                  <c:v>8.0479086351071389E-4</c:v>
                </c:pt>
                <c:pt idx="70">
                  <c:v>7.4697741420689883E-4</c:v>
                </c:pt>
                <c:pt idx="71">
                  <c:v>6.7817088876865629E-4</c:v>
                </c:pt>
                <c:pt idx="72">
                  <c:v>6.3003296697401094E-4</c:v>
                </c:pt>
                <c:pt idx="73">
                  <c:v>5.6989671566249137E-4</c:v>
                </c:pt>
                <c:pt idx="74">
                  <c:v>5.2556047788203473E-4</c:v>
                </c:pt>
                <c:pt idx="75" formatCode=".00000">
                  <c:v>4.8780599355355145E-4</c:v>
                </c:pt>
                <c:pt idx="76" formatCode=".00000">
                  <c:v>4.4861581717074126E-4</c:v>
                </c:pt>
                <c:pt idx="77" formatCode=".00000">
                  <c:v>4.0917090646095972E-4</c:v>
                </c:pt>
                <c:pt idx="78" formatCode=".00000">
                  <c:v>3.6943516246803153E-4</c:v>
                </c:pt>
                <c:pt idx="79" formatCode=".00000">
                  <c:v>3.4894496064161808E-4</c:v>
                </c:pt>
                <c:pt idx="80" formatCode=".00000">
                  <c:v>3.1885005184427445E-4</c:v>
                </c:pt>
                <c:pt idx="81" formatCode=".00000">
                  <c:v>2.940444838766733E-4</c:v>
                </c:pt>
                <c:pt idx="82" formatCode=".00000">
                  <c:v>2.6819038340298272E-4</c:v>
                </c:pt>
                <c:pt idx="83" formatCode=".00000">
                  <c:v>2.4664405439384015E-4</c:v>
                </c:pt>
                <c:pt idx="84" formatCode=".00000">
                  <c:v>2.2934774834836049E-4</c:v>
                </c:pt>
                <c:pt idx="85" formatCode=".00000">
                  <c:v>2.0918216098199377E-4</c:v>
                </c:pt>
                <c:pt idx="86" formatCode=".00000">
                  <c:v>1.9114115518781662E-4</c:v>
                </c:pt>
                <c:pt idx="87" formatCode=".00000">
                  <c:v>1.7530026031299526E-4</c:v>
                </c:pt>
                <c:pt idx="88" formatCode=".00000">
                  <c:v>1.6390967194066135E-4</c:v>
                </c:pt>
                <c:pt idx="89" formatCode=".00000">
                  <c:v>1.5004914978808143E-4</c:v>
                </c:pt>
                <c:pt idx="90" formatCode=".00000">
                  <c:v>1.3761377026181575E-4</c:v>
                </c:pt>
                <c:pt idx="91" formatCode=".00000">
                  <c:v>1.2667445415800248E-4</c:v>
                </c:pt>
                <c:pt idx="92" formatCode=".00000">
                  <c:v>1.1311654817730312E-4</c:v>
                </c:pt>
                <c:pt idx="93" formatCode=".00000">
                  <c:v>1.077313571830547E-4</c:v>
                </c:pt>
                <c:pt idx="94" formatCode=".00000">
                  <c:v>9.753819370225866E-5</c:v>
                </c:pt>
                <c:pt idx="95" formatCode=".00000">
                  <c:v>8.9702006640664814E-5</c:v>
                </c:pt>
                <c:pt idx="96" formatCode=".00000">
                  <c:v>8.2343668486234569E-5</c:v>
                </c:pt>
                <c:pt idx="97" formatCode=".00000">
                  <c:v>7.7135025616214973E-5</c:v>
                </c:pt>
                <c:pt idx="98" formatCode=".00000">
                  <c:v>6.8311126179669839E-5</c:v>
                </c:pt>
                <c:pt idx="99" formatCode=".00000">
                  <c:v>6.3931245238568814E-5</c:v>
                </c:pt>
                <c:pt idx="100" formatCode=".00000">
                  <c:v>5.999761365412643E-5</c:v>
                </c:pt>
                <c:pt idx="101" formatCode=".00000">
                  <c:v>5.5177424700472622E-5</c:v>
                </c:pt>
                <c:pt idx="102" formatCode=".00000">
                  <c:v>5.0744488174604907E-5</c:v>
                </c:pt>
                <c:pt idx="103" formatCode=".00000">
                  <c:v>4.662476198005641E-5</c:v>
                </c:pt>
                <c:pt idx="104" formatCode=".00000">
                  <c:v>4.2997496763758514E-5</c:v>
                </c:pt>
                <c:pt idx="105" formatCode=".00000">
                  <c:v>3.9072800824726534E-5</c:v>
                </c:pt>
                <c:pt idx="106" formatCode=".00000">
                  <c:v>3.5900648600072568E-5</c:v>
                </c:pt>
                <c:pt idx="107" formatCode=".00000">
                  <c:v>3.2744054863846461E-5</c:v>
                </c:pt>
                <c:pt idx="108" formatCode=".00000">
                  <c:v>3.0002753615782329E-5</c:v>
                </c:pt>
                <c:pt idx="109" formatCode=".00000">
                  <c:v>2.7694106542399004E-5</c:v>
                </c:pt>
                <c:pt idx="110" formatCode=".00000">
                  <c:v>2.5539588962220035E-5</c:v>
                </c:pt>
                <c:pt idx="111" formatCode=".00000">
                  <c:v>2.3617805579156585E-5</c:v>
                </c:pt>
                <c:pt idx="112" formatCode=".00000">
                  <c:v>2.1961569452063766E-5</c:v>
                </c:pt>
                <c:pt idx="113" formatCode=".00000">
                  <c:v>1.9683361506319828E-5</c:v>
                </c:pt>
                <c:pt idx="114" formatCode=".00000">
                  <c:v>1.8455269178908017E-5</c:v>
                </c:pt>
                <c:pt idx="115" formatCode=".00000">
                  <c:v>1.6894655553992175E-5</c:v>
                </c:pt>
                <c:pt idx="116" formatCode=".00000">
                  <c:v>1.5395004067316651E-5</c:v>
                </c:pt>
                <c:pt idx="117" formatCode=".00000">
                  <c:v>1.4106148913635477E-5</c:v>
                </c:pt>
                <c:pt idx="118" formatCode=".00000">
                  <c:v>1.3032700220030208E-5</c:v>
                </c:pt>
                <c:pt idx="119" formatCode=".00000">
                  <c:v>1.2152267776081934E-5</c:v>
                </c:pt>
                <c:pt idx="135">
                  <c:v>1.083166042336824E-5</c:v>
                </c:pt>
                <c:pt idx="136">
                  <c:v>1.0137170583982359E-5</c:v>
                </c:pt>
                <c:pt idx="137">
                  <c:v>9.4002951451183382E-6</c:v>
                </c:pt>
                <c:pt idx="138">
                  <c:v>8.6450784613216389E-6</c:v>
                </c:pt>
                <c:pt idx="139">
                  <c:v>8.0019213304336898E-6</c:v>
                </c:pt>
                <c:pt idx="140">
                  <c:v>7.311792170235688E-6</c:v>
                </c:pt>
                <c:pt idx="141">
                  <c:v>6.7305566900695844E-6</c:v>
                </c:pt>
                <c:pt idx="142">
                  <c:v>6.1500769222272459E-6</c:v>
                </c:pt>
                <c:pt idx="143">
                  <c:v>5.6925373121778167E-6</c:v>
                </c:pt>
                <c:pt idx="144">
                  <c:v>5.2207661489000738E-6</c:v>
                </c:pt>
                <c:pt idx="150" formatCode="General">
                  <c:v>1.2</c:v>
                </c:pt>
                <c:pt idx="151" formatCode="0.00_ ">
                  <c:v>0.33</c:v>
                </c:pt>
                <c:pt idx="152" formatCode="0.00_ ">
                  <c:v>0.25</c:v>
                </c:pt>
                <c:pt idx="153" formatCode="0.00_ ">
                  <c:v>0.21</c:v>
                </c:pt>
                <c:pt idx="154" formatCode="0.00_ ">
                  <c:v>0.11</c:v>
                </c:pt>
                <c:pt idx="155">
                  <c:v>1.0539983727670213E-2</c:v>
                </c:pt>
                <c:pt idx="156" formatCode="&quot;(&quot;0.00&quot;)&quot;">
                  <c:v>8.3000000000000004E-2</c:v>
                </c:pt>
                <c:pt idx="157">
                  <c:v>8.8572101943827572E-3</c:v>
                </c:pt>
                <c:pt idx="158">
                  <c:v>8.1231655798906632E-3</c:v>
                </c:pt>
                <c:pt idx="159">
                  <c:v>7.3953047200071547E-3</c:v>
                </c:pt>
                <c:pt idx="160">
                  <c:v>6.9211425152793269E-3</c:v>
                </c:pt>
                <c:pt idx="161">
                  <c:v>6.3709609046008614E-3</c:v>
                </c:pt>
                <c:pt idx="162">
                  <c:v>5.8161393439511832E-3</c:v>
                </c:pt>
                <c:pt idx="163">
                  <c:v>5.3439520686756224E-3</c:v>
                </c:pt>
                <c:pt idx="164">
                  <c:v>4.9282087890732155E-3</c:v>
                </c:pt>
                <c:pt idx="165">
                  <c:v>4.5531823152401606E-3</c:v>
                </c:pt>
                <c:pt idx="166">
                  <c:v>4.1413898023421863E-3</c:v>
                </c:pt>
                <c:pt idx="167">
                  <c:v>3.8509682649125456E-3</c:v>
                </c:pt>
                <c:pt idx="168">
                  <c:v>3.5220798620840218E-3</c:v>
                </c:pt>
                <c:pt idx="169">
                  <c:v>3.1917691681989332E-3</c:v>
                </c:pt>
                <c:pt idx="170">
                  <c:v>2.9816303258403164E-3</c:v>
                </c:pt>
                <c:pt idx="171">
                  <c:v>2.7219720395261627E-3</c:v>
                </c:pt>
                <c:pt idx="172">
                  <c:v>2.4986861681858224E-3</c:v>
                </c:pt>
                <c:pt idx="173">
                  <c:v>2.1309040619596183E-3</c:v>
                </c:pt>
              </c:numCache>
            </c:numRef>
          </c:val>
          <c:smooth val="0"/>
        </c:ser>
        <c:ser>
          <c:idx val="4"/>
          <c:order val="4"/>
          <c:tx>
            <c:strRef>
              <c:f>あらめ!$G$196</c:f>
              <c:strCache>
                <c:ptCount val="1"/>
                <c:pt idx="0">
                  <c:v>I-131</c:v>
                </c:pt>
              </c:strCache>
            </c:strRef>
          </c:tx>
          <c:spPr>
            <a:ln w="6350">
              <a:solidFill>
                <a:srgbClr val="FF00FF"/>
              </a:solidFill>
            </a:ln>
          </c:spPr>
          <c:marker>
            <c:symbol val="star"/>
            <c:size val="5"/>
            <c:spPr>
              <a:ln>
                <a:solidFill>
                  <a:srgbClr val="FF00FF"/>
                </a:solidFill>
              </a:ln>
            </c:spPr>
          </c:marker>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あらめ!$G$197:$G$383</c:f>
              <c:numCache>
                <c:formatCode>0.000</c:formatCode>
                <c:ptCount val="187"/>
                <c:pt idx="135" formatCode="0.000;&quot;△ &quot;0.000">
                  <c:v>0.17</c:v>
                </c:pt>
                <c:pt idx="139" formatCode="0.000;&quot;△ &quot;0.000">
                  <c:v>0.14000000000000001</c:v>
                </c:pt>
                <c:pt idx="150" formatCode=".00000">
                  <c:v>1.2753722808184653E-11</c:v>
                </c:pt>
                <c:pt idx="151" formatCode=".00000">
                  <c:v>9.6358792447745515E-15</c:v>
                </c:pt>
                <c:pt idx="152" formatCode=".00000">
                  <c:v>1.6996671131935797E-18</c:v>
                </c:pt>
                <c:pt idx="153" formatCode=".00000">
                  <c:v>1.5238615926956963E-21</c:v>
                </c:pt>
                <c:pt idx="154" formatCode=".00000">
                  <c:v>1.7522652719950565E-25</c:v>
                </c:pt>
                <c:pt idx="155" formatCode=".00000">
                  <c:v>2.8597427948460305E-28</c:v>
                </c:pt>
                <c:pt idx="156" formatCode=".00000">
                  <c:v>5.0442836165966929E-32</c:v>
                </c:pt>
                <c:pt idx="157" formatCode=".00000">
                  <c:v>2.7064457021712538E-35</c:v>
                </c:pt>
                <c:pt idx="158" formatCode=".00000">
                  <c:v>8.6899506427530931E-39</c:v>
                </c:pt>
                <c:pt idx="159" formatCode=".00000">
                  <c:v>1.4071039877742523E-42</c:v>
                </c:pt>
                <c:pt idx="160" formatCode=".00000">
                  <c:v>2.9685490528102399E-45</c:v>
                </c:pt>
                <c:pt idx="161" formatCode=".00000">
                  <c:v>1.3421985783226652E-48</c:v>
                </c:pt>
                <c:pt idx="162" formatCode=".00000">
                  <c:v>2.809419378603747E-52</c:v>
                </c:pt>
                <c:pt idx="163" formatCode=".00000">
                  <c:v>1.0704387981452575E-55</c:v>
                </c:pt>
                <c:pt idx="164" formatCode=".00000">
                  <c:v>5.7433021314378399E-59</c:v>
                </c:pt>
                <c:pt idx="165" formatCode=".00000">
                  <c:v>3.6566951999611801E-62</c:v>
                </c:pt>
                <c:pt idx="166" formatCode=".00000">
                  <c:v>5.4354312555362954E-66</c:v>
                </c:pt>
                <c:pt idx="167" formatCode=".00000">
                  <c:v>6.2995071686102091E-69</c:v>
                </c:pt>
                <c:pt idx="168" formatCode="&quot;(&quot;0.00&quot;)&quot;">
                  <c:v>0.11</c:v>
                </c:pt>
                <c:pt idx="169" formatCode="&quot;(&quot;0.00&quot;)&quot;">
                  <c:v>0.11</c:v>
                </c:pt>
                <c:pt idx="170" formatCode=".00000">
                  <c:v>2.936399231425724E-79</c:v>
                </c:pt>
                <c:pt idx="171" formatCode=".00000">
                  <c:v>6.1463162287014238E-83</c:v>
                </c:pt>
                <c:pt idx="172" formatCode=".00000">
                  <c:v>2.1497924365929565E-86</c:v>
                </c:pt>
                <c:pt idx="173" formatCode=".00000">
                  <c:v>7.9999466160533254E-93</c:v>
                </c:pt>
              </c:numCache>
            </c:numRef>
          </c:val>
          <c:smooth val="0"/>
        </c:ser>
        <c:ser>
          <c:idx val="5"/>
          <c:order val="5"/>
          <c:tx>
            <c:strRef>
              <c:f>あらめ!$H$196</c:f>
              <c:strCache>
                <c:ptCount val="1"/>
                <c:pt idx="0">
                  <c:v>Sr-90</c:v>
                </c:pt>
              </c:strCache>
            </c:strRef>
          </c:tx>
          <c:spPr>
            <a:ln w="0">
              <a:solidFill>
                <a:srgbClr val="7030A0"/>
              </a:solidFill>
            </a:ln>
          </c:spPr>
          <c:marker>
            <c:symbol val="circle"/>
            <c:size val="4"/>
            <c:spPr>
              <a:solidFill>
                <a:srgbClr val="7030A0"/>
              </a:solidFill>
              <a:ln w="0">
                <a:solidFill>
                  <a:srgbClr val="7030A0"/>
                </a:solidFill>
              </a:ln>
            </c:spPr>
          </c:marker>
          <c:dPt>
            <c:idx val="135"/>
            <c:bubble3D val="0"/>
            <c:spPr>
              <a:ln w="0" cmpd="sng">
                <a:solidFill>
                  <a:srgbClr val="7030A0"/>
                </a:solidFill>
              </a:ln>
            </c:spPr>
          </c:dPt>
          <c:cat>
            <c:numRef>
              <c:f>あらめ!$B$197:$B$383</c:f>
              <c:numCache>
                <c:formatCode>[$-411]m\.d\.ge</c:formatCode>
                <c:ptCount val="187"/>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pt idx="121" formatCode="General">
                  <c:v>39773</c:v>
                </c:pt>
                <c:pt idx="122" formatCode="General">
                  <c:v>39774</c:v>
                </c:pt>
                <c:pt idx="123" formatCode="General">
                  <c:v>39775</c:v>
                </c:pt>
                <c:pt idx="124" formatCode="General">
                  <c:v>39776</c:v>
                </c:pt>
                <c:pt idx="125" formatCode="General">
                  <c:v>39777</c:v>
                </c:pt>
                <c:pt idx="126" formatCode="General">
                  <c:v>39778</c:v>
                </c:pt>
                <c:pt idx="127" formatCode="General">
                  <c:v>39779</c:v>
                </c:pt>
                <c:pt idx="128" formatCode="General">
                  <c:v>39780</c:v>
                </c:pt>
                <c:pt idx="129" formatCode="General">
                  <c:v>39781</c:v>
                </c:pt>
                <c:pt idx="130" formatCode="General">
                  <c:v>39782</c:v>
                </c:pt>
                <c:pt idx="132" formatCode="General">
                  <c:v>31528</c:v>
                </c:pt>
                <c:pt idx="133" formatCode="General">
                  <c:v>8254</c:v>
                </c:pt>
                <c:pt idx="135">
                  <c:v>39700</c:v>
                </c:pt>
                <c:pt idx="136">
                  <c:v>39772</c:v>
                </c:pt>
                <c:pt idx="137">
                  <c:v>39854</c:v>
                </c:pt>
                <c:pt idx="138">
                  <c:v>39945</c:v>
                </c:pt>
                <c:pt idx="139">
                  <c:v>40029</c:v>
                </c:pt>
                <c:pt idx="140">
                  <c:v>40127</c:v>
                </c:pt>
                <c:pt idx="141">
                  <c:v>40217</c:v>
                </c:pt>
                <c:pt idx="142">
                  <c:v>40315</c:v>
                </c:pt>
                <c:pt idx="143">
                  <c:v>40399</c:v>
                </c:pt>
                <c:pt idx="144">
                  <c:v>40493</c:v>
                </c:pt>
                <c:pt idx="145">
                  <c:v>40581</c:v>
                </c:pt>
                <c:pt idx="146">
                  <c:v>40612</c:v>
                </c:pt>
                <c:pt idx="147">
                  <c:v>40613</c:v>
                </c:pt>
                <c:pt idx="148">
                  <c:v>40737</c:v>
                </c:pt>
                <c:pt idx="149">
                  <c:v>40784</c:v>
                </c:pt>
                <c:pt idx="150">
                  <c:v>40861</c:v>
                </c:pt>
                <c:pt idx="151">
                  <c:v>40945</c:v>
                </c:pt>
                <c:pt idx="152">
                  <c:v>41046</c:v>
                </c:pt>
                <c:pt idx="153">
                  <c:v>41128</c:v>
                </c:pt>
                <c:pt idx="154">
                  <c:v>41234</c:v>
                </c:pt>
                <c:pt idx="155">
                  <c:v>41309</c:v>
                </c:pt>
                <c:pt idx="156">
                  <c:v>41410</c:v>
                </c:pt>
                <c:pt idx="157">
                  <c:v>41498</c:v>
                </c:pt>
                <c:pt idx="158">
                  <c:v>41592</c:v>
                </c:pt>
                <c:pt idx="159">
                  <c:v>41694</c:v>
                </c:pt>
                <c:pt idx="160">
                  <c:v>41766</c:v>
                </c:pt>
                <c:pt idx="161">
                  <c:v>41856</c:v>
                </c:pt>
                <c:pt idx="162">
                  <c:v>41955</c:v>
                </c:pt>
                <c:pt idx="163">
                  <c:v>42047</c:v>
                </c:pt>
                <c:pt idx="164">
                  <c:v>42135</c:v>
                </c:pt>
                <c:pt idx="165">
                  <c:v>42221</c:v>
                </c:pt>
                <c:pt idx="166">
                  <c:v>42324</c:v>
                </c:pt>
                <c:pt idx="167">
                  <c:v>42403</c:v>
                </c:pt>
                <c:pt idx="168">
                  <c:v>42500</c:v>
                </c:pt>
                <c:pt idx="169">
                  <c:v>42607</c:v>
                </c:pt>
                <c:pt idx="170">
                  <c:v>42681</c:v>
                </c:pt>
                <c:pt idx="171">
                  <c:v>42780</c:v>
                </c:pt>
                <c:pt idx="172">
                  <c:v>42873</c:v>
                </c:pt>
                <c:pt idx="173">
                  <c:v>43046</c:v>
                </c:pt>
              </c:numCache>
            </c:numRef>
          </c:cat>
          <c:val>
            <c:numRef>
              <c:f>あらめ!$H$197:$H$383</c:f>
              <c:numCache>
                <c:formatCode>0.000_);[Red]\(0.000\)</c:formatCode>
                <c:ptCount val="187"/>
                <c:pt idx="10" formatCode="0.000">
                  <c:v>9.4671270320945081E-3</c:v>
                </c:pt>
                <c:pt idx="12">
                  <c:v>6.2962962962962957E-2</c:v>
                </c:pt>
                <c:pt idx="13">
                  <c:v>5.5555555555555552E-2</c:v>
                </c:pt>
                <c:pt idx="18" formatCode="0.000">
                  <c:v>9.1367753879112463E-3</c:v>
                </c:pt>
                <c:pt idx="21" formatCode="0.000">
                  <c:v>9.020121405925223E-3</c:v>
                </c:pt>
                <c:pt idx="24" formatCode="0.000">
                  <c:v>8.9691484132651753E-3</c:v>
                </c:pt>
                <c:pt idx="26" formatCode="0.000">
                  <c:v>8.9108267537704941E-3</c:v>
                </c:pt>
                <c:pt idx="28" formatCode="0.000">
                  <c:v>8.8698182344978203E-3</c:v>
                </c:pt>
                <c:pt idx="30" formatCode="0.000">
                  <c:v>8.8255083544444973E-3</c:v>
                </c:pt>
                <c:pt idx="34">
                  <c:v>0.1</c:v>
                </c:pt>
                <c:pt idx="36" formatCode="0.000">
                  <c:v>8.5913907097697993E-3</c:v>
                </c:pt>
                <c:pt idx="39" formatCode="0.000">
                  <c:v>8.5024048549317104E-3</c:v>
                </c:pt>
                <c:pt idx="41">
                  <c:v>0.1</c:v>
                </c:pt>
                <c:pt idx="44" formatCode="0.000">
                  <c:v>8.3041738841345882E-3</c:v>
                </c:pt>
                <c:pt idx="46">
                  <c:v>0.06</c:v>
                </c:pt>
                <c:pt idx="48">
                  <c:v>7.2999999999999995E-2</c:v>
                </c:pt>
                <c:pt idx="50" formatCode="0.000">
                  <c:v>7.9922527639461477E-3</c:v>
                </c:pt>
                <c:pt idx="52" formatCode="0.000">
                  <c:v>7.9089513313042037E-3</c:v>
                </c:pt>
                <c:pt idx="54" formatCode="0.000">
                  <c:v>7.8136353316367608E-3</c:v>
                </c:pt>
                <c:pt idx="56">
                  <c:v>4.9000000000000002E-2</c:v>
                </c:pt>
                <c:pt idx="58" formatCode="0.000">
                  <c:v>7.6324686443872422E-3</c:v>
                </c:pt>
                <c:pt idx="60" formatCode="0.000">
                  <c:v>7.5330350816734575E-3</c:v>
                </c:pt>
                <c:pt idx="62" formatCode="0.000">
                  <c:v>7.4417590985830255E-3</c:v>
                </c:pt>
                <c:pt idx="64">
                  <c:v>0.02</c:v>
                </c:pt>
                <c:pt idx="66" formatCode="0.000">
                  <c:v>7.2615545609435884E-3</c:v>
                </c:pt>
                <c:pt idx="68" formatCode="0.000">
                  <c:v>7.1849220512741428E-3</c:v>
                </c:pt>
                <c:pt idx="70" formatCode="0.000">
                  <c:v>7.0997352015236296E-3</c:v>
                </c:pt>
                <c:pt idx="72" formatCode="0.000">
                  <c:v>7.0137094093728194E-3</c:v>
                </c:pt>
                <c:pt idx="74" formatCode="0.000">
                  <c:v>6.9232492297408993E-3</c:v>
                </c:pt>
                <c:pt idx="76">
                  <c:v>4.9000000000000002E-2</c:v>
                </c:pt>
                <c:pt idx="78" formatCode="0.000">
                  <c:v>6.7507055055881348E-3</c:v>
                </c:pt>
                <c:pt idx="80" formatCode="0.000">
                  <c:v>6.6799042438910631E-3</c:v>
                </c:pt>
                <c:pt idx="82" formatCode="0.000">
                  <c:v>6.5976610348751387E-3</c:v>
                </c:pt>
                <c:pt idx="84" formatCode="0.000;&quot;△ &quot;0.000">
                  <c:v>7.1999999999999995E-2</c:v>
                </c:pt>
                <c:pt idx="86" formatCode="0.000">
                  <c:v>6.4395937485640853E-3</c:v>
                </c:pt>
                <c:pt idx="88" formatCode="0.000">
                  <c:v>6.3691168459845803E-3</c:v>
                </c:pt>
                <c:pt idx="90" formatCode="0.000">
                  <c:v>6.289871052227696E-3</c:v>
                </c:pt>
                <c:pt idx="92" formatCode="0.000">
                  <c:v>6.2022040076166384E-3</c:v>
                </c:pt>
                <c:pt idx="94" formatCode="0.000">
                  <c:v>6.1367510175445242E-3</c:v>
                </c:pt>
                <c:pt idx="96" formatCode="0.000;&quot;△ &quot;0.000">
                  <c:v>2.8000000000000001E-2</c:v>
                </c:pt>
                <c:pt idx="98">
                  <c:v>4.2000000000000003E-2</c:v>
                </c:pt>
                <c:pt idx="100" formatCode="0.000;&quot;△ &quot;0.000">
                  <c:v>3.4000000000000002E-2</c:v>
                </c:pt>
                <c:pt idx="102" formatCode="0.000;&quot;△ &quot;0.000">
                  <c:v>2.9000000000000001E-2</c:v>
                </c:pt>
                <c:pt idx="104" formatCode="0.000">
                  <c:v>5.7871965039071804E-3</c:v>
                </c:pt>
                <c:pt idx="106" formatCode="0.000">
                  <c:v>5.7129318724783917E-3</c:v>
                </c:pt>
                <c:pt idx="108" formatCode="0.000">
                  <c:v>5.6399918883543168E-3</c:v>
                </c:pt>
                <c:pt idx="110" formatCode="0.000">
                  <c:v>5.5753261653743377E-3</c:v>
                </c:pt>
                <c:pt idx="112">
                  <c:v>4.4999999999999998E-2</c:v>
                </c:pt>
                <c:pt idx="114" formatCode="0.000;&quot;△ &quot;0.000">
                  <c:v>3.7999999999999999E-2</c:v>
                </c:pt>
                <c:pt idx="116" formatCode="0.000;&quot;△ &quot;0.000">
                  <c:v>5.3999999999999999E-2</c:v>
                </c:pt>
                <c:pt idx="118" formatCode="0.000">
                  <c:v>5.3131284137501325E-3</c:v>
                </c:pt>
                <c:pt idx="135" formatCode="0.000">
                  <c:v>5.2432194749272082E-3</c:v>
                </c:pt>
                <c:pt idx="137">
                  <c:v>3.4000000000000002E-2</c:v>
                </c:pt>
                <c:pt idx="139">
                  <c:v>4.7E-2</c:v>
                </c:pt>
                <c:pt idx="141" formatCode="0.000">
                  <c:v>5.0676006532979169E-3</c:v>
                </c:pt>
                <c:pt idx="143">
                  <c:v>2.9000000000000001E-2</c:v>
                </c:pt>
                <c:pt idx="151" formatCode="0.000">
                  <c:v>4.8302351222929878E-3</c:v>
                </c:pt>
                <c:pt idx="153">
                  <c:v>2.7E-2</c:v>
                </c:pt>
                <c:pt idx="155" formatCode="0.000">
                  <c:v>4.7157548005900326E-3</c:v>
                </c:pt>
                <c:pt idx="157" formatCode="0.000">
                  <c:v>4.6573873530647821E-3</c:v>
                </c:pt>
                <c:pt idx="159" formatCode="0.000">
                  <c:v>4.5976210819587381E-3</c:v>
                </c:pt>
                <c:pt idx="161" formatCode="0.000">
                  <c:v>4.5488017902588938E-3</c:v>
                </c:pt>
                <c:pt idx="163" formatCode="0.000">
                  <c:v>4.4919087026423794E-3</c:v>
                </c:pt>
                <c:pt idx="165">
                  <c:v>2.1999999999999999E-2</c:v>
                </c:pt>
                <c:pt idx="167" formatCode="0.000">
                  <c:v>4.3877594578228705E-3</c:v>
                </c:pt>
                <c:pt idx="169">
                  <c:v>3.2000000000000001E-2</c:v>
                </c:pt>
                <c:pt idx="171" formatCode="0.000">
                  <c:v>4.2800980423693879E-3</c:v>
                </c:pt>
                <c:pt idx="172">
                  <c:v>3.5999999999999997E-2</c:v>
                </c:pt>
                <c:pt idx="173" formatCode="0.000">
                  <c:v>4.2057286925398073E-3</c:v>
                </c:pt>
              </c:numCache>
            </c:numRef>
          </c:val>
          <c:smooth val="0"/>
        </c:ser>
        <c:dLbls>
          <c:showLegendKey val="0"/>
          <c:showVal val="0"/>
          <c:showCatName val="0"/>
          <c:showSerName val="0"/>
          <c:showPercent val="0"/>
          <c:showBubbleSize val="0"/>
        </c:dLbls>
        <c:marker val="1"/>
        <c:smooth val="0"/>
        <c:axId val="231035264"/>
        <c:axId val="231036800"/>
      </c:lineChart>
      <c:dateAx>
        <c:axId val="231035264"/>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1036800"/>
        <c:crossesAt val="1.0000000000000003E-4"/>
        <c:auto val="0"/>
        <c:lblOffset val="100"/>
        <c:baseTimeUnit val="days"/>
        <c:majorUnit val="24"/>
        <c:majorTimeUnit val="months"/>
      </c:dateAx>
      <c:valAx>
        <c:axId val="231036800"/>
        <c:scaling>
          <c:logBase val="10"/>
          <c:orientation val="minMax"/>
          <c:min val="1.0000000000000003E-4"/>
        </c:scaling>
        <c:delete val="0"/>
        <c:axPos val="l"/>
        <c:majorGridlines>
          <c:spPr>
            <a:ln w="3175">
              <a:solidFill>
                <a:schemeClr val="bg1">
                  <a:lumMod val="85000"/>
                </a:schemeClr>
              </a:solidFill>
              <a:prstDash val="solid"/>
            </a:ln>
          </c:spPr>
        </c:majorGridlines>
        <c:minorGridlines>
          <c:spPr>
            <a:ln>
              <a:solidFill>
                <a:schemeClr val="bg1">
                  <a:lumMod val="85000"/>
                </a:schemeClr>
              </a:solidFill>
            </a:ln>
          </c:spPr>
        </c:minorGridlines>
        <c:title>
          <c:tx>
            <c:rich>
              <a:bodyPr/>
              <a:lstStyle/>
              <a:p>
                <a:pPr>
                  <a:defRPr sz="1000" b="0" i="0" u="none" strike="noStrike" baseline="0">
                    <a:solidFill>
                      <a:srgbClr val="000000"/>
                    </a:solidFill>
                    <a:latin typeface="Meiryo UI"/>
                    <a:ea typeface="Meiryo UI"/>
                    <a:cs typeface="Meiryo UI"/>
                  </a:defRPr>
                </a:pPr>
                <a:r>
                  <a:rPr lang="ja-JP" altLang="en-US" sz="1000" b="0" i="0" u="none" strike="noStrike" baseline="0">
                    <a:solidFill>
                      <a:srgbClr val="000000"/>
                    </a:solidFill>
                    <a:latin typeface="Meiryo UI"/>
                    <a:ea typeface="Meiryo UI"/>
                  </a:rPr>
                  <a:t>Bq/kg生</a:t>
                </a:r>
              </a:p>
            </c:rich>
          </c:tx>
          <c:layout>
            <c:manualLayout>
              <c:xMode val="edge"/>
              <c:yMode val="edge"/>
              <c:x val="4.4365072922585708E-4"/>
              <c:y val="0.40014285409995526"/>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1035264"/>
        <c:crosses val="autoZero"/>
        <c:crossBetween val="between"/>
        <c:minorUnit val="10"/>
      </c:valAx>
      <c:spPr>
        <a:noFill/>
        <a:ln w="12700">
          <a:solidFill>
            <a:srgbClr val="808080"/>
          </a:solidFill>
          <a:prstDash val="solid"/>
        </a:ln>
      </c:spPr>
    </c:plotArea>
    <c:legend>
      <c:legendPos val="r"/>
      <c:layout>
        <c:manualLayout>
          <c:xMode val="edge"/>
          <c:yMode val="edge"/>
          <c:x val="0.47036730792640313"/>
          <c:y val="0.18635011749200101"/>
          <c:w val="0.48869348025049253"/>
          <c:h val="0.11170844641757785"/>
        </c:manualLayout>
      </c:layout>
      <c:overlay val="0"/>
      <c:spPr>
        <a:solidFill>
          <a:schemeClr val="bg1"/>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92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あらめ (東防波堤/県)</a:t>
            </a:r>
          </a:p>
        </c:rich>
      </c:tx>
      <c:layout>
        <c:manualLayout>
          <c:xMode val="edge"/>
          <c:yMode val="edge"/>
          <c:x val="0.16965134099616858"/>
          <c:y val="0.18694826388888888"/>
        </c:manualLayout>
      </c:layout>
      <c:overlay val="0"/>
      <c:spPr>
        <a:solidFill>
          <a:srgbClr val="FFFFFF"/>
        </a:solidFill>
        <a:ln w="25400">
          <a:noFill/>
        </a:ln>
      </c:spPr>
    </c:title>
    <c:autoTitleDeleted val="0"/>
    <c:plotArea>
      <c:layout>
        <c:manualLayout>
          <c:layoutTarget val="inner"/>
          <c:xMode val="edge"/>
          <c:yMode val="edge"/>
          <c:x val="7.0359737431273703E-2"/>
          <c:y val="4.1668162815152988E-2"/>
          <c:w val="0.85505911710534133"/>
          <c:h val="0.84336458907887479"/>
        </c:manualLayout>
      </c:layout>
      <c:lineChart>
        <c:grouping val="standard"/>
        <c:varyColors val="0"/>
        <c:ser>
          <c:idx val="1"/>
          <c:order val="0"/>
          <c:tx>
            <c:strRef>
              <c:f>あらめ!$R$196</c:f>
              <c:strCache>
                <c:ptCount val="1"/>
                <c:pt idx="0">
                  <c:v>K-40</c:v>
                </c:pt>
              </c:strCache>
            </c:strRef>
          </c:tx>
          <c:spPr>
            <a:ln w="12700">
              <a:solidFill>
                <a:srgbClr val="008000"/>
              </a:solidFill>
              <a:prstDash val="solid"/>
            </a:ln>
          </c:spPr>
          <c:marker>
            <c:symbol val="square"/>
            <c:size val="5"/>
            <c:spPr>
              <a:solidFill>
                <a:srgbClr val="FFFFFF"/>
              </a:solidFill>
              <a:ln>
                <a:solidFill>
                  <a:srgbClr val="00B050"/>
                </a:solidFill>
                <a:prstDash val="solid"/>
              </a:ln>
            </c:spPr>
          </c:marker>
          <c:cat>
            <c:numRef>
              <c:f>あらめ!$K$197:$K$316</c:f>
              <c:numCache>
                <c:formatCode>[$-411]m\.d\.ge</c:formatCode>
                <c:ptCount val="120"/>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numCache>
            </c:numRef>
          </c:cat>
          <c:val>
            <c:numRef>
              <c:f>あらめ!$R$197:$R$316</c:f>
              <c:numCache>
                <c:formatCode>0</c:formatCode>
                <c:ptCount val="120"/>
                <c:pt idx="9">
                  <c:v>570.37037037037032</c:v>
                </c:pt>
                <c:pt idx="10">
                  <c:v>418.51851851851853</c:v>
                </c:pt>
                <c:pt idx="11">
                  <c:v>279.25925925925924</c:v>
                </c:pt>
                <c:pt idx="12">
                  <c:v>197.03703703703704</c:v>
                </c:pt>
                <c:pt idx="13">
                  <c:v>374.07407407407408</c:v>
                </c:pt>
                <c:pt idx="15">
                  <c:v>400</c:v>
                </c:pt>
                <c:pt idx="17">
                  <c:v>388.88888888888891</c:v>
                </c:pt>
                <c:pt idx="18">
                  <c:v>294.44444444444446</c:v>
                </c:pt>
                <c:pt idx="19">
                  <c:v>414.81481481481484</c:v>
                </c:pt>
                <c:pt idx="21">
                  <c:v>381.11111111111109</c:v>
                </c:pt>
                <c:pt idx="25">
                  <c:v>295.55555555555554</c:v>
                </c:pt>
                <c:pt idx="27">
                  <c:v>403.7037037037037</c:v>
                </c:pt>
                <c:pt idx="30">
                  <c:v>372.96296296296299</c:v>
                </c:pt>
                <c:pt idx="33">
                  <c:v>337.77777777777777</c:v>
                </c:pt>
                <c:pt idx="34">
                  <c:v>278.14814814814815</c:v>
                </c:pt>
                <c:pt idx="35">
                  <c:v>418.51851851851853</c:v>
                </c:pt>
                <c:pt idx="36">
                  <c:v>322.22222222222223</c:v>
                </c:pt>
                <c:pt idx="38">
                  <c:v>298</c:v>
                </c:pt>
                <c:pt idx="39">
                  <c:v>347</c:v>
                </c:pt>
                <c:pt idx="40">
                  <c:v>446</c:v>
                </c:pt>
                <c:pt idx="41">
                  <c:v>427</c:v>
                </c:pt>
                <c:pt idx="43">
                  <c:v>292</c:v>
                </c:pt>
                <c:pt idx="44">
                  <c:v>271</c:v>
                </c:pt>
                <c:pt idx="45">
                  <c:v>396</c:v>
                </c:pt>
                <c:pt idx="46">
                  <c:v>334</c:v>
                </c:pt>
                <c:pt idx="47">
                  <c:v>359</c:v>
                </c:pt>
                <c:pt idx="48">
                  <c:v>265</c:v>
                </c:pt>
                <c:pt idx="49">
                  <c:v>388</c:v>
                </c:pt>
                <c:pt idx="50">
                  <c:v>304</c:v>
                </c:pt>
                <c:pt idx="51">
                  <c:v>278</c:v>
                </c:pt>
                <c:pt idx="52">
                  <c:v>244</c:v>
                </c:pt>
                <c:pt idx="53">
                  <c:v>371</c:v>
                </c:pt>
                <c:pt idx="54">
                  <c:v>385</c:v>
                </c:pt>
                <c:pt idx="55">
                  <c:v>254</c:v>
                </c:pt>
                <c:pt idx="56">
                  <c:v>275</c:v>
                </c:pt>
                <c:pt idx="57">
                  <c:v>382</c:v>
                </c:pt>
                <c:pt idx="58">
                  <c:v>450</c:v>
                </c:pt>
                <c:pt idx="59">
                  <c:v>254</c:v>
                </c:pt>
                <c:pt idx="60">
                  <c:v>285</c:v>
                </c:pt>
                <c:pt idx="61">
                  <c:v>367</c:v>
                </c:pt>
                <c:pt idx="63">
                  <c:v>346</c:v>
                </c:pt>
                <c:pt idx="64">
                  <c:v>278</c:v>
                </c:pt>
                <c:pt idx="65">
                  <c:v>388</c:v>
                </c:pt>
                <c:pt idx="66">
                  <c:v>423</c:v>
                </c:pt>
                <c:pt idx="67">
                  <c:v>328</c:v>
                </c:pt>
                <c:pt idx="68">
                  <c:v>282</c:v>
                </c:pt>
                <c:pt idx="69">
                  <c:v>374</c:v>
                </c:pt>
                <c:pt idx="70">
                  <c:v>342</c:v>
                </c:pt>
                <c:pt idx="71">
                  <c:v>359</c:v>
                </c:pt>
                <c:pt idx="72">
                  <c:v>337</c:v>
                </c:pt>
                <c:pt idx="73">
                  <c:v>404</c:v>
                </c:pt>
                <c:pt idx="74">
                  <c:v>457</c:v>
                </c:pt>
                <c:pt idx="75">
                  <c:v>286</c:v>
                </c:pt>
                <c:pt idx="76">
                  <c:v>278</c:v>
                </c:pt>
                <c:pt idx="77">
                  <c:v>383</c:v>
                </c:pt>
                <c:pt idx="78">
                  <c:v>360</c:v>
                </c:pt>
                <c:pt idx="79">
                  <c:v>345</c:v>
                </c:pt>
                <c:pt idx="80">
                  <c:v>297</c:v>
                </c:pt>
                <c:pt idx="81">
                  <c:v>380</c:v>
                </c:pt>
                <c:pt idx="82">
                  <c:v>440</c:v>
                </c:pt>
                <c:pt idx="83">
                  <c:v>364</c:v>
                </c:pt>
                <c:pt idx="84">
                  <c:v>291</c:v>
                </c:pt>
                <c:pt idx="85">
                  <c:v>413</c:v>
                </c:pt>
                <c:pt idx="86">
                  <c:v>392</c:v>
                </c:pt>
                <c:pt idx="87">
                  <c:v>341</c:v>
                </c:pt>
                <c:pt idx="88">
                  <c:v>280</c:v>
                </c:pt>
                <c:pt idx="89">
                  <c:v>404</c:v>
                </c:pt>
                <c:pt idx="90">
                  <c:v>435</c:v>
                </c:pt>
                <c:pt idx="91">
                  <c:v>314</c:v>
                </c:pt>
                <c:pt idx="92">
                  <c:v>305</c:v>
                </c:pt>
                <c:pt idx="93">
                  <c:v>398</c:v>
                </c:pt>
                <c:pt idx="94">
                  <c:v>400</c:v>
                </c:pt>
                <c:pt idx="95">
                  <c:v>345</c:v>
                </c:pt>
                <c:pt idx="96">
                  <c:v>347</c:v>
                </c:pt>
                <c:pt idx="97">
                  <c:v>405</c:v>
                </c:pt>
                <c:pt idx="98">
                  <c:v>408</c:v>
                </c:pt>
                <c:pt idx="99">
                  <c:v>313</c:v>
                </c:pt>
                <c:pt idx="100">
                  <c:v>326</c:v>
                </c:pt>
                <c:pt idx="101">
                  <c:v>363</c:v>
                </c:pt>
                <c:pt idx="102">
                  <c:v>504</c:v>
                </c:pt>
                <c:pt idx="103">
                  <c:v>330</c:v>
                </c:pt>
                <c:pt idx="104">
                  <c:v>249</c:v>
                </c:pt>
                <c:pt idx="105">
                  <c:v>413</c:v>
                </c:pt>
                <c:pt idx="106">
                  <c:v>384</c:v>
                </c:pt>
                <c:pt idx="107">
                  <c:v>328</c:v>
                </c:pt>
                <c:pt idx="108">
                  <c:v>260</c:v>
                </c:pt>
                <c:pt idx="109">
                  <c:v>380</c:v>
                </c:pt>
                <c:pt idx="110">
                  <c:v>410</c:v>
                </c:pt>
                <c:pt idx="111">
                  <c:v>315</c:v>
                </c:pt>
                <c:pt idx="112">
                  <c:v>332</c:v>
                </c:pt>
                <c:pt idx="113">
                  <c:v>504</c:v>
                </c:pt>
                <c:pt idx="114">
                  <c:v>412</c:v>
                </c:pt>
                <c:pt idx="115">
                  <c:v>360</c:v>
                </c:pt>
                <c:pt idx="116">
                  <c:v>260</c:v>
                </c:pt>
                <c:pt idx="117">
                  <c:v>421</c:v>
                </c:pt>
                <c:pt idx="118">
                  <c:v>136.5</c:v>
                </c:pt>
                <c:pt idx="119">
                  <c:v>344</c:v>
                </c:pt>
              </c:numCache>
            </c:numRef>
          </c:val>
          <c:smooth val="0"/>
        </c:ser>
        <c:ser>
          <c:idx val="0"/>
          <c:order val="1"/>
          <c:tx>
            <c:strRef>
              <c:f>あらめ!$Q$196</c:f>
              <c:strCache>
                <c:ptCount val="1"/>
                <c:pt idx="0">
                  <c:v>Be-7</c:v>
                </c:pt>
              </c:strCache>
            </c:strRef>
          </c:tx>
          <c:spPr>
            <a:ln w="12700">
              <a:solidFill>
                <a:srgbClr val="0066FF"/>
              </a:solidFill>
              <a:prstDash val="sysDash"/>
            </a:ln>
          </c:spPr>
          <c:marker>
            <c:symbol val="circle"/>
            <c:size val="5"/>
            <c:spPr>
              <a:solidFill>
                <a:srgbClr val="FFFFFF"/>
              </a:solidFill>
              <a:ln>
                <a:solidFill>
                  <a:srgbClr val="0066FF"/>
                </a:solidFill>
                <a:prstDash val="solid"/>
              </a:ln>
            </c:spPr>
          </c:marker>
          <c:cat>
            <c:numRef>
              <c:f>あらめ!$K$197:$K$316</c:f>
              <c:numCache>
                <c:formatCode>[$-411]m\.d\.ge</c:formatCode>
                <c:ptCount val="120"/>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numCache>
            </c:numRef>
          </c:cat>
          <c:val>
            <c:numRef>
              <c:f>あらめ!$Q$197:$Q$316</c:f>
              <c:numCache>
                <c:formatCode>0.00</c:formatCode>
                <c:ptCount val="120"/>
                <c:pt idx="9" formatCode="0.000">
                  <c:v>0.215</c:v>
                </c:pt>
                <c:pt idx="10" formatCode="0.000">
                  <c:v>0.215</c:v>
                </c:pt>
                <c:pt idx="11" formatCode="0.00_);[Red]\(0.00\)">
                  <c:v>0.7407407407407407</c:v>
                </c:pt>
                <c:pt idx="12" formatCode="0.000">
                  <c:v>0.215</c:v>
                </c:pt>
                <c:pt idx="13" formatCode="0.00_);[Red]\(0.00\)">
                  <c:v>0.48148148148148145</c:v>
                </c:pt>
                <c:pt idx="15" formatCode="0.000">
                  <c:v>0.215</c:v>
                </c:pt>
                <c:pt idx="17" formatCode="0.000">
                  <c:v>0.215</c:v>
                </c:pt>
                <c:pt idx="18" formatCode="0.000">
                  <c:v>0.215</c:v>
                </c:pt>
                <c:pt idx="19" formatCode="0.00_);[Red]\(0.00\)">
                  <c:v>1.7777777777777777</c:v>
                </c:pt>
                <c:pt idx="21" formatCode="0.000">
                  <c:v>0.215</c:v>
                </c:pt>
                <c:pt idx="25" formatCode="0.000">
                  <c:v>0.215</c:v>
                </c:pt>
                <c:pt idx="27" formatCode="0.000">
                  <c:v>0.215</c:v>
                </c:pt>
                <c:pt idx="30" formatCode="0.000">
                  <c:v>0.215</c:v>
                </c:pt>
                <c:pt idx="33" formatCode="0.000">
                  <c:v>0.215</c:v>
                </c:pt>
                <c:pt idx="34" formatCode="0.00_);[Red]\(0.00\)">
                  <c:v>0.55555555555555558</c:v>
                </c:pt>
                <c:pt idx="35" formatCode="0.000">
                  <c:v>0.215</c:v>
                </c:pt>
                <c:pt idx="36" formatCode="0.000">
                  <c:v>0.215</c:v>
                </c:pt>
                <c:pt idx="38" formatCode="0.000">
                  <c:v>0.215</c:v>
                </c:pt>
                <c:pt idx="39" formatCode="0.000">
                  <c:v>0.215</c:v>
                </c:pt>
                <c:pt idx="40" formatCode="0.000">
                  <c:v>0.215</c:v>
                </c:pt>
                <c:pt idx="41" formatCode="0.000">
                  <c:v>0.215</c:v>
                </c:pt>
                <c:pt idx="43">
                  <c:v>0.96</c:v>
                </c:pt>
                <c:pt idx="44" formatCode="0.000">
                  <c:v>0.215</c:v>
                </c:pt>
                <c:pt idx="45" formatCode="0.000">
                  <c:v>0.215</c:v>
                </c:pt>
                <c:pt idx="46" formatCode="0.000">
                  <c:v>0.215</c:v>
                </c:pt>
                <c:pt idx="47" formatCode="0.000">
                  <c:v>0.215</c:v>
                </c:pt>
                <c:pt idx="48" formatCode="0.000">
                  <c:v>0.215</c:v>
                </c:pt>
                <c:pt idx="49" formatCode="0.000">
                  <c:v>0.215</c:v>
                </c:pt>
                <c:pt idx="50" formatCode="0.000">
                  <c:v>0.215</c:v>
                </c:pt>
                <c:pt idx="51" formatCode="0.000">
                  <c:v>0.215</c:v>
                </c:pt>
                <c:pt idx="52" formatCode="0.000">
                  <c:v>0.215</c:v>
                </c:pt>
                <c:pt idx="53">
                  <c:v>1.6</c:v>
                </c:pt>
                <c:pt idx="54" formatCode="0.000">
                  <c:v>0.215</c:v>
                </c:pt>
                <c:pt idx="55" formatCode="0.000">
                  <c:v>0.215</c:v>
                </c:pt>
                <c:pt idx="56" formatCode="0.000">
                  <c:v>0.215</c:v>
                </c:pt>
                <c:pt idx="57">
                  <c:v>0.84</c:v>
                </c:pt>
                <c:pt idx="58" formatCode="0.000">
                  <c:v>0.215</c:v>
                </c:pt>
                <c:pt idx="59">
                  <c:v>0.68</c:v>
                </c:pt>
                <c:pt idx="60">
                  <c:v>0.88</c:v>
                </c:pt>
                <c:pt idx="61" formatCode="0.000">
                  <c:v>0.215</c:v>
                </c:pt>
                <c:pt idx="63" formatCode="0.000">
                  <c:v>0.215</c:v>
                </c:pt>
                <c:pt idx="64" formatCode="0.000">
                  <c:v>0.215</c:v>
                </c:pt>
                <c:pt idx="65" formatCode="0.000">
                  <c:v>0.215</c:v>
                </c:pt>
                <c:pt idx="66" formatCode="0.000">
                  <c:v>0.215</c:v>
                </c:pt>
                <c:pt idx="67" formatCode="0.000">
                  <c:v>0.215</c:v>
                </c:pt>
                <c:pt idx="68">
                  <c:v>0.76</c:v>
                </c:pt>
                <c:pt idx="69">
                  <c:v>0.56999999999999995</c:v>
                </c:pt>
                <c:pt idx="70" formatCode="0.000">
                  <c:v>0.215</c:v>
                </c:pt>
                <c:pt idx="71" formatCode="0.000">
                  <c:v>0.215</c:v>
                </c:pt>
                <c:pt idx="72">
                  <c:v>1.2</c:v>
                </c:pt>
                <c:pt idx="73">
                  <c:v>0.62</c:v>
                </c:pt>
                <c:pt idx="74" formatCode="0.000">
                  <c:v>0.215</c:v>
                </c:pt>
                <c:pt idx="75" formatCode="0.000">
                  <c:v>0.215</c:v>
                </c:pt>
                <c:pt idx="76" formatCode="0.000">
                  <c:v>0.215</c:v>
                </c:pt>
                <c:pt idx="77">
                  <c:v>0.87</c:v>
                </c:pt>
                <c:pt idx="78" formatCode="0.000">
                  <c:v>0.215</c:v>
                </c:pt>
                <c:pt idx="79" formatCode="0.000">
                  <c:v>0.215</c:v>
                </c:pt>
                <c:pt idx="80" formatCode="&quot;(&quot;0.00&quot;)&quot;">
                  <c:v>0.76</c:v>
                </c:pt>
                <c:pt idx="81">
                  <c:v>1.6</c:v>
                </c:pt>
                <c:pt idx="82" formatCode="0.000">
                  <c:v>0.215</c:v>
                </c:pt>
                <c:pt idx="83" formatCode="0.000">
                  <c:v>0.215</c:v>
                </c:pt>
                <c:pt idx="85" formatCode="&quot;(&quot;0.00&quot;)&quot;">
                  <c:v>0.97</c:v>
                </c:pt>
                <c:pt idx="86" formatCode="0.000">
                  <c:v>0.215</c:v>
                </c:pt>
                <c:pt idx="87" formatCode="&quot;(&quot;0.00&quot;)&quot;">
                  <c:v>0.5</c:v>
                </c:pt>
                <c:pt idx="88" formatCode="&quot;(&quot;0.00&quot;)&quot;">
                  <c:v>0.6</c:v>
                </c:pt>
                <c:pt idx="89" formatCode="0.0_);[Red]\(0.0\)">
                  <c:v>1.6</c:v>
                </c:pt>
                <c:pt idx="90" formatCode="0.000">
                  <c:v>0.215</c:v>
                </c:pt>
                <c:pt idx="91" formatCode="&quot;(&quot;0.00&quot;)&quot;">
                  <c:v>0.73</c:v>
                </c:pt>
                <c:pt idx="92" formatCode="0.0_);[Red]\(0.0\)">
                  <c:v>1.5</c:v>
                </c:pt>
                <c:pt idx="93" formatCode="0.0_);[Red]\(0.0\)">
                  <c:v>1.1000000000000001</c:v>
                </c:pt>
                <c:pt idx="94" formatCode="0.000">
                  <c:v>0.215</c:v>
                </c:pt>
                <c:pt idx="95" formatCode="0.000">
                  <c:v>0.215</c:v>
                </c:pt>
                <c:pt idx="96">
                  <c:v>0.97</c:v>
                </c:pt>
                <c:pt idx="97" formatCode="0.000">
                  <c:v>0.215</c:v>
                </c:pt>
                <c:pt idx="98" formatCode="0.000">
                  <c:v>0.215</c:v>
                </c:pt>
                <c:pt idx="99" formatCode="0.000">
                  <c:v>0.215</c:v>
                </c:pt>
                <c:pt idx="100" formatCode="&quot;(&quot;0.00&quot;)&quot;">
                  <c:v>0.82</c:v>
                </c:pt>
                <c:pt idx="101">
                  <c:v>0.79</c:v>
                </c:pt>
                <c:pt idx="102" formatCode="0.000">
                  <c:v>0.215</c:v>
                </c:pt>
                <c:pt idx="103" formatCode="0.000">
                  <c:v>0.215</c:v>
                </c:pt>
                <c:pt idx="104" formatCode="0.000">
                  <c:v>0.215</c:v>
                </c:pt>
                <c:pt idx="105" formatCode="0.0">
                  <c:v>1.2</c:v>
                </c:pt>
                <c:pt idx="106" formatCode="0.000">
                  <c:v>0.215</c:v>
                </c:pt>
                <c:pt idx="107" formatCode="0.000">
                  <c:v>0.215</c:v>
                </c:pt>
                <c:pt idx="108" formatCode="&quot;(&quot;0.00&quot;)&quot;">
                  <c:v>0.85</c:v>
                </c:pt>
                <c:pt idx="109" formatCode="&quot;(&quot;0.00&quot;)&quot;">
                  <c:v>0.67</c:v>
                </c:pt>
                <c:pt idx="110" formatCode="0.000">
                  <c:v>0.215</c:v>
                </c:pt>
                <c:pt idx="111" formatCode="&quot;(&quot;0.00&quot;)&quot;">
                  <c:v>0.42</c:v>
                </c:pt>
                <c:pt idx="112">
                  <c:v>0.72</c:v>
                </c:pt>
                <c:pt idx="113">
                  <c:v>1.3</c:v>
                </c:pt>
                <c:pt idx="114" formatCode="0.000">
                  <c:v>0.215</c:v>
                </c:pt>
                <c:pt idx="115" formatCode="&quot;(&quot;0.00&quot;)&quot;">
                  <c:v>0.61</c:v>
                </c:pt>
                <c:pt idx="116" formatCode="&quot;(&quot;0.00&quot;)&quot;">
                  <c:v>0.42</c:v>
                </c:pt>
                <c:pt idx="117">
                  <c:v>0.75</c:v>
                </c:pt>
                <c:pt idx="118" formatCode="0.000">
                  <c:v>0.215</c:v>
                </c:pt>
                <c:pt idx="119" formatCode="0.000">
                  <c:v>0.215</c:v>
                </c:pt>
              </c:numCache>
            </c:numRef>
          </c:val>
          <c:smooth val="0"/>
        </c:ser>
        <c:ser>
          <c:idx val="2"/>
          <c:order val="2"/>
          <c:tx>
            <c:strRef>
              <c:f>あらめ!$T$196</c:f>
              <c:strCache>
                <c:ptCount val="1"/>
                <c:pt idx="0">
                  <c:v>Cs-137</c:v>
                </c:pt>
              </c:strCache>
            </c:strRef>
          </c:tx>
          <c:spPr>
            <a:ln w="12700">
              <a:solidFill>
                <a:srgbClr val="FF0000"/>
              </a:solidFill>
              <a:prstDash val="sysDash"/>
            </a:ln>
          </c:spPr>
          <c:marker>
            <c:symbol val="triangle"/>
            <c:size val="5"/>
            <c:spPr>
              <a:solidFill>
                <a:srgbClr val="FF0000"/>
              </a:solidFill>
              <a:ln>
                <a:solidFill>
                  <a:srgbClr val="FF0000"/>
                </a:solidFill>
                <a:prstDash val="solid"/>
              </a:ln>
            </c:spPr>
          </c:marker>
          <c:cat>
            <c:numRef>
              <c:f>あらめ!$K$197:$K$316</c:f>
              <c:numCache>
                <c:formatCode>[$-411]m\.d\.ge</c:formatCode>
                <c:ptCount val="120"/>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numCache>
            </c:numRef>
          </c:cat>
          <c:val>
            <c:numRef>
              <c:f>あらめ!$T$197:$T$317</c:f>
              <c:numCache>
                <c:formatCode>0.000</c:formatCode>
                <c:ptCount val="121"/>
                <c:pt idx="9">
                  <c:v>0.20370370370370369</c:v>
                </c:pt>
                <c:pt idx="10">
                  <c:v>9.6296296296296297E-2</c:v>
                </c:pt>
                <c:pt idx="11">
                  <c:v>7.0370370370370361E-2</c:v>
                </c:pt>
                <c:pt idx="12">
                  <c:v>7.0370370370370361E-2</c:v>
                </c:pt>
                <c:pt idx="13">
                  <c:v>0.13703703703703704</c:v>
                </c:pt>
                <c:pt idx="15">
                  <c:v>0.11851851851851852</c:v>
                </c:pt>
                <c:pt idx="17" formatCode="&quot;(&quot;0.00&quot;)&quot;">
                  <c:v>6.2962962962962957E-2</c:v>
                </c:pt>
                <c:pt idx="18">
                  <c:v>0.11851851851851852</c:v>
                </c:pt>
                <c:pt idx="19">
                  <c:v>0.16666666666666666</c:v>
                </c:pt>
                <c:pt idx="21">
                  <c:v>9.2592592592592587E-2</c:v>
                </c:pt>
                <c:pt idx="25">
                  <c:v>0.2074074074074074</c:v>
                </c:pt>
                <c:pt idx="27">
                  <c:v>0.22222222222222221</c:v>
                </c:pt>
                <c:pt idx="30">
                  <c:v>6.6666666666666666E-2</c:v>
                </c:pt>
                <c:pt idx="33">
                  <c:v>0.15555555555555556</c:v>
                </c:pt>
                <c:pt idx="34">
                  <c:v>0.12592592592592591</c:v>
                </c:pt>
                <c:pt idx="35">
                  <c:v>0.17037037037037034</c:v>
                </c:pt>
                <c:pt idx="36">
                  <c:v>7.7777777777777779E-2</c:v>
                </c:pt>
                <c:pt idx="38">
                  <c:v>0.1</c:v>
                </c:pt>
                <c:pt idx="39">
                  <c:v>0.1</c:v>
                </c:pt>
                <c:pt idx="40">
                  <c:v>0.13</c:v>
                </c:pt>
                <c:pt idx="41">
                  <c:v>0.08</c:v>
                </c:pt>
                <c:pt idx="43">
                  <c:v>8.5999999999999993E-2</c:v>
                </c:pt>
                <c:pt idx="44">
                  <c:v>7.6999999999999999E-2</c:v>
                </c:pt>
                <c:pt idx="45">
                  <c:v>9.4E-2</c:v>
                </c:pt>
                <c:pt idx="46">
                  <c:v>6.4000000000000001E-2</c:v>
                </c:pt>
                <c:pt idx="47">
                  <c:v>9.0999999999999998E-2</c:v>
                </c:pt>
                <c:pt idx="48">
                  <c:v>0.12</c:v>
                </c:pt>
                <c:pt idx="49">
                  <c:v>9.8000000000000004E-2</c:v>
                </c:pt>
                <c:pt idx="50">
                  <c:v>8.6999999999999994E-2</c:v>
                </c:pt>
                <c:pt idx="51" formatCode="&quot;(&quot;0.00&quot;)&quot;">
                  <c:v>3.6999999999999998E-2</c:v>
                </c:pt>
                <c:pt idx="52">
                  <c:v>0.11</c:v>
                </c:pt>
                <c:pt idx="53">
                  <c:v>0.1</c:v>
                </c:pt>
                <c:pt idx="55">
                  <c:v>8.6999999999999994E-2</c:v>
                </c:pt>
                <c:pt idx="56">
                  <c:v>8.6999999999999994E-2</c:v>
                </c:pt>
                <c:pt idx="57">
                  <c:v>8.3000000000000004E-2</c:v>
                </c:pt>
                <c:pt idx="58" formatCode="&quot;(&quot;0.00&quot;)&quot;">
                  <c:v>0.05</c:v>
                </c:pt>
                <c:pt idx="59">
                  <c:v>0.1</c:v>
                </c:pt>
                <c:pt idx="60">
                  <c:v>6.6000000000000003E-2</c:v>
                </c:pt>
                <c:pt idx="61">
                  <c:v>0.13</c:v>
                </c:pt>
                <c:pt idx="63">
                  <c:v>8.6999999999999994E-2</c:v>
                </c:pt>
                <c:pt idx="64">
                  <c:v>7.5999999999999998E-2</c:v>
                </c:pt>
                <c:pt idx="65">
                  <c:v>7.8E-2</c:v>
                </c:pt>
                <c:pt idx="66">
                  <c:v>5.5E-2</c:v>
                </c:pt>
                <c:pt idx="67">
                  <c:v>4.7E-2</c:v>
                </c:pt>
                <c:pt idx="68">
                  <c:v>7.6999999999999999E-2</c:v>
                </c:pt>
                <c:pt idx="69">
                  <c:v>7.5999999999999998E-2</c:v>
                </c:pt>
                <c:pt idx="70">
                  <c:v>2.1151549482502016E-2</c:v>
                </c:pt>
                <c:pt idx="71">
                  <c:v>4.2000000000000003E-2</c:v>
                </c:pt>
                <c:pt idx="72">
                  <c:v>6.5000000000000002E-2</c:v>
                </c:pt>
                <c:pt idx="73">
                  <c:v>5.3999999999999999E-2</c:v>
                </c:pt>
                <c:pt idx="74">
                  <c:v>2.0647719162837912E-2</c:v>
                </c:pt>
                <c:pt idx="75">
                  <c:v>7.5999999999999998E-2</c:v>
                </c:pt>
                <c:pt idx="76">
                  <c:v>6.2E-2</c:v>
                </c:pt>
                <c:pt idx="77">
                  <c:v>5.6000000000000001E-2</c:v>
                </c:pt>
                <c:pt idx="78">
                  <c:v>2.0154618078148247E-2</c:v>
                </c:pt>
                <c:pt idx="79">
                  <c:v>5.6000000000000001E-2</c:v>
                </c:pt>
                <c:pt idx="80">
                  <c:v>7.3999999999999996E-2</c:v>
                </c:pt>
                <c:pt idx="81">
                  <c:v>6.6000000000000003E-2</c:v>
                </c:pt>
                <c:pt idx="82">
                  <c:v>1.9716796942193169E-2</c:v>
                </c:pt>
                <c:pt idx="83">
                  <c:v>6.3E-2</c:v>
                </c:pt>
                <c:pt idx="84">
                  <c:v>8.7999999999999995E-2</c:v>
                </c:pt>
                <c:pt idx="85">
                  <c:v>0.1</c:v>
                </c:pt>
                <c:pt idx="86">
                  <c:v>1.9264155790927245E-2</c:v>
                </c:pt>
                <c:pt idx="87">
                  <c:v>8.2000000000000003E-2</c:v>
                </c:pt>
                <c:pt idx="88">
                  <c:v>6.3E-2</c:v>
                </c:pt>
                <c:pt idx="89">
                  <c:v>7.1999999999999995E-2</c:v>
                </c:pt>
                <c:pt idx="90">
                  <c:v>7.0999999999999994E-2</c:v>
                </c:pt>
                <c:pt idx="91">
                  <c:v>1.8728298238527855E-2</c:v>
                </c:pt>
                <c:pt idx="92">
                  <c:v>7.6999999999999999E-2</c:v>
                </c:pt>
                <c:pt idx="93">
                  <c:v>6.7000000000000004E-2</c:v>
                </c:pt>
                <c:pt idx="94">
                  <c:v>1.8395612851811089E-2</c:v>
                </c:pt>
                <c:pt idx="95">
                  <c:v>5.8000000000000003E-2</c:v>
                </c:pt>
                <c:pt idx="96">
                  <c:v>5.8000000000000003E-2</c:v>
                </c:pt>
                <c:pt idx="97">
                  <c:v>0.12</c:v>
                </c:pt>
                <c:pt idx="98" formatCode="&quot;(&quot;0.00&quot;)&quot;">
                  <c:v>5.8999999999999997E-2</c:v>
                </c:pt>
                <c:pt idx="99">
                  <c:v>1.7870376072815105E-2</c:v>
                </c:pt>
                <c:pt idx="100">
                  <c:v>7.1999999999999995E-2</c:v>
                </c:pt>
                <c:pt idx="101">
                  <c:v>8.3000000000000004E-2</c:v>
                </c:pt>
                <c:pt idx="102" formatCode="&quot;(&quot;0.00&quot;)&quot;">
                  <c:v>7.2999999999999995E-2</c:v>
                </c:pt>
                <c:pt idx="103">
                  <c:v>1.7487693230122229E-2</c:v>
                </c:pt>
                <c:pt idx="104">
                  <c:v>7.0000000000000007E-2</c:v>
                </c:pt>
                <c:pt idx="105" formatCode="&quot;(&quot;0.00&quot;)&quot;">
                  <c:v>7.0000000000000007E-2</c:v>
                </c:pt>
                <c:pt idx="106">
                  <c:v>1.7177045678969997E-2</c:v>
                </c:pt>
                <c:pt idx="107" formatCode="&quot;(&quot;0.00&quot;)&quot;">
                  <c:v>4.5999999999999999E-2</c:v>
                </c:pt>
                <c:pt idx="108">
                  <c:v>6.9000000000000006E-2</c:v>
                </c:pt>
                <c:pt idx="109">
                  <c:v>7.8E-2</c:v>
                </c:pt>
                <c:pt idx="110" formatCode="&quot;(&quot;0.00&quot;)&quot;">
                  <c:v>5.8000000000000003E-2</c:v>
                </c:pt>
                <c:pt idx="111">
                  <c:v>1.6690814724045228E-2</c:v>
                </c:pt>
                <c:pt idx="112" formatCode="&quot;(&quot;0.00&quot;)&quot;">
                  <c:v>0.06</c:v>
                </c:pt>
                <c:pt idx="114" formatCode="&quot;(&quot;0.00&quot;)&quot;">
                  <c:v>6.2E-2</c:v>
                </c:pt>
                <c:pt idx="115" formatCode="&quot;(&quot;0.00&quot;)&quot;">
                  <c:v>5.6000000000000001E-2</c:v>
                </c:pt>
                <c:pt idx="116">
                  <c:v>6.9000000000000006E-2</c:v>
                </c:pt>
                <c:pt idx="117">
                  <c:v>7.4999999999999997E-2</c:v>
                </c:pt>
                <c:pt idx="118" formatCode="&quot;(&quot;0.00&quot;)&quot;">
                  <c:v>6.8000000000000005E-2</c:v>
                </c:pt>
                <c:pt idx="120">
                  <c:v>0.22222222222222221</c:v>
                </c:pt>
              </c:numCache>
            </c:numRef>
          </c:val>
          <c:smooth val="0"/>
        </c:ser>
        <c:ser>
          <c:idx val="3"/>
          <c:order val="3"/>
          <c:tx>
            <c:strRef>
              <c:f>あらめ!$S$196</c:f>
              <c:strCache>
                <c:ptCount val="1"/>
                <c:pt idx="0">
                  <c:v>Cs-134</c:v>
                </c:pt>
              </c:strCache>
            </c:strRef>
          </c:tx>
          <c:spPr>
            <a:ln w="15875">
              <a:solidFill>
                <a:srgbClr val="FF0000"/>
              </a:solidFill>
              <a:prstDash val="sysDot"/>
            </a:ln>
          </c:spPr>
          <c:marker>
            <c:symbol val="triangle"/>
            <c:size val="5"/>
            <c:spPr>
              <a:noFill/>
              <a:ln w="0">
                <a:solidFill>
                  <a:srgbClr val="FF0000"/>
                </a:solidFill>
              </a:ln>
            </c:spPr>
          </c:marker>
          <c:cat>
            <c:numRef>
              <c:f>あらめ!$K$197:$K$316</c:f>
              <c:numCache>
                <c:formatCode>[$-411]m\.d\.ge</c:formatCode>
                <c:ptCount val="120"/>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numCache>
            </c:numRef>
          </c:cat>
          <c:val>
            <c:numRef>
              <c:f>あらめ!$S$197:$S$316</c:f>
              <c:numCache>
                <c:formatCode>0.000</c:formatCode>
                <c:ptCount val="120"/>
                <c:pt idx="9">
                  <c:v>1.1816617856020955E-2</c:v>
                </c:pt>
                <c:pt idx="10">
                  <c:v>1.0937511660388347E-2</c:v>
                </c:pt>
                <c:pt idx="11">
                  <c:v>1.0170501283758715E-2</c:v>
                </c:pt>
                <c:pt idx="12">
                  <c:v>9.370638960177138E-3</c:v>
                </c:pt>
                <c:pt idx="13">
                  <c:v>8.6019568227944463E-3</c:v>
                </c:pt>
                <c:pt idx="15">
                  <c:v>7.9254531795948657E-3</c:v>
                </c:pt>
                <c:pt idx="17">
                  <c:v>7.2485871400383463E-3</c:v>
                </c:pt>
                <c:pt idx="18">
                  <c:v>6.6601056046343161E-3</c:v>
                </c:pt>
                <c:pt idx="19">
                  <c:v>6.1306745720039338E-3</c:v>
                </c:pt>
                <c:pt idx="21">
                  <c:v>5.5659581456846E-3</c:v>
                </c:pt>
                <c:pt idx="25">
                  <c:v>2.24844537593662E-2</c:v>
                </c:pt>
                <c:pt idx="27">
                  <c:v>2.071615670825146E-2</c:v>
                </c:pt>
                <c:pt idx="30">
                  <c:v>1.8329444630721191E-2</c:v>
                </c:pt>
                <c:pt idx="33">
                  <c:v>1.6564658517015916E-2</c:v>
                </c:pt>
                <c:pt idx="34">
                  <c:v>1.5094299166277617E-2</c:v>
                </c:pt>
                <c:pt idx="35">
                  <c:v>1.3907203184759553E-2</c:v>
                </c:pt>
                <c:pt idx="36">
                  <c:v>1.2591352356091082E-2</c:v>
                </c:pt>
                <c:pt idx="38">
                  <c:v>1.1729934959422431E-2</c:v>
                </c:pt>
                <c:pt idx="39">
                  <c:v>1.0887296168575141E-2</c:v>
                </c:pt>
                <c:pt idx="40">
                  <c:v>9.7399457125523538E-3</c:v>
                </c:pt>
                <c:pt idx="41">
                  <c:v>9.1997333188666916E-3</c:v>
                </c:pt>
                <c:pt idx="43">
                  <c:v>8.4140385560044634E-3</c:v>
                </c:pt>
                <c:pt idx="44">
                  <c:v>7.8311947808117604E-3</c:v>
                </c:pt>
                <c:pt idx="45">
                  <c:v>7.064180869321964E-3</c:v>
                </c:pt>
                <c:pt idx="46">
                  <c:v>6.4193814261649879E-3</c:v>
                </c:pt>
                <c:pt idx="47">
                  <c:v>5.9802096295251206E-3</c:v>
                </c:pt>
                <c:pt idx="48">
                  <c:v>5.5967785891517787E-3</c:v>
                </c:pt>
                <c:pt idx="49">
                  <c:v>4.9885672583504966E-3</c:v>
                </c:pt>
                <c:pt idx="50">
                  <c:v>4.5877873718056907E-3</c:v>
                </c:pt>
                <c:pt idx="51">
                  <c:v>4.2817953381943654E-3</c:v>
                </c:pt>
                <c:pt idx="52">
                  <c:v>3.9632479453530611E-3</c:v>
                </c:pt>
                <c:pt idx="53">
                  <c:v>3.6214359150622457E-3</c:v>
                </c:pt>
                <c:pt idx="55">
                  <c:v>3.0827165368934187E-3</c:v>
                </c:pt>
                <c:pt idx="56">
                  <c:v>2.8350520833696487E-3</c:v>
                </c:pt>
                <c:pt idx="57">
                  <c:v>2.5691728138677646E-3</c:v>
                </c:pt>
                <c:pt idx="58">
                  <c:v>2.4110939388386874E-3</c:v>
                </c:pt>
                <c:pt idx="59">
                  <c:v>2.1849746731929893E-3</c:v>
                </c:pt>
                <c:pt idx="60">
                  <c:v>2.0075860006615962E-3</c:v>
                </c:pt>
                <c:pt idx="61">
                  <c:v>1.8361299647044979E-3</c:v>
                </c:pt>
                <c:pt idx="63">
                  <c:v>1.5558141397262486E-3</c:v>
                </c:pt>
                <c:pt idx="64">
                  <c:v>1.4480422795593929E-3</c:v>
                </c:pt>
                <c:pt idx="65">
                  <c:v>1.3207219840302912E-3</c:v>
                </c:pt>
                <c:pt idx="66">
                  <c:v>1.2023811931761563E-3</c:v>
                </c:pt>
                <c:pt idx="67">
                  <c:v>1.1108824766283064E-3</c:v>
                </c:pt>
                <c:pt idx="68">
                  <c:v>1.0367898562475819E-3</c:v>
                </c:pt>
                <c:pt idx="69">
                  <c:v>9.4562926462508879E-4</c:v>
                </c:pt>
                <c:pt idx="70">
                  <c:v>8.7769846169310616E-4</c:v>
                </c:pt>
                <c:pt idx="71">
                  <c:v>7.9685079430317119E-4</c:v>
                </c:pt>
                <c:pt idx="72">
                  <c:v>7.4028873619446289E-4</c:v>
                </c:pt>
                <c:pt idx="73">
                  <c:v>6.6962864090342735E-4</c:v>
                </c:pt>
                <c:pt idx="74">
                  <c:v>6.1753356151139085E-4</c:v>
                </c:pt>
                <c:pt idx="75">
                  <c:v>5.7317204242542292E-4</c:v>
                </c:pt>
                <c:pt idx="76">
                  <c:v>5.2712358517562096E-4</c:v>
                </c:pt>
                <c:pt idx="77">
                  <c:v>4.8077581509162767E-4</c:v>
                </c:pt>
                <c:pt idx="78">
                  <c:v>4.3408631589993699E-4</c:v>
                </c:pt>
                <c:pt idx="79">
                  <c:v>4.100103287539012E-4</c:v>
                </c:pt>
                <c:pt idx="80">
                  <c:v>3.7464881091702249E-4</c:v>
                </c:pt>
                <c:pt idx="81">
                  <c:v>3.4550226855509112E-4</c:v>
                </c:pt>
                <c:pt idx="82">
                  <c:v>3.1512370049850469E-4</c:v>
                </c:pt>
                <c:pt idx="83">
                  <c:v>2.8980676391276213E-4</c:v>
                </c:pt>
                <c:pt idx="84">
                  <c:v>2.6948360430932355E-4</c:v>
                </c:pt>
                <c:pt idx="85">
                  <c:v>2.4578903915384266E-4</c:v>
                </c:pt>
                <c:pt idx="86">
                  <c:v>2.2459085734568451E-4</c:v>
                </c:pt>
                <c:pt idx="87">
                  <c:v>2.0597780586776944E-4</c:v>
                </c:pt>
                <c:pt idx="88">
                  <c:v>1.9259386453027708E-4</c:v>
                </c:pt>
                <c:pt idx="89">
                  <c:v>1.7630775100099569E-4</c:v>
                </c:pt>
                <c:pt idx="90">
                  <c:v>1.6169618005763351E-4</c:v>
                </c:pt>
                <c:pt idx="91">
                  <c:v>1.4884248363565292E-4</c:v>
                </c:pt>
                <c:pt idx="92">
                  <c:v>1.3291194410833116E-4</c:v>
                </c:pt>
                <c:pt idx="93">
                  <c:v>1.2658434469008928E-4</c:v>
                </c:pt>
                <c:pt idx="94">
                  <c:v>1.1460737760015393E-4</c:v>
                </c:pt>
                <c:pt idx="95">
                  <c:v>1.0539985780278116E-4</c:v>
                </c:pt>
                <c:pt idx="96">
                  <c:v>9.6753810471325604E-5</c:v>
                </c:pt>
                <c:pt idx="97">
                  <c:v>9.0633655099052598E-5</c:v>
                </c:pt>
                <c:pt idx="98">
                  <c:v>8.026557326111206E-5</c:v>
                </c:pt>
                <c:pt idx="99">
                  <c:v>7.5119213155318344E-5</c:v>
                </c:pt>
                <c:pt idx="100">
                  <c:v>7.049719604359855E-5</c:v>
                </c:pt>
                <c:pt idx="101">
                  <c:v>6.4833474023055326E-5</c:v>
                </c:pt>
                <c:pt idx="102">
                  <c:v>5.9624773605160763E-5</c:v>
                </c:pt>
                <c:pt idx="103">
                  <c:v>5.4784095326566284E-5</c:v>
                </c:pt>
                <c:pt idx="104">
                  <c:v>5.0522058697416253E-5</c:v>
                </c:pt>
                <c:pt idx="105">
                  <c:v>4.5910540969053677E-5</c:v>
                </c:pt>
                <c:pt idx="106">
                  <c:v>4.2183262105085261E-5</c:v>
                </c:pt>
                <c:pt idx="107">
                  <c:v>3.8474264465019591E-5</c:v>
                </c:pt>
                <c:pt idx="108">
                  <c:v>3.5253235498544239E-5</c:v>
                </c:pt>
                <c:pt idx="109">
                  <c:v>3.2540575187318832E-5</c:v>
                </c:pt>
                <c:pt idx="110">
                  <c:v>3.0009017030608542E-5</c:v>
                </c:pt>
                <c:pt idx="111">
                  <c:v>2.7750921555508987E-5</c:v>
                </c:pt>
                <c:pt idx="112">
                  <c:v>2.5804844106174924E-5</c:v>
                </c:pt>
                <c:pt idx="113">
                  <c:v>2.3127949769925797E-5</c:v>
                </c:pt>
                <c:pt idx="114">
                  <c:v>2.168494128521692E-5</c:v>
                </c:pt>
                <c:pt idx="115">
                  <c:v>1.9851220275940802E-5</c:v>
                </c:pt>
                <c:pt idx="116">
                  <c:v>1.8089129779097061E-5</c:v>
                </c:pt>
                <c:pt idx="117">
                  <c:v>1.6574724973521683E-5</c:v>
                </c:pt>
                <c:pt idx="118">
                  <c:v>1.5313422758535495E-5</c:v>
                </c:pt>
                <c:pt idx="119">
                  <c:v>1.4278914636896272E-5</c:v>
                </c:pt>
              </c:numCache>
            </c:numRef>
          </c:val>
          <c:smooth val="0"/>
        </c:ser>
        <c:dLbls>
          <c:showLegendKey val="0"/>
          <c:showVal val="0"/>
          <c:showCatName val="0"/>
          <c:showSerName val="0"/>
          <c:showPercent val="0"/>
          <c:showBubbleSize val="0"/>
        </c:dLbls>
        <c:marker val="1"/>
        <c:smooth val="0"/>
        <c:axId val="231100800"/>
        <c:axId val="231102720"/>
      </c:lineChart>
      <c:dateAx>
        <c:axId val="231100800"/>
        <c:scaling>
          <c:orientation val="minMax"/>
          <c:min val="29677"/>
        </c:scaling>
        <c:delete val="0"/>
        <c:axPos val="b"/>
        <c:majorGridlines>
          <c:spPr>
            <a:ln w="0" cmpd="sng">
              <a:solidFill>
                <a:schemeClr val="bg1">
                  <a:lumMod val="85000"/>
                </a:schemeClr>
              </a:solidFill>
              <a:prstDash val="sysDot"/>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1102720"/>
        <c:crossesAt val="1.0000000000000003E-4"/>
        <c:auto val="0"/>
        <c:lblOffset val="100"/>
        <c:baseTimeUnit val="days"/>
        <c:majorUnit val="24"/>
        <c:majorTimeUnit val="months"/>
      </c:dateAx>
      <c:valAx>
        <c:axId val="231102720"/>
        <c:scaling>
          <c:logBase val="10"/>
          <c:orientation val="minMax"/>
          <c:min val="1.0000000000000003E-4"/>
        </c:scaling>
        <c:delete val="0"/>
        <c:axPos val="l"/>
        <c:majorGridlines>
          <c:spPr>
            <a:ln w="0" cmpd="sng">
              <a:solidFill>
                <a:schemeClr val="bg1">
                  <a:lumMod val="85000"/>
                </a:schemeClr>
              </a:solidFill>
              <a:prstDash val="solid"/>
            </a:ln>
          </c:spPr>
        </c:majorGridlines>
        <c:minorGridlines>
          <c:spPr>
            <a:ln w="0">
              <a:solidFill>
                <a:schemeClr val="bg1">
                  <a:lumMod val="75000"/>
                </a:schemeClr>
              </a:solidFill>
              <a:prstDash val="sysDot"/>
            </a:ln>
          </c:spPr>
        </c:minorGridlines>
        <c:title>
          <c:tx>
            <c:rich>
              <a:bodyPr/>
              <a:lstStyle/>
              <a:p>
                <a:pPr>
                  <a:defRPr sz="1000" b="0" i="0" u="none" strike="noStrike" baseline="0">
                    <a:solidFill>
                      <a:srgbClr val="000000"/>
                    </a:solidFill>
                    <a:latin typeface="Meiryo UI"/>
                    <a:ea typeface="Meiryo UI"/>
                    <a:cs typeface="Meiryo UI"/>
                  </a:defRPr>
                </a:pPr>
                <a:r>
                  <a:rPr lang="ja-JP" altLang="en-US" sz="1000" b="0" i="0" u="none" strike="noStrike" baseline="0">
                    <a:solidFill>
                      <a:srgbClr val="000000"/>
                    </a:solidFill>
                    <a:latin typeface="Meiryo UI"/>
                    <a:ea typeface="Meiryo UI"/>
                  </a:rPr>
                  <a:t>Bq/kg生</a:t>
                </a:r>
              </a:p>
            </c:rich>
          </c:tx>
          <c:layout>
            <c:manualLayout>
              <c:xMode val="edge"/>
              <c:yMode val="edge"/>
              <c:x val="6.3290209809368815E-3"/>
              <c:y val="0.4013002961785741"/>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1100800"/>
        <c:crosses val="autoZero"/>
        <c:crossBetween val="between"/>
        <c:minorUnit val="10"/>
      </c:valAx>
      <c:spPr>
        <a:noFill/>
        <a:ln w="12700">
          <a:solidFill>
            <a:srgbClr val="808080"/>
          </a:solidFill>
          <a:prstDash val="solid"/>
        </a:ln>
      </c:spPr>
    </c:plotArea>
    <c:legend>
      <c:legendPos val="r"/>
      <c:layout>
        <c:manualLayout>
          <c:xMode val="edge"/>
          <c:yMode val="edge"/>
          <c:x val="0.56839167053005712"/>
          <c:y val="0.1600263888888889"/>
          <c:w val="0.42490016433544031"/>
          <c:h val="0.13549826388888889"/>
        </c:manualLayout>
      </c:layout>
      <c:overlay val="0"/>
      <c:spPr>
        <a:solidFill>
          <a:schemeClr val="bg1"/>
        </a:solid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あらめ </a:t>
            </a:r>
            <a:r>
              <a:rPr lang="en-US" altLang="ja-JP" sz="1200" b="0" i="0" u="none" strike="noStrike" baseline="0">
                <a:solidFill>
                  <a:srgbClr val="000000"/>
                </a:solidFill>
                <a:latin typeface="Meiryo UI"/>
                <a:ea typeface="Meiryo UI"/>
              </a:rPr>
              <a:t>(</a:t>
            </a:r>
            <a:r>
              <a:rPr lang="ja-JP" altLang="en-US" sz="1200" b="0" i="0" u="none" strike="noStrike" baseline="0">
                <a:solidFill>
                  <a:srgbClr val="000000"/>
                </a:solidFill>
                <a:latin typeface="Meiryo UI"/>
                <a:ea typeface="Meiryo UI"/>
              </a:rPr>
              <a:t>牡鹿半島北側</a:t>
            </a:r>
            <a:r>
              <a:rPr lang="en-US" altLang="ja-JP" sz="1200" b="0" i="0" u="none" strike="noStrike" baseline="0">
                <a:solidFill>
                  <a:srgbClr val="000000"/>
                </a:solidFill>
                <a:latin typeface="Meiryo UI"/>
                <a:ea typeface="Meiryo UI"/>
              </a:rPr>
              <a:t>/</a:t>
            </a:r>
            <a:r>
              <a:rPr lang="ja-JP" altLang="en-US" sz="1200" b="0" i="0" u="none" strike="noStrike" baseline="0">
                <a:solidFill>
                  <a:srgbClr val="000000"/>
                </a:solidFill>
                <a:latin typeface="Meiryo UI"/>
                <a:ea typeface="Meiryo UI"/>
              </a:rPr>
              <a:t>県</a:t>
            </a:r>
            <a:r>
              <a:rPr lang="en-US" altLang="ja-JP" sz="1200" b="0" i="0" u="none" strike="noStrike" baseline="0">
                <a:solidFill>
                  <a:srgbClr val="000000"/>
                </a:solidFill>
                <a:latin typeface="Meiryo UI"/>
                <a:ea typeface="Meiryo UI"/>
              </a:rPr>
              <a:t>)</a:t>
            </a:r>
            <a:endParaRPr lang="ja-JP" altLang="en-US" sz="1200" b="0" i="0" u="none" strike="noStrike" baseline="0">
              <a:solidFill>
                <a:srgbClr val="000000"/>
              </a:solidFill>
              <a:latin typeface="Meiryo UI"/>
              <a:ea typeface="Meiryo UI"/>
            </a:endParaRPr>
          </a:p>
        </c:rich>
      </c:tx>
      <c:layout>
        <c:manualLayout>
          <c:xMode val="edge"/>
          <c:yMode val="edge"/>
          <c:x val="0.14958423630966472"/>
          <c:y val="0.12593213420773355"/>
        </c:manualLayout>
      </c:layout>
      <c:overlay val="0"/>
      <c:spPr>
        <a:solidFill>
          <a:srgbClr val="FFFFFF"/>
        </a:solidFill>
        <a:ln w="25400">
          <a:noFill/>
        </a:ln>
      </c:spPr>
    </c:title>
    <c:autoTitleDeleted val="0"/>
    <c:plotArea>
      <c:layout>
        <c:manualLayout>
          <c:layoutTarget val="inner"/>
          <c:xMode val="edge"/>
          <c:yMode val="edge"/>
          <c:x val="8.6115470206364633E-2"/>
          <c:y val="3.1440625E-2"/>
          <c:w val="0.89126759460163807"/>
          <c:h val="0.84921944444444442"/>
        </c:manualLayout>
      </c:layout>
      <c:lineChart>
        <c:grouping val="standard"/>
        <c:varyColors val="0"/>
        <c:ser>
          <c:idx val="1"/>
          <c:order val="0"/>
          <c:tx>
            <c:strRef>
              <c:f>あらめ!$M$331</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あらめ!$K$332:$K$383</c:f>
              <c:numCache>
                <c:formatCode>[$-411]m\.d\.ge</c:formatCode>
                <c:ptCount val="52"/>
                <c:pt idx="0">
                  <c:v>39687</c:v>
                </c:pt>
                <c:pt idx="1">
                  <c:v>39762</c:v>
                </c:pt>
                <c:pt idx="2">
                  <c:v>39856</c:v>
                </c:pt>
                <c:pt idx="3">
                  <c:v>39952</c:v>
                </c:pt>
                <c:pt idx="4">
                  <c:v>40028</c:v>
                </c:pt>
                <c:pt idx="5">
                  <c:v>40128</c:v>
                </c:pt>
                <c:pt idx="6">
                  <c:v>40218</c:v>
                </c:pt>
                <c:pt idx="7">
                  <c:v>40316</c:v>
                </c:pt>
                <c:pt idx="8">
                  <c:v>40399</c:v>
                </c:pt>
                <c:pt idx="9">
                  <c:v>40490</c:v>
                </c:pt>
                <c:pt idx="10">
                  <c:v>40581</c:v>
                </c:pt>
                <c:pt idx="11">
                  <c:v>40612</c:v>
                </c:pt>
                <c:pt idx="12">
                  <c:v>40613</c:v>
                </c:pt>
                <c:pt idx="13">
                  <c:v>40737</c:v>
                </c:pt>
                <c:pt idx="14">
                  <c:v>40784</c:v>
                </c:pt>
                <c:pt idx="15">
                  <c:v>40861</c:v>
                </c:pt>
                <c:pt idx="16">
                  <c:v>40945</c:v>
                </c:pt>
                <c:pt idx="17">
                  <c:v>41058</c:v>
                </c:pt>
                <c:pt idx="18">
                  <c:v>41127</c:v>
                </c:pt>
                <c:pt idx="19">
                  <c:v>41222</c:v>
                </c:pt>
                <c:pt idx="20">
                  <c:v>41311</c:v>
                </c:pt>
                <c:pt idx="21">
                  <c:v>41415</c:v>
                </c:pt>
                <c:pt idx="22">
                  <c:v>41514</c:v>
                </c:pt>
                <c:pt idx="23">
                  <c:v>41595</c:v>
                </c:pt>
                <c:pt idx="24">
                  <c:v>41694</c:v>
                </c:pt>
                <c:pt idx="25">
                  <c:v>41788</c:v>
                </c:pt>
                <c:pt idx="26">
                  <c:v>41856</c:v>
                </c:pt>
                <c:pt idx="27">
                  <c:v>41948</c:v>
                </c:pt>
                <c:pt idx="28">
                  <c:v>42038</c:v>
                </c:pt>
                <c:pt idx="29">
                  <c:v>42150</c:v>
                </c:pt>
                <c:pt idx="30">
                  <c:v>42234</c:v>
                </c:pt>
                <c:pt idx="31">
                  <c:v>42338</c:v>
                </c:pt>
                <c:pt idx="32">
                  <c:v>42422</c:v>
                </c:pt>
                <c:pt idx="33">
                  <c:v>42514</c:v>
                </c:pt>
                <c:pt idx="34">
                  <c:v>42618</c:v>
                </c:pt>
                <c:pt idx="35">
                  <c:v>42681</c:v>
                </c:pt>
                <c:pt idx="36">
                  <c:v>42774</c:v>
                </c:pt>
                <c:pt idx="37">
                  <c:v>42866</c:v>
                </c:pt>
                <c:pt idx="38">
                  <c:v>43053</c:v>
                </c:pt>
              </c:numCache>
            </c:numRef>
          </c:cat>
          <c:val>
            <c:numRef>
              <c:f>あらめ!$M$332:$M$383</c:f>
              <c:numCache>
                <c:formatCode>0</c:formatCode>
                <c:ptCount val="52"/>
                <c:pt idx="0">
                  <c:v>278</c:v>
                </c:pt>
                <c:pt idx="1">
                  <c:v>393</c:v>
                </c:pt>
                <c:pt idx="2">
                  <c:v>383</c:v>
                </c:pt>
                <c:pt idx="3">
                  <c:v>311</c:v>
                </c:pt>
                <c:pt idx="4">
                  <c:v>316</c:v>
                </c:pt>
                <c:pt idx="5">
                  <c:v>383</c:v>
                </c:pt>
                <c:pt idx="6">
                  <c:v>388</c:v>
                </c:pt>
                <c:pt idx="7">
                  <c:v>331</c:v>
                </c:pt>
                <c:pt idx="8">
                  <c:v>288</c:v>
                </c:pt>
                <c:pt idx="9">
                  <c:v>395</c:v>
                </c:pt>
                <c:pt idx="17">
                  <c:v>324</c:v>
                </c:pt>
                <c:pt idx="18">
                  <c:v>238</c:v>
                </c:pt>
                <c:pt idx="19">
                  <c:v>363</c:v>
                </c:pt>
                <c:pt idx="20">
                  <c:v>393</c:v>
                </c:pt>
                <c:pt idx="21">
                  <c:v>313</c:v>
                </c:pt>
                <c:pt idx="22">
                  <c:v>298</c:v>
                </c:pt>
                <c:pt idx="23">
                  <c:v>368</c:v>
                </c:pt>
                <c:pt idx="24">
                  <c:v>365</c:v>
                </c:pt>
                <c:pt idx="25">
                  <c:v>280</c:v>
                </c:pt>
                <c:pt idx="26">
                  <c:v>354</c:v>
                </c:pt>
                <c:pt idx="27">
                  <c:v>345</c:v>
                </c:pt>
                <c:pt idx="28">
                  <c:v>411</c:v>
                </c:pt>
                <c:pt idx="29">
                  <c:v>266</c:v>
                </c:pt>
                <c:pt idx="30">
                  <c:v>232</c:v>
                </c:pt>
                <c:pt idx="31">
                  <c:v>380</c:v>
                </c:pt>
                <c:pt idx="32">
                  <c:v>327</c:v>
                </c:pt>
                <c:pt idx="33">
                  <c:v>259</c:v>
                </c:pt>
                <c:pt idx="34">
                  <c:v>305</c:v>
                </c:pt>
                <c:pt idx="35">
                  <c:v>327</c:v>
                </c:pt>
                <c:pt idx="36">
                  <c:v>341</c:v>
                </c:pt>
                <c:pt idx="37">
                  <c:v>236</c:v>
                </c:pt>
                <c:pt idx="38">
                  <c:v>367</c:v>
                </c:pt>
              </c:numCache>
            </c:numRef>
          </c:val>
          <c:smooth val="0"/>
        </c:ser>
        <c:ser>
          <c:idx val="0"/>
          <c:order val="1"/>
          <c:tx>
            <c:strRef>
              <c:f>あらめ!$L$331</c:f>
              <c:strCache>
                <c:ptCount val="1"/>
                <c:pt idx="0">
                  <c:v>Be-7</c:v>
                </c:pt>
              </c:strCache>
            </c:strRef>
          </c:tx>
          <c:spPr>
            <a:ln w="12700">
              <a:solidFill>
                <a:srgbClr val="0066FF"/>
              </a:solidFill>
              <a:prstDash val="sysDash"/>
            </a:ln>
          </c:spPr>
          <c:marker>
            <c:symbol val="circle"/>
            <c:size val="5"/>
            <c:spPr>
              <a:solidFill>
                <a:srgbClr val="FFFFFF"/>
              </a:solidFill>
              <a:ln>
                <a:solidFill>
                  <a:srgbClr val="0066FF"/>
                </a:solidFill>
                <a:prstDash val="solid"/>
              </a:ln>
            </c:spPr>
          </c:marker>
          <c:cat>
            <c:numRef>
              <c:f>あらめ!$K$332:$K$383</c:f>
              <c:numCache>
                <c:formatCode>[$-411]m\.d\.ge</c:formatCode>
                <c:ptCount val="52"/>
                <c:pt idx="0">
                  <c:v>39687</c:v>
                </c:pt>
                <c:pt idx="1">
                  <c:v>39762</c:v>
                </c:pt>
                <c:pt idx="2">
                  <c:v>39856</c:v>
                </c:pt>
                <c:pt idx="3">
                  <c:v>39952</c:v>
                </c:pt>
                <c:pt idx="4">
                  <c:v>40028</c:v>
                </c:pt>
                <c:pt idx="5">
                  <c:v>40128</c:v>
                </c:pt>
                <c:pt idx="6">
                  <c:v>40218</c:v>
                </c:pt>
                <c:pt idx="7">
                  <c:v>40316</c:v>
                </c:pt>
                <c:pt idx="8">
                  <c:v>40399</c:v>
                </c:pt>
                <c:pt idx="9">
                  <c:v>40490</c:v>
                </c:pt>
                <c:pt idx="10">
                  <c:v>40581</c:v>
                </c:pt>
                <c:pt idx="11">
                  <c:v>40612</c:v>
                </c:pt>
                <c:pt idx="12">
                  <c:v>40613</c:v>
                </c:pt>
                <c:pt idx="13">
                  <c:v>40737</c:v>
                </c:pt>
                <c:pt idx="14">
                  <c:v>40784</c:v>
                </c:pt>
                <c:pt idx="15">
                  <c:v>40861</c:v>
                </c:pt>
                <c:pt idx="16">
                  <c:v>40945</c:v>
                </c:pt>
                <c:pt idx="17">
                  <c:v>41058</c:v>
                </c:pt>
                <c:pt idx="18">
                  <c:v>41127</c:v>
                </c:pt>
                <c:pt idx="19">
                  <c:v>41222</c:v>
                </c:pt>
                <c:pt idx="20">
                  <c:v>41311</c:v>
                </c:pt>
                <c:pt idx="21">
                  <c:v>41415</c:v>
                </c:pt>
                <c:pt idx="22">
                  <c:v>41514</c:v>
                </c:pt>
                <c:pt idx="23">
                  <c:v>41595</c:v>
                </c:pt>
                <c:pt idx="24">
                  <c:v>41694</c:v>
                </c:pt>
                <c:pt idx="25">
                  <c:v>41788</c:v>
                </c:pt>
                <c:pt idx="26">
                  <c:v>41856</c:v>
                </c:pt>
                <c:pt idx="27">
                  <c:v>41948</c:v>
                </c:pt>
                <c:pt idx="28">
                  <c:v>42038</c:v>
                </c:pt>
                <c:pt idx="29">
                  <c:v>42150</c:v>
                </c:pt>
                <c:pt idx="30">
                  <c:v>42234</c:v>
                </c:pt>
                <c:pt idx="31">
                  <c:v>42338</c:v>
                </c:pt>
                <c:pt idx="32">
                  <c:v>42422</c:v>
                </c:pt>
                <c:pt idx="33">
                  <c:v>42514</c:v>
                </c:pt>
                <c:pt idx="34">
                  <c:v>42618</c:v>
                </c:pt>
                <c:pt idx="35">
                  <c:v>42681</c:v>
                </c:pt>
                <c:pt idx="36">
                  <c:v>42774</c:v>
                </c:pt>
                <c:pt idx="37">
                  <c:v>42866</c:v>
                </c:pt>
                <c:pt idx="38">
                  <c:v>43053</c:v>
                </c:pt>
              </c:numCache>
            </c:numRef>
          </c:cat>
          <c:val>
            <c:numRef>
              <c:f>あらめ!$L$332:$L$383</c:f>
              <c:numCache>
                <c:formatCode>General</c:formatCode>
                <c:ptCount val="52"/>
                <c:pt idx="0">
                  <c:v>0.89</c:v>
                </c:pt>
                <c:pt idx="1">
                  <c:v>0.64</c:v>
                </c:pt>
                <c:pt idx="2" formatCode="&quot;(&quot;0.000&quot;)&quot;">
                  <c:v>5.8000000000000003E-2</c:v>
                </c:pt>
                <c:pt idx="3">
                  <c:v>0.53</c:v>
                </c:pt>
                <c:pt idx="4">
                  <c:v>0.65</c:v>
                </c:pt>
                <c:pt idx="5">
                  <c:v>0.75</c:v>
                </c:pt>
                <c:pt idx="6" formatCode="0.000">
                  <c:v>2.9000000000000001E-2</c:v>
                </c:pt>
                <c:pt idx="7" formatCode="0.000">
                  <c:v>2.9000000000000001E-2</c:v>
                </c:pt>
                <c:pt idx="8">
                  <c:v>0.54</c:v>
                </c:pt>
                <c:pt idx="9">
                  <c:v>1.1000000000000001</c:v>
                </c:pt>
                <c:pt idx="17" formatCode="0.000">
                  <c:v>2.9000000000000001E-2</c:v>
                </c:pt>
                <c:pt idx="18" formatCode="0.000">
                  <c:v>2.9000000000000001E-2</c:v>
                </c:pt>
                <c:pt idx="19" formatCode="&quot;(&quot;0.0&quot;)&quot;">
                  <c:v>1.9</c:v>
                </c:pt>
                <c:pt idx="20" formatCode="0.000">
                  <c:v>2.9000000000000001E-2</c:v>
                </c:pt>
                <c:pt idx="21" formatCode="&quot;(&quot;0.0&quot;)&quot;">
                  <c:v>1.1000000000000001</c:v>
                </c:pt>
                <c:pt idx="22" formatCode="&quot;(&quot;0.0&quot;)&quot;">
                  <c:v>1.2</c:v>
                </c:pt>
                <c:pt idx="23">
                  <c:v>1.5</c:v>
                </c:pt>
                <c:pt idx="24" formatCode="0.000">
                  <c:v>2.9000000000000001E-2</c:v>
                </c:pt>
                <c:pt idx="25" formatCode="&quot;(&quot;0.0&quot;)&quot;">
                  <c:v>1.1000000000000001</c:v>
                </c:pt>
                <c:pt idx="26" formatCode="0.0">
                  <c:v>2</c:v>
                </c:pt>
                <c:pt idx="27" formatCode="&quot;(&quot;0.0&quot;)&quot;">
                  <c:v>1.5</c:v>
                </c:pt>
                <c:pt idx="28" formatCode="0.000">
                  <c:v>2.9000000000000001E-2</c:v>
                </c:pt>
                <c:pt idx="29" formatCode="0.000">
                  <c:v>2.9000000000000001E-2</c:v>
                </c:pt>
                <c:pt idx="30">
                  <c:v>0.83</c:v>
                </c:pt>
                <c:pt idx="31" formatCode="0.000">
                  <c:v>2.9000000000000001E-2</c:v>
                </c:pt>
                <c:pt idx="32" formatCode="0.000">
                  <c:v>2.9000000000000001E-2</c:v>
                </c:pt>
                <c:pt idx="33" formatCode="0.000">
                  <c:v>2.9000000000000001E-2</c:v>
                </c:pt>
                <c:pt idx="34" formatCode="0.000">
                  <c:v>2.9000000000000001E-2</c:v>
                </c:pt>
                <c:pt idx="35">
                  <c:v>0.98</c:v>
                </c:pt>
                <c:pt idx="36" formatCode="0.000">
                  <c:v>2.9000000000000001E-2</c:v>
                </c:pt>
                <c:pt idx="37" formatCode="0.000">
                  <c:v>2.9000000000000001E-2</c:v>
                </c:pt>
                <c:pt idx="38" formatCode="0.000">
                  <c:v>2.9000000000000001E-2</c:v>
                </c:pt>
              </c:numCache>
            </c:numRef>
          </c:val>
          <c:smooth val="0"/>
        </c:ser>
        <c:ser>
          <c:idx val="2"/>
          <c:order val="2"/>
          <c:tx>
            <c:strRef>
              <c:f>あらめ!$O$331</c:f>
              <c:strCache>
                <c:ptCount val="1"/>
                <c:pt idx="0">
                  <c:v>Cs-137</c:v>
                </c:pt>
              </c:strCache>
            </c:strRef>
          </c:tx>
          <c:spPr>
            <a:ln w="12700">
              <a:solidFill>
                <a:srgbClr val="FF0000"/>
              </a:solidFill>
              <a:prstDash val="sysDash"/>
            </a:ln>
          </c:spPr>
          <c:marker>
            <c:symbol val="triangle"/>
            <c:size val="5"/>
            <c:spPr>
              <a:solidFill>
                <a:srgbClr val="FF0000"/>
              </a:solidFill>
              <a:ln>
                <a:solidFill>
                  <a:srgbClr val="FF0000"/>
                </a:solidFill>
                <a:prstDash val="solid"/>
              </a:ln>
            </c:spPr>
          </c:marker>
          <c:cat>
            <c:numRef>
              <c:f>あらめ!$K$332:$K$383</c:f>
              <c:numCache>
                <c:formatCode>[$-411]m\.d\.ge</c:formatCode>
                <c:ptCount val="52"/>
                <c:pt idx="0">
                  <c:v>39687</c:v>
                </c:pt>
                <c:pt idx="1">
                  <c:v>39762</c:v>
                </c:pt>
                <c:pt idx="2">
                  <c:v>39856</c:v>
                </c:pt>
                <c:pt idx="3">
                  <c:v>39952</c:v>
                </c:pt>
                <c:pt idx="4">
                  <c:v>40028</c:v>
                </c:pt>
                <c:pt idx="5">
                  <c:v>40128</c:v>
                </c:pt>
                <c:pt idx="6">
                  <c:v>40218</c:v>
                </c:pt>
                <c:pt idx="7">
                  <c:v>40316</c:v>
                </c:pt>
                <c:pt idx="8">
                  <c:v>40399</c:v>
                </c:pt>
                <c:pt idx="9">
                  <c:v>40490</c:v>
                </c:pt>
                <c:pt idx="10">
                  <c:v>40581</c:v>
                </c:pt>
                <c:pt idx="11">
                  <c:v>40612</c:v>
                </c:pt>
                <c:pt idx="12">
                  <c:v>40613</c:v>
                </c:pt>
                <c:pt idx="13">
                  <c:v>40737</c:v>
                </c:pt>
                <c:pt idx="14">
                  <c:v>40784</c:v>
                </c:pt>
                <c:pt idx="15">
                  <c:v>40861</c:v>
                </c:pt>
                <c:pt idx="16">
                  <c:v>40945</c:v>
                </c:pt>
                <c:pt idx="17">
                  <c:v>41058</c:v>
                </c:pt>
                <c:pt idx="18">
                  <c:v>41127</c:v>
                </c:pt>
                <c:pt idx="19">
                  <c:v>41222</c:v>
                </c:pt>
                <c:pt idx="20">
                  <c:v>41311</c:v>
                </c:pt>
                <c:pt idx="21">
                  <c:v>41415</c:v>
                </c:pt>
                <c:pt idx="22">
                  <c:v>41514</c:v>
                </c:pt>
                <c:pt idx="23">
                  <c:v>41595</c:v>
                </c:pt>
                <c:pt idx="24">
                  <c:v>41694</c:v>
                </c:pt>
                <c:pt idx="25">
                  <c:v>41788</c:v>
                </c:pt>
                <c:pt idx="26">
                  <c:v>41856</c:v>
                </c:pt>
                <c:pt idx="27">
                  <c:v>41948</c:v>
                </c:pt>
                <c:pt idx="28">
                  <c:v>42038</c:v>
                </c:pt>
                <c:pt idx="29">
                  <c:v>42150</c:v>
                </c:pt>
                <c:pt idx="30">
                  <c:v>42234</c:v>
                </c:pt>
                <c:pt idx="31">
                  <c:v>42338</c:v>
                </c:pt>
                <c:pt idx="32">
                  <c:v>42422</c:v>
                </c:pt>
                <c:pt idx="33">
                  <c:v>42514</c:v>
                </c:pt>
                <c:pt idx="34">
                  <c:v>42618</c:v>
                </c:pt>
                <c:pt idx="35">
                  <c:v>42681</c:v>
                </c:pt>
                <c:pt idx="36">
                  <c:v>42774</c:v>
                </c:pt>
                <c:pt idx="37">
                  <c:v>42866</c:v>
                </c:pt>
                <c:pt idx="38">
                  <c:v>43053</c:v>
                </c:pt>
              </c:numCache>
            </c:numRef>
          </c:cat>
          <c:val>
            <c:numRef>
              <c:f>あらめ!$O$332:$O$383</c:f>
              <c:numCache>
                <c:formatCode>"("0.00")"</c:formatCode>
                <c:ptCount val="52"/>
                <c:pt idx="0">
                  <c:v>0.05</c:v>
                </c:pt>
                <c:pt idx="1">
                  <c:v>6.6000000000000003E-2</c:v>
                </c:pt>
                <c:pt idx="2" formatCode="0.000">
                  <c:v>1.4780216591050411E-2</c:v>
                </c:pt>
                <c:pt idx="3">
                  <c:v>5.2999999999999999E-2</c:v>
                </c:pt>
                <c:pt idx="4">
                  <c:v>5.6000000000000001E-2</c:v>
                </c:pt>
                <c:pt idx="5" formatCode="0.000">
                  <c:v>1.4528662872588687E-2</c:v>
                </c:pt>
                <c:pt idx="6">
                  <c:v>5.7000000000000002E-2</c:v>
                </c:pt>
                <c:pt idx="7" formatCode="0.000">
                  <c:v>1.4357301507569612E-2</c:v>
                </c:pt>
                <c:pt idx="8">
                  <c:v>5.7000000000000002E-2</c:v>
                </c:pt>
                <c:pt idx="9">
                  <c:v>6.4000000000000001E-2</c:v>
                </c:pt>
                <c:pt idx="17" formatCode="0.00">
                  <c:v>0.13</c:v>
                </c:pt>
                <c:pt idx="18" formatCode="0.00">
                  <c:v>0.17</c:v>
                </c:pt>
                <c:pt idx="19">
                  <c:v>0.1</c:v>
                </c:pt>
                <c:pt idx="20" formatCode="0.000">
                  <c:v>2.3922621733239571E-2</c:v>
                </c:pt>
                <c:pt idx="21" formatCode="0.000">
                  <c:v>2.3766119360900399E-2</c:v>
                </c:pt>
                <c:pt idx="22" formatCode="0.000">
                  <c:v>2.3618092431759385E-2</c:v>
                </c:pt>
                <c:pt idx="23">
                  <c:v>0.1</c:v>
                </c:pt>
                <c:pt idx="24" formatCode="0.000">
                  <c:v>9.2999999999999999E-2</c:v>
                </c:pt>
                <c:pt idx="25" formatCode="0.000">
                  <c:v>2.3213191207501073E-2</c:v>
                </c:pt>
                <c:pt idx="26" formatCode="0.000">
                  <c:v>0.13</c:v>
                </c:pt>
                <c:pt idx="27" formatCode="0.000">
                  <c:v>0.11</c:v>
                </c:pt>
                <c:pt idx="28" formatCode="0.000">
                  <c:v>0.15</c:v>
                </c:pt>
                <c:pt idx="29" formatCode="0.000">
                  <c:v>2.2688872707292043E-2</c:v>
                </c:pt>
                <c:pt idx="30" formatCode="0.000">
                  <c:v>0.1</c:v>
                </c:pt>
                <c:pt idx="31" formatCode="0.000">
                  <c:v>0.11</c:v>
                </c:pt>
                <c:pt idx="32" formatCode="0.000">
                  <c:v>2.2302716641035208E-2</c:v>
                </c:pt>
                <c:pt idx="33" formatCode="0.000">
                  <c:v>8.2000000000000003E-2</c:v>
                </c:pt>
                <c:pt idx="34" formatCode="0.000">
                  <c:v>0.13</c:v>
                </c:pt>
                <c:pt idx="35" formatCode="0.000">
                  <c:v>0.11</c:v>
                </c:pt>
                <c:pt idx="36" formatCode="0.000">
                  <c:v>0.12</c:v>
                </c:pt>
                <c:pt idx="37" formatCode="0.000">
                  <c:v>2.168644311983654E-2</c:v>
                </c:pt>
                <c:pt idx="38" formatCode="0.000">
                  <c:v>2.1432010360065892E-2</c:v>
                </c:pt>
              </c:numCache>
            </c:numRef>
          </c:val>
          <c:smooth val="0"/>
        </c:ser>
        <c:ser>
          <c:idx val="4"/>
          <c:order val="3"/>
          <c:tx>
            <c:strRef>
              <c:f>あらめ!$N$331</c:f>
              <c:strCache>
                <c:ptCount val="1"/>
                <c:pt idx="0">
                  <c:v>Cs-134</c:v>
                </c:pt>
              </c:strCache>
            </c:strRef>
          </c:tx>
          <c:spPr>
            <a:ln w="12700">
              <a:solidFill>
                <a:srgbClr val="FF0000"/>
              </a:solidFill>
              <a:prstDash val="sysDot"/>
            </a:ln>
          </c:spPr>
          <c:marker>
            <c:symbol val="triangle"/>
            <c:size val="6"/>
            <c:spPr>
              <a:noFill/>
              <a:ln>
                <a:solidFill>
                  <a:srgbClr val="FF0000"/>
                </a:solidFill>
                <a:prstDash val="solid"/>
              </a:ln>
            </c:spPr>
          </c:marker>
          <c:cat>
            <c:numRef>
              <c:f>あらめ!$K$332:$K$383</c:f>
              <c:numCache>
                <c:formatCode>[$-411]m\.d\.ge</c:formatCode>
                <c:ptCount val="52"/>
                <c:pt idx="0">
                  <c:v>39687</c:v>
                </c:pt>
                <c:pt idx="1">
                  <c:v>39762</c:v>
                </c:pt>
                <c:pt idx="2">
                  <c:v>39856</c:v>
                </c:pt>
                <c:pt idx="3">
                  <c:v>39952</c:v>
                </c:pt>
                <c:pt idx="4">
                  <c:v>40028</c:v>
                </c:pt>
                <c:pt idx="5">
                  <c:v>40128</c:v>
                </c:pt>
                <c:pt idx="6">
                  <c:v>40218</c:v>
                </c:pt>
                <c:pt idx="7">
                  <c:v>40316</c:v>
                </c:pt>
                <c:pt idx="8">
                  <c:v>40399</c:v>
                </c:pt>
                <c:pt idx="9">
                  <c:v>40490</c:v>
                </c:pt>
                <c:pt idx="10">
                  <c:v>40581</c:v>
                </c:pt>
                <c:pt idx="11">
                  <c:v>40612</c:v>
                </c:pt>
                <c:pt idx="12">
                  <c:v>40613</c:v>
                </c:pt>
                <c:pt idx="13">
                  <c:v>40737</c:v>
                </c:pt>
                <c:pt idx="14">
                  <c:v>40784</c:v>
                </c:pt>
                <c:pt idx="15">
                  <c:v>40861</c:v>
                </c:pt>
                <c:pt idx="16">
                  <c:v>40945</c:v>
                </c:pt>
                <c:pt idx="17">
                  <c:v>41058</c:v>
                </c:pt>
                <c:pt idx="18">
                  <c:v>41127</c:v>
                </c:pt>
                <c:pt idx="19">
                  <c:v>41222</c:v>
                </c:pt>
                <c:pt idx="20">
                  <c:v>41311</c:v>
                </c:pt>
                <c:pt idx="21">
                  <c:v>41415</c:v>
                </c:pt>
                <c:pt idx="22">
                  <c:v>41514</c:v>
                </c:pt>
                <c:pt idx="23">
                  <c:v>41595</c:v>
                </c:pt>
                <c:pt idx="24">
                  <c:v>41694</c:v>
                </c:pt>
                <c:pt idx="25">
                  <c:v>41788</c:v>
                </c:pt>
                <c:pt idx="26">
                  <c:v>41856</c:v>
                </c:pt>
                <c:pt idx="27">
                  <c:v>41948</c:v>
                </c:pt>
                <c:pt idx="28">
                  <c:v>42038</c:v>
                </c:pt>
                <c:pt idx="29">
                  <c:v>42150</c:v>
                </c:pt>
                <c:pt idx="30">
                  <c:v>42234</c:v>
                </c:pt>
                <c:pt idx="31">
                  <c:v>42338</c:v>
                </c:pt>
                <c:pt idx="32">
                  <c:v>42422</c:v>
                </c:pt>
                <c:pt idx="33">
                  <c:v>42514</c:v>
                </c:pt>
                <c:pt idx="34">
                  <c:v>42618</c:v>
                </c:pt>
                <c:pt idx="35">
                  <c:v>42681</c:v>
                </c:pt>
                <c:pt idx="36">
                  <c:v>42774</c:v>
                </c:pt>
                <c:pt idx="37">
                  <c:v>42866</c:v>
                </c:pt>
                <c:pt idx="38">
                  <c:v>43053</c:v>
                </c:pt>
              </c:numCache>
            </c:numRef>
          </c:cat>
          <c:val>
            <c:numRef>
              <c:f>あらめ!$N$332:$N$356</c:f>
              <c:numCache>
                <c:formatCode>0.000</c:formatCode>
                <c:ptCount val="25"/>
                <c:pt idx="0">
                  <c:v>1.2880389063977313E-5</c:v>
                </c:pt>
                <c:pt idx="1">
                  <c:v>1.2021304689750915E-5</c:v>
                </c:pt>
                <c:pt idx="2">
                  <c:v>1.1025034558070341E-5</c:v>
                </c:pt>
                <c:pt idx="3">
                  <c:v>1.0092736091995599E-5</c:v>
                </c:pt>
                <c:pt idx="4">
                  <c:v>9.4109148152394977E-6</c:v>
                </c:pt>
                <c:pt idx="5">
                  <c:v>8.5834524735735412E-6</c:v>
                </c:pt>
                <c:pt idx="6">
                  <c:v>7.901129042627386E-6</c:v>
                </c:pt>
                <c:pt idx="7">
                  <c:v>7.2196927568111459E-6</c:v>
                </c:pt>
                <c:pt idx="8">
                  <c:v>6.6887313418089343E-6</c:v>
                </c:pt>
                <c:pt idx="9">
                  <c:v>6.1513608204810756E-6</c:v>
                </c:pt>
                <c:pt idx="17" formatCode="&quot;(&quot;0.00&quot;)&quot;">
                  <c:v>9.1999999999999998E-2</c:v>
                </c:pt>
                <c:pt idx="18" formatCode="&quot;(&quot;0.00&quot;)&quot;">
                  <c:v>7.9000000000000001E-2</c:v>
                </c:pt>
                <c:pt idx="19">
                  <c:v>1.3416880878013501E-2</c:v>
                </c:pt>
                <c:pt idx="20">
                  <c:v>1.2361705993817527E-2</c:v>
                </c:pt>
                <c:pt idx="21">
                  <c:v>1.1233362695601714E-2</c:v>
                </c:pt>
                <c:pt idx="22">
                  <c:v>1.0255093967313531E-2</c:v>
                </c:pt>
                <c:pt idx="23">
                  <c:v>9.5184027571290266E-3</c:v>
                </c:pt>
                <c:pt idx="24">
                  <c:v>8.6894830460084067E-3</c:v>
                </c:pt>
              </c:numCache>
            </c:numRef>
          </c:val>
          <c:smooth val="0"/>
        </c:ser>
        <c:ser>
          <c:idx val="3"/>
          <c:order val="4"/>
          <c:tx>
            <c:strRef>
              <c:f>あらめ!$P$331</c:f>
              <c:strCache>
                <c:ptCount val="1"/>
                <c:pt idx="0">
                  <c:v>I-131</c:v>
                </c:pt>
              </c:strCache>
            </c:strRef>
          </c:tx>
          <c:spPr>
            <a:ln w="12700">
              <a:solidFill>
                <a:srgbClr val="FF00FF"/>
              </a:solidFill>
              <a:prstDash val="solid"/>
            </a:ln>
          </c:spPr>
          <c:marker>
            <c:symbol val="star"/>
            <c:size val="5"/>
            <c:spPr>
              <a:noFill/>
              <a:ln>
                <a:solidFill>
                  <a:srgbClr val="FF00FF"/>
                </a:solidFill>
                <a:prstDash val="solid"/>
              </a:ln>
            </c:spPr>
          </c:marker>
          <c:cat>
            <c:numRef>
              <c:f>あらめ!$K$332:$K$383</c:f>
              <c:numCache>
                <c:formatCode>[$-411]m\.d\.ge</c:formatCode>
                <c:ptCount val="52"/>
                <c:pt idx="0">
                  <c:v>39687</c:v>
                </c:pt>
                <c:pt idx="1">
                  <c:v>39762</c:v>
                </c:pt>
                <c:pt idx="2">
                  <c:v>39856</c:v>
                </c:pt>
                <c:pt idx="3">
                  <c:v>39952</c:v>
                </c:pt>
                <c:pt idx="4">
                  <c:v>40028</c:v>
                </c:pt>
                <c:pt idx="5">
                  <c:v>40128</c:v>
                </c:pt>
                <c:pt idx="6">
                  <c:v>40218</c:v>
                </c:pt>
                <c:pt idx="7">
                  <c:v>40316</c:v>
                </c:pt>
                <c:pt idx="8">
                  <c:v>40399</c:v>
                </c:pt>
                <c:pt idx="9">
                  <c:v>40490</c:v>
                </c:pt>
                <c:pt idx="10">
                  <c:v>40581</c:v>
                </c:pt>
                <c:pt idx="11">
                  <c:v>40612</c:v>
                </c:pt>
                <c:pt idx="12">
                  <c:v>40613</c:v>
                </c:pt>
                <c:pt idx="13">
                  <c:v>40737</c:v>
                </c:pt>
                <c:pt idx="14">
                  <c:v>40784</c:v>
                </c:pt>
                <c:pt idx="15">
                  <c:v>40861</c:v>
                </c:pt>
                <c:pt idx="16">
                  <c:v>40945</c:v>
                </c:pt>
                <c:pt idx="17">
                  <c:v>41058</c:v>
                </c:pt>
                <c:pt idx="18">
                  <c:v>41127</c:v>
                </c:pt>
                <c:pt idx="19">
                  <c:v>41222</c:v>
                </c:pt>
                <c:pt idx="20">
                  <c:v>41311</c:v>
                </c:pt>
                <c:pt idx="21">
                  <c:v>41415</c:v>
                </c:pt>
                <c:pt idx="22">
                  <c:v>41514</c:v>
                </c:pt>
                <c:pt idx="23">
                  <c:v>41595</c:v>
                </c:pt>
                <c:pt idx="24">
                  <c:v>41694</c:v>
                </c:pt>
                <c:pt idx="25">
                  <c:v>41788</c:v>
                </c:pt>
                <c:pt idx="26">
                  <c:v>41856</c:v>
                </c:pt>
                <c:pt idx="27">
                  <c:v>41948</c:v>
                </c:pt>
                <c:pt idx="28">
                  <c:v>42038</c:v>
                </c:pt>
                <c:pt idx="29">
                  <c:v>42150</c:v>
                </c:pt>
                <c:pt idx="30">
                  <c:v>42234</c:v>
                </c:pt>
                <c:pt idx="31">
                  <c:v>42338</c:v>
                </c:pt>
                <c:pt idx="32">
                  <c:v>42422</c:v>
                </c:pt>
                <c:pt idx="33">
                  <c:v>42514</c:v>
                </c:pt>
                <c:pt idx="34">
                  <c:v>42618</c:v>
                </c:pt>
                <c:pt idx="35">
                  <c:v>42681</c:v>
                </c:pt>
                <c:pt idx="36">
                  <c:v>42774</c:v>
                </c:pt>
                <c:pt idx="37">
                  <c:v>42866</c:v>
                </c:pt>
                <c:pt idx="38">
                  <c:v>43053</c:v>
                </c:pt>
              </c:numCache>
            </c:numRef>
          </c:cat>
          <c:val>
            <c:numRef>
              <c:f>あらめ!$P$332:$P$383</c:f>
              <c:numCache>
                <c:formatCode>.00000</c:formatCode>
                <c:ptCount val="52"/>
                <c:pt idx="0" formatCode="0.000">
                  <c:v>9.5000000000000001E-2</c:v>
                </c:pt>
                <c:pt idx="1">
                  <c:v>2.8690071477960352E-5</c:v>
                </c:pt>
                <c:pt idx="2">
                  <c:v>9.2119086254167264E-9</c:v>
                </c:pt>
                <c:pt idx="3">
                  <c:v>2.4925296656601198E-12</c:v>
                </c:pt>
                <c:pt idx="4">
                  <c:v>3.7342536845509776E-15</c:v>
                </c:pt>
                <c:pt idx="5">
                  <c:v>7.1752986019379898E-19</c:v>
                </c:pt>
                <c:pt idx="6">
                  <c:v>3.2442366325207802E-22</c:v>
                </c:pt>
                <c:pt idx="7">
                  <c:v>7.3973464914236621E-26</c:v>
                </c:pt>
                <c:pt idx="8" formatCode="&quot;(&quot;0.00&quot;)&quot;">
                  <c:v>6.4000000000000001E-2</c:v>
                </c:pt>
                <c:pt idx="9">
                  <c:v>2.5269862653060328E-32</c:v>
                </c:pt>
                <c:pt idx="17">
                  <c:v>9.275362553517617E-19</c:v>
                </c:pt>
                <c:pt idx="18">
                  <c:v>2.5295300627461406E-21</c:v>
                </c:pt>
                <c:pt idx="19">
                  <c:v>7.4557991144595477E-25</c:v>
                </c:pt>
                <c:pt idx="20">
                  <c:v>3.6722342873591743E-28</c:v>
                </c:pt>
                <c:pt idx="21">
                  <c:v>5.0108567642360459E-32</c:v>
                </c:pt>
                <c:pt idx="22">
                  <c:v>1.0488461487155855E-35</c:v>
                </c:pt>
                <c:pt idx="23">
                  <c:v>1.0243705355470637E-38</c:v>
                </c:pt>
                <c:pt idx="24">
                  <c:v>2.1441584575607652E-42</c:v>
                </c:pt>
                <c:pt idx="25" formatCode="0.000">
                  <c:v>0.14000000000000001</c:v>
                </c:pt>
                <c:pt idx="26">
                  <c:v>2.0452549764916803E-48</c:v>
                </c:pt>
                <c:pt idx="27" formatCode="&quot;(&quot;0.00&quot;)&quot;">
                  <c:v>0.12</c:v>
                </c:pt>
                <c:pt idx="28">
                  <c:v>3.5234269419508063E-55</c:v>
                </c:pt>
                <c:pt idx="29">
                  <c:v>2.4245869932013404E-59</c:v>
                </c:pt>
                <c:pt idx="30">
                  <c:v>1.8318594371477685E-62</c:v>
                </c:pt>
                <c:pt idx="31">
                  <c:v>2.4996186336364502E-66</c:v>
                </c:pt>
                <c:pt idx="32">
                  <c:v>1.8885484398525105E-69</c:v>
                </c:pt>
                <c:pt idx="33">
                  <c:v>7.195705766077278E-73</c:v>
                </c:pt>
                <c:pt idx="34">
                  <c:v>9.8187229054308848E-77</c:v>
                </c:pt>
                <c:pt idx="35">
                  <c:v>4.4745131145534838E-79</c:v>
                </c:pt>
                <c:pt idx="36">
                  <c:v>1.5650471100371089E-82</c:v>
                </c:pt>
                <c:pt idx="37">
                  <c:v>5.9631081079161618E-86</c:v>
                </c:pt>
                <c:pt idx="38">
                  <c:v>6.6968767126169477E-93</c:v>
                </c:pt>
              </c:numCache>
            </c:numRef>
          </c:val>
          <c:smooth val="0"/>
        </c:ser>
        <c:ser>
          <c:idx val="5"/>
          <c:order val="5"/>
          <c:tx>
            <c:strRef>
              <c:f>あらめ!$AX$195</c:f>
              <c:strCache>
                <c:ptCount val="1"/>
                <c:pt idx="0">
                  <c:v>I131崩壊</c:v>
                </c:pt>
              </c:strCache>
            </c:strRef>
          </c:tx>
          <c:spPr>
            <a:ln w="38100">
              <a:solidFill>
                <a:srgbClr val="FF00FF"/>
              </a:solidFill>
              <a:prstDash val="sysDot"/>
            </a:ln>
          </c:spPr>
          <c:marker>
            <c:symbol val="none"/>
          </c:marker>
          <c:cat>
            <c:numRef>
              <c:f>あらめ!$K$332:$K$383</c:f>
              <c:numCache>
                <c:formatCode>[$-411]m\.d\.ge</c:formatCode>
                <c:ptCount val="52"/>
                <c:pt idx="0">
                  <c:v>39687</c:v>
                </c:pt>
                <c:pt idx="1">
                  <c:v>39762</c:v>
                </c:pt>
                <c:pt idx="2">
                  <c:v>39856</c:v>
                </c:pt>
                <c:pt idx="3">
                  <c:v>39952</c:v>
                </c:pt>
                <c:pt idx="4">
                  <c:v>40028</c:v>
                </c:pt>
                <c:pt idx="5">
                  <c:v>40128</c:v>
                </c:pt>
                <c:pt idx="6">
                  <c:v>40218</c:v>
                </c:pt>
                <c:pt idx="7">
                  <c:v>40316</c:v>
                </c:pt>
                <c:pt idx="8">
                  <c:v>40399</c:v>
                </c:pt>
                <c:pt idx="9">
                  <c:v>40490</c:v>
                </c:pt>
                <c:pt idx="10">
                  <c:v>40581</c:v>
                </c:pt>
                <c:pt idx="11">
                  <c:v>40612</c:v>
                </c:pt>
                <c:pt idx="12">
                  <c:v>40613</c:v>
                </c:pt>
                <c:pt idx="13">
                  <c:v>40737</c:v>
                </c:pt>
                <c:pt idx="14">
                  <c:v>40784</c:v>
                </c:pt>
                <c:pt idx="15">
                  <c:v>40861</c:v>
                </c:pt>
                <c:pt idx="16">
                  <c:v>40945</c:v>
                </c:pt>
                <c:pt idx="17">
                  <c:v>41058</c:v>
                </c:pt>
                <c:pt idx="18">
                  <c:v>41127</c:v>
                </c:pt>
                <c:pt idx="19">
                  <c:v>41222</c:v>
                </c:pt>
                <c:pt idx="20">
                  <c:v>41311</c:v>
                </c:pt>
                <c:pt idx="21">
                  <c:v>41415</c:v>
                </c:pt>
                <c:pt idx="22">
                  <c:v>41514</c:v>
                </c:pt>
                <c:pt idx="23">
                  <c:v>41595</c:v>
                </c:pt>
                <c:pt idx="24">
                  <c:v>41694</c:v>
                </c:pt>
                <c:pt idx="25">
                  <c:v>41788</c:v>
                </c:pt>
                <c:pt idx="26">
                  <c:v>41856</c:v>
                </c:pt>
                <c:pt idx="27">
                  <c:v>41948</c:v>
                </c:pt>
                <c:pt idx="28">
                  <c:v>42038</c:v>
                </c:pt>
                <c:pt idx="29">
                  <c:v>42150</c:v>
                </c:pt>
                <c:pt idx="30">
                  <c:v>42234</c:v>
                </c:pt>
                <c:pt idx="31">
                  <c:v>42338</c:v>
                </c:pt>
                <c:pt idx="32">
                  <c:v>42422</c:v>
                </c:pt>
                <c:pt idx="33">
                  <c:v>42514</c:v>
                </c:pt>
                <c:pt idx="34">
                  <c:v>42618</c:v>
                </c:pt>
                <c:pt idx="35">
                  <c:v>42681</c:v>
                </c:pt>
                <c:pt idx="36">
                  <c:v>42774</c:v>
                </c:pt>
                <c:pt idx="37">
                  <c:v>42866</c:v>
                </c:pt>
                <c:pt idx="38">
                  <c:v>43053</c:v>
                </c:pt>
              </c:numCache>
            </c:numRef>
          </c:cat>
          <c:val>
            <c:numRef>
              <c:f>あらめ!$AX$332:$AX$383</c:f>
              <c:numCache>
                <c:formatCode>.00000</c:formatCode>
                <c:ptCount val="52"/>
                <c:pt idx="0" formatCode=".00">
                  <c:v>10</c:v>
                </c:pt>
                <c:pt idx="1">
                  <c:v>6.9357069796977498E-3</c:v>
                </c:pt>
                <c:pt idx="2" formatCode="0.E+00">
                  <c:v>3.7212646578716332E-6</c:v>
                </c:pt>
                <c:pt idx="3" formatCode="0.E+00">
                  <c:v>7.150340430146322E-10</c:v>
                </c:pt>
                <c:pt idx="4" formatCode="0.E+00">
                  <c:v>9.0274049556824096E-13</c:v>
                </c:pt>
                <c:pt idx="5" formatCode="0.E+00">
                  <c:v>2.6608309134454203E-16</c:v>
                </c:pt>
                <c:pt idx="6" formatCode="0.E+00">
                  <c:v>1.104399455694145E-19</c:v>
                </c:pt>
                <c:pt idx="7" formatCode="0.E+00">
                  <c:v>4.2079585377283704E-23</c:v>
                </c:pt>
                <c:pt idx="8" formatCode="0.E+00">
                  <c:v>1.746547326689461E-26</c:v>
                </c:pt>
                <c:pt idx="9" formatCode="0.E+00">
                  <c:v>7.2491863620233882E-30</c:v>
                </c:pt>
                <c:pt idx="10" formatCode="0.E+00">
                  <c:v>9.080447120182773E-34</c:v>
                </c:pt>
                <c:pt idx="12" formatCode=".00">
                  <c:v>10</c:v>
                </c:pt>
                <c:pt idx="13">
                  <c:v>2.4643866046606376E-4</c:v>
                </c:pt>
                <c:pt idx="14">
                  <c:v>5.7083257733896701E-6</c:v>
                </c:pt>
                <c:pt idx="15" formatCode="0.E+00">
                  <c:v>7.8507038366471586E-9</c:v>
                </c:pt>
                <c:pt idx="16" formatCode="0.E+00">
                  <c:v>3.5496140844986186E-12</c:v>
                </c:pt>
                <c:pt idx="17" formatCode="0.E+00">
                  <c:v>8.816743676255119E-16</c:v>
                </c:pt>
                <c:pt idx="18" formatCode="0.E+00">
                  <c:v>1.8454743538178941E-19</c:v>
                </c:pt>
                <c:pt idx="19" formatCode="0.E+00">
                  <c:v>3.8628497273566163E-23</c:v>
                </c:pt>
                <c:pt idx="20" formatCode="0.E+00">
                  <c:v>4.1097626626472831E-26</c:v>
                </c:pt>
                <c:pt idx="21" formatCode="0.E+00">
                  <c:v>1.4374686169081326E-29</c:v>
                </c:pt>
                <c:pt idx="22" formatCode="0.E+00">
                  <c:v>3.8894580013670919E-33</c:v>
                </c:pt>
                <c:pt idx="23" formatCode="0.E+00">
                  <c:v>1.3604128200790036E-36</c:v>
                </c:pt>
                <c:pt idx="24" formatCode="0.E+00">
                  <c:v>8.6615938275622077E-40</c:v>
                </c:pt>
                <c:pt idx="25" formatCode="0.E+00">
                  <c:v>4.2661291363209234E-43</c:v>
                </c:pt>
                <c:pt idx="26" formatCode="0.E+00">
                  <c:v>1.9288859169399185E-46</c:v>
                </c:pt>
                <c:pt idx="27" formatCode="0.E+00">
                  <c:v>1.3378187517160699E-49</c:v>
                </c:pt>
                <c:pt idx="28" formatCode="0.E+00">
                  <c:v>3.619828486713701E-53</c:v>
                </c:pt>
                <c:pt idx="29" formatCode="0.E+00">
                  <c:v>6.9554327247309404E-57</c:v>
                </c:pt>
                <c:pt idx="30" formatCode="0.E+00">
                  <c:v>1.8819794147828826E-60</c:v>
                </c:pt>
                <c:pt idx="31" formatCode="0.E+00">
                  <c:v>2.3760253741030886E-63</c:v>
                </c:pt>
                <c:pt idx="32" formatCode="0.E+00">
                  <c:v>1.6479415771105516E-66</c:v>
                </c:pt>
                <c:pt idx="33" formatCode="0.E+00">
                  <c:v>3.7575541565960843E-70</c:v>
                </c:pt>
                <c:pt idx="34" formatCode="0.E+00">
                  <c:v>4.743964758864845E-73</c:v>
                </c:pt>
                <c:pt idx="35" formatCode="0.E+00">
                  <c:v>4.2199263324272844E-77</c:v>
                </c:pt>
                <c:pt idx="36" formatCode="0.E+00">
                  <c:v>8.8329275608508607E-81</c:v>
                </c:pt>
                <c:pt idx="37" formatCode="0.E+00">
                  <c:v>7.2698036692844615E-84</c:v>
                </c:pt>
                <c:pt idx="38" formatCode="0.E+00">
                  <c:v>1.9211385514742715E-90</c:v>
                </c:pt>
              </c:numCache>
            </c:numRef>
          </c:val>
          <c:smooth val="0"/>
        </c:ser>
        <c:dLbls>
          <c:showLegendKey val="0"/>
          <c:showVal val="0"/>
          <c:showCatName val="0"/>
          <c:showSerName val="0"/>
          <c:showPercent val="0"/>
          <c:showBubbleSize val="0"/>
        </c:dLbls>
        <c:marker val="1"/>
        <c:smooth val="0"/>
        <c:axId val="231955072"/>
        <c:axId val="231973248"/>
      </c:lineChart>
      <c:dateAx>
        <c:axId val="231955072"/>
        <c:scaling>
          <c:orientation val="minMax"/>
          <c:min val="39539"/>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1973248"/>
        <c:crossesAt val="1.0000000000000003E-4"/>
        <c:auto val="0"/>
        <c:lblOffset val="100"/>
        <c:baseTimeUnit val="days"/>
        <c:majorUnit val="12"/>
        <c:majorTimeUnit val="months"/>
        <c:minorUnit val="3"/>
        <c:minorTimeUnit val="months"/>
      </c:dateAx>
      <c:valAx>
        <c:axId val="231973248"/>
        <c:scaling>
          <c:logBase val="10"/>
          <c:orientation val="minMax"/>
          <c:min val="1.0000000000000003E-4"/>
        </c:scaling>
        <c:delete val="0"/>
        <c:axPos val="l"/>
        <c:majorGridlines>
          <c:spPr>
            <a:ln w="3175">
              <a:solidFill>
                <a:schemeClr val="bg1">
                  <a:lumMod val="85000"/>
                </a:schemeClr>
              </a:solidFill>
              <a:prstDash val="solid"/>
            </a:ln>
          </c:spPr>
        </c:majorGridlines>
        <c:minorGridlines>
          <c:spPr>
            <a:ln>
              <a:solidFill>
                <a:schemeClr val="bg1">
                  <a:lumMod val="85000"/>
                </a:schemeClr>
              </a:solidFill>
            </a:ln>
          </c:spPr>
        </c:minorGridlines>
        <c:title>
          <c:tx>
            <c:rich>
              <a:bodyPr/>
              <a:lstStyle/>
              <a:p>
                <a:pP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Bq/kg生</a:t>
                </a:r>
              </a:p>
            </c:rich>
          </c:tx>
          <c:layout>
            <c:manualLayout>
              <c:xMode val="edge"/>
              <c:yMode val="edge"/>
              <c:x val="9.5419847328244278E-3"/>
              <c:y val="0.42024539877300615"/>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1955072"/>
        <c:crosses val="autoZero"/>
        <c:crossBetween val="between"/>
        <c:minorUnit val="10"/>
      </c:valAx>
      <c:spPr>
        <a:noFill/>
        <a:ln w="12700">
          <a:solidFill>
            <a:srgbClr val="808080"/>
          </a:solidFill>
          <a:prstDash val="solid"/>
        </a:ln>
      </c:spPr>
    </c:plotArea>
    <c:legend>
      <c:legendPos val="r"/>
      <c:layout>
        <c:manualLayout>
          <c:xMode val="edge"/>
          <c:yMode val="edge"/>
          <c:x val="0.24805933870052957"/>
          <c:y val="0.72004353859968984"/>
          <c:w val="0.7052060607164321"/>
          <c:h val="0.12120674485473527"/>
        </c:manualLayout>
      </c:layout>
      <c:overlay val="0"/>
      <c:spPr>
        <a:solidFill>
          <a:schemeClr val="bg1"/>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あらめ </a:t>
            </a:r>
            <a:r>
              <a:rPr lang="en-US" altLang="ja-JP" sz="1200" b="0" i="0" u="none" strike="noStrike" baseline="0">
                <a:solidFill>
                  <a:srgbClr val="000000"/>
                </a:solidFill>
                <a:latin typeface="Meiryo UI"/>
                <a:ea typeface="Meiryo UI"/>
              </a:rPr>
              <a:t>(</a:t>
            </a:r>
            <a:r>
              <a:rPr lang="ja-JP" altLang="en-US" sz="1200" b="0" i="0" u="none" strike="noStrike" baseline="0">
                <a:solidFill>
                  <a:srgbClr val="000000"/>
                </a:solidFill>
                <a:latin typeface="Meiryo UI"/>
                <a:ea typeface="Meiryo UI"/>
              </a:rPr>
              <a:t>周辺海域</a:t>
            </a:r>
            <a:r>
              <a:rPr lang="en-US" altLang="ja-JP" sz="1200" b="0" i="0" u="none" strike="noStrike" baseline="0">
                <a:solidFill>
                  <a:srgbClr val="000000"/>
                </a:solidFill>
                <a:latin typeface="Meiryo UI"/>
                <a:ea typeface="Meiryo UI"/>
              </a:rPr>
              <a:t>/</a:t>
            </a:r>
            <a:r>
              <a:rPr lang="ja-JP" altLang="en-US" sz="1200" b="0" i="0" u="none" strike="noStrike" baseline="0">
                <a:solidFill>
                  <a:srgbClr val="000000"/>
                </a:solidFill>
                <a:latin typeface="Meiryo UI"/>
                <a:ea typeface="Meiryo UI"/>
              </a:rPr>
              <a:t>電力</a:t>
            </a:r>
            <a:r>
              <a:rPr lang="en-US" altLang="ja-JP" sz="1200" b="0" i="0" u="none" strike="noStrike" baseline="0">
                <a:solidFill>
                  <a:srgbClr val="000000"/>
                </a:solidFill>
                <a:latin typeface="Meiryo UI"/>
                <a:ea typeface="Meiryo UI"/>
              </a:rPr>
              <a:t>)</a:t>
            </a:r>
            <a:endParaRPr lang="ja-JP" altLang="en-US" sz="1200" b="0" i="0" u="none" strike="noStrike" baseline="0">
              <a:solidFill>
                <a:srgbClr val="000000"/>
              </a:solidFill>
              <a:latin typeface="Meiryo UI"/>
              <a:ea typeface="Meiryo UI"/>
            </a:endParaRPr>
          </a:p>
        </c:rich>
      </c:tx>
      <c:layout>
        <c:manualLayout>
          <c:xMode val="edge"/>
          <c:yMode val="edge"/>
          <c:x val="0.14860448028673834"/>
          <c:y val="0.1596770833333333"/>
        </c:manualLayout>
      </c:layout>
      <c:overlay val="0"/>
      <c:spPr>
        <a:solidFill>
          <a:srgbClr val="FFFFFF"/>
        </a:solidFill>
        <a:ln w="25400">
          <a:noFill/>
        </a:ln>
      </c:spPr>
    </c:title>
    <c:autoTitleDeleted val="0"/>
    <c:plotArea>
      <c:layout>
        <c:manualLayout>
          <c:layoutTarget val="inner"/>
          <c:xMode val="edge"/>
          <c:yMode val="edge"/>
          <c:x val="9.6932258064516136E-2"/>
          <c:y val="4.1306250000000003E-2"/>
          <c:w val="0.8928600358422939"/>
          <c:h val="0.8511774305555555"/>
        </c:manualLayout>
      </c:layout>
      <c:lineChart>
        <c:grouping val="standard"/>
        <c:varyColors val="0"/>
        <c:ser>
          <c:idx val="1"/>
          <c:order val="0"/>
          <c:tx>
            <c:strRef>
              <c:f>あらめ!$AG$331</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あらめ!$AE$332:$AE$383</c:f>
              <c:numCache>
                <c:formatCode>[$-411]m\.d\.ge</c:formatCode>
                <c:ptCount val="52"/>
                <c:pt idx="0">
                  <c:v>39680</c:v>
                </c:pt>
                <c:pt idx="1">
                  <c:v>39765</c:v>
                </c:pt>
                <c:pt idx="2">
                  <c:v>39853</c:v>
                </c:pt>
                <c:pt idx="3">
                  <c:v>39953</c:v>
                </c:pt>
                <c:pt idx="4">
                  <c:v>40031</c:v>
                </c:pt>
                <c:pt idx="5">
                  <c:v>40126</c:v>
                </c:pt>
                <c:pt idx="6">
                  <c:v>40217</c:v>
                </c:pt>
                <c:pt idx="7">
                  <c:v>40309</c:v>
                </c:pt>
                <c:pt idx="8">
                  <c:v>40400</c:v>
                </c:pt>
                <c:pt idx="9">
                  <c:v>40491</c:v>
                </c:pt>
                <c:pt idx="10">
                  <c:v>40596</c:v>
                </c:pt>
                <c:pt idx="11">
                  <c:v>40612</c:v>
                </c:pt>
                <c:pt idx="12">
                  <c:v>40613</c:v>
                </c:pt>
                <c:pt idx="13">
                  <c:v>40737</c:v>
                </c:pt>
                <c:pt idx="14">
                  <c:v>40781</c:v>
                </c:pt>
                <c:pt idx="15">
                  <c:v>40858</c:v>
                </c:pt>
                <c:pt idx="16">
                  <c:v>40948</c:v>
                </c:pt>
                <c:pt idx="17">
                  <c:v>41045</c:v>
                </c:pt>
                <c:pt idx="18">
                  <c:v>41144</c:v>
                </c:pt>
                <c:pt idx="19">
                  <c:v>41243</c:v>
                </c:pt>
                <c:pt idx="20">
                  <c:v>41323</c:v>
                </c:pt>
                <c:pt idx="21">
                  <c:v>41416</c:v>
                </c:pt>
                <c:pt idx="22">
                  <c:v>41512</c:v>
                </c:pt>
                <c:pt idx="23">
                  <c:v>41605</c:v>
                </c:pt>
                <c:pt idx="24">
                  <c:v>41691</c:v>
                </c:pt>
                <c:pt idx="25">
                  <c:v>41780</c:v>
                </c:pt>
                <c:pt idx="26">
                  <c:v>41870</c:v>
                </c:pt>
                <c:pt idx="27">
                  <c:v>41955</c:v>
                </c:pt>
                <c:pt idx="28">
                  <c:v>42051</c:v>
                </c:pt>
                <c:pt idx="29">
                  <c:v>42151</c:v>
                </c:pt>
                <c:pt idx="30">
                  <c:v>42247</c:v>
                </c:pt>
                <c:pt idx="31">
                  <c:v>42325</c:v>
                </c:pt>
                <c:pt idx="32">
                  <c:v>42410</c:v>
                </c:pt>
                <c:pt idx="33">
                  <c:v>42508</c:v>
                </c:pt>
                <c:pt idx="34">
                  <c:v>42586</c:v>
                </c:pt>
                <c:pt idx="35">
                  <c:v>42695</c:v>
                </c:pt>
                <c:pt idx="36">
                  <c:v>42794</c:v>
                </c:pt>
                <c:pt idx="37">
                  <c:v>42877</c:v>
                </c:pt>
                <c:pt idx="38">
                  <c:v>43054</c:v>
                </c:pt>
              </c:numCache>
            </c:numRef>
          </c:cat>
          <c:val>
            <c:numRef>
              <c:f>あらめ!$AG$332:$AG$383</c:f>
              <c:numCache>
                <c:formatCode>0</c:formatCode>
                <c:ptCount val="52"/>
                <c:pt idx="0">
                  <c:v>259</c:v>
                </c:pt>
                <c:pt idx="1">
                  <c:v>355</c:v>
                </c:pt>
                <c:pt idx="2">
                  <c:v>470</c:v>
                </c:pt>
                <c:pt idx="3">
                  <c:v>394</c:v>
                </c:pt>
                <c:pt idx="4">
                  <c:v>323</c:v>
                </c:pt>
                <c:pt idx="5">
                  <c:v>393</c:v>
                </c:pt>
                <c:pt idx="6">
                  <c:v>434</c:v>
                </c:pt>
                <c:pt idx="7">
                  <c:v>289</c:v>
                </c:pt>
                <c:pt idx="8">
                  <c:v>322</c:v>
                </c:pt>
                <c:pt idx="9">
                  <c:v>381</c:v>
                </c:pt>
                <c:pt idx="10">
                  <c:v>362</c:v>
                </c:pt>
                <c:pt idx="14">
                  <c:v>292</c:v>
                </c:pt>
                <c:pt idx="15">
                  <c:v>383</c:v>
                </c:pt>
                <c:pt idx="16">
                  <c:v>444</c:v>
                </c:pt>
                <c:pt idx="17">
                  <c:v>129.49999785554118</c:v>
                </c:pt>
                <c:pt idx="18">
                  <c:v>325</c:v>
                </c:pt>
                <c:pt idx="19">
                  <c:v>129.49999781743628</c:v>
                </c:pt>
                <c:pt idx="20">
                  <c:v>422</c:v>
                </c:pt>
                <c:pt idx="21">
                  <c:v>310</c:v>
                </c:pt>
                <c:pt idx="22">
                  <c:v>372</c:v>
                </c:pt>
                <c:pt idx="23">
                  <c:v>418</c:v>
                </c:pt>
                <c:pt idx="24">
                  <c:v>424</c:v>
                </c:pt>
                <c:pt idx="25">
                  <c:v>271</c:v>
                </c:pt>
                <c:pt idx="26">
                  <c:v>276</c:v>
                </c:pt>
                <c:pt idx="27">
                  <c:v>364</c:v>
                </c:pt>
                <c:pt idx="28">
                  <c:v>391</c:v>
                </c:pt>
                <c:pt idx="29">
                  <c:v>320</c:v>
                </c:pt>
                <c:pt idx="30">
                  <c:v>290</c:v>
                </c:pt>
                <c:pt idx="31">
                  <c:v>392</c:v>
                </c:pt>
                <c:pt idx="32">
                  <c:v>382</c:v>
                </c:pt>
                <c:pt idx="33">
                  <c:v>362</c:v>
                </c:pt>
                <c:pt idx="35">
                  <c:v>343</c:v>
                </c:pt>
                <c:pt idx="36">
                  <c:v>364</c:v>
                </c:pt>
                <c:pt idx="37">
                  <c:v>290</c:v>
                </c:pt>
              </c:numCache>
            </c:numRef>
          </c:val>
          <c:smooth val="0"/>
        </c:ser>
        <c:ser>
          <c:idx val="0"/>
          <c:order val="1"/>
          <c:tx>
            <c:strRef>
              <c:f>あらめ!$AF$331</c:f>
              <c:strCache>
                <c:ptCount val="1"/>
                <c:pt idx="0">
                  <c:v>Be-7</c:v>
                </c:pt>
              </c:strCache>
            </c:strRef>
          </c:tx>
          <c:spPr>
            <a:ln w="12700">
              <a:solidFill>
                <a:srgbClr val="0066FF"/>
              </a:solidFill>
              <a:prstDash val="sysDash"/>
            </a:ln>
          </c:spPr>
          <c:marker>
            <c:symbol val="circle"/>
            <c:size val="5"/>
            <c:spPr>
              <a:solidFill>
                <a:srgbClr val="FFFFFF"/>
              </a:solidFill>
              <a:ln>
                <a:solidFill>
                  <a:srgbClr val="0066FF"/>
                </a:solidFill>
                <a:prstDash val="solid"/>
              </a:ln>
            </c:spPr>
          </c:marker>
          <c:cat>
            <c:numRef>
              <c:f>あらめ!$AE$332:$AE$383</c:f>
              <c:numCache>
                <c:formatCode>[$-411]m\.d\.ge</c:formatCode>
                <c:ptCount val="52"/>
                <c:pt idx="0">
                  <c:v>39680</c:v>
                </c:pt>
                <c:pt idx="1">
                  <c:v>39765</c:v>
                </c:pt>
                <c:pt idx="2">
                  <c:v>39853</c:v>
                </c:pt>
                <c:pt idx="3">
                  <c:v>39953</c:v>
                </c:pt>
                <c:pt idx="4">
                  <c:v>40031</c:v>
                </c:pt>
                <c:pt idx="5">
                  <c:v>40126</c:v>
                </c:pt>
                <c:pt idx="6">
                  <c:v>40217</c:v>
                </c:pt>
                <c:pt idx="7">
                  <c:v>40309</c:v>
                </c:pt>
                <c:pt idx="8">
                  <c:v>40400</c:v>
                </c:pt>
                <c:pt idx="9">
                  <c:v>40491</c:v>
                </c:pt>
                <c:pt idx="10">
                  <c:v>40596</c:v>
                </c:pt>
                <c:pt idx="11">
                  <c:v>40612</c:v>
                </c:pt>
                <c:pt idx="12">
                  <c:v>40613</c:v>
                </c:pt>
                <c:pt idx="13">
                  <c:v>40737</c:v>
                </c:pt>
                <c:pt idx="14">
                  <c:v>40781</c:v>
                </c:pt>
                <c:pt idx="15">
                  <c:v>40858</c:v>
                </c:pt>
                <c:pt idx="16">
                  <c:v>40948</c:v>
                </c:pt>
                <c:pt idx="17">
                  <c:v>41045</c:v>
                </c:pt>
                <c:pt idx="18">
                  <c:v>41144</c:v>
                </c:pt>
                <c:pt idx="19">
                  <c:v>41243</c:v>
                </c:pt>
                <c:pt idx="20">
                  <c:v>41323</c:v>
                </c:pt>
                <c:pt idx="21">
                  <c:v>41416</c:v>
                </c:pt>
                <c:pt idx="22">
                  <c:v>41512</c:v>
                </c:pt>
                <c:pt idx="23">
                  <c:v>41605</c:v>
                </c:pt>
                <c:pt idx="24">
                  <c:v>41691</c:v>
                </c:pt>
                <c:pt idx="25">
                  <c:v>41780</c:v>
                </c:pt>
                <c:pt idx="26">
                  <c:v>41870</c:v>
                </c:pt>
                <c:pt idx="27">
                  <c:v>41955</c:v>
                </c:pt>
                <c:pt idx="28">
                  <c:v>42051</c:v>
                </c:pt>
                <c:pt idx="29">
                  <c:v>42151</c:v>
                </c:pt>
                <c:pt idx="30">
                  <c:v>42247</c:v>
                </c:pt>
                <c:pt idx="31">
                  <c:v>42325</c:v>
                </c:pt>
                <c:pt idx="32">
                  <c:v>42410</c:v>
                </c:pt>
                <c:pt idx="33">
                  <c:v>42508</c:v>
                </c:pt>
                <c:pt idx="34">
                  <c:v>42586</c:v>
                </c:pt>
                <c:pt idx="35">
                  <c:v>42695</c:v>
                </c:pt>
                <c:pt idx="36">
                  <c:v>42794</c:v>
                </c:pt>
                <c:pt idx="37">
                  <c:v>42877</c:v>
                </c:pt>
                <c:pt idx="38">
                  <c:v>43054</c:v>
                </c:pt>
              </c:numCache>
            </c:numRef>
          </c:cat>
          <c:val>
            <c:numRef>
              <c:f>あらめ!$AF$332:$AF$383</c:f>
              <c:numCache>
                <c:formatCode>General</c:formatCode>
                <c:ptCount val="52"/>
                <c:pt idx="0">
                  <c:v>0.71</c:v>
                </c:pt>
                <c:pt idx="1">
                  <c:v>0.67</c:v>
                </c:pt>
                <c:pt idx="2" formatCode="0.000">
                  <c:v>0.26</c:v>
                </c:pt>
                <c:pt idx="3" formatCode="0.000">
                  <c:v>0.26</c:v>
                </c:pt>
                <c:pt idx="4">
                  <c:v>0.52</c:v>
                </c:pt>
                <c:pt idx="5">
                  <c:v>0.81</c:v>
                </c:pt>
                <c:pt idx="6" formatCode="0.000">
                  <c:v>0.26</c:v>
                </c:pt>
                <c:pt idx="7">
                  <c:v>0.59</c:v>
                </c:pt>
                <c:pt idx="8" formatCode="0.000">
                  <c:v>0.26</c:v>
                </c:pt>
                <c:pt idx="9">
                  <c:v>1.4</c:v>
                </c:pt>
                <c:pt idx="10" formatCode="0.000">
                  <c:v>0.26</c:v>
                </c:pt>
                <c:pt idx="14" formatCode="0.000">
                  <c:v>0.26</c:v>
                </c:pt>
                <c:pt idx="15" formatCode="0.000">
                  <c:v>0.26</c:v>
                </c:pt>
                <c:pt idx="16" formatCode="0.000">
                  <c:v>0.26</c:v>
                </c:pt>
                <c:pt idx="17" formatCode="0.000">
                  <c:v>0.26</c:v>
                </c:pt>
                <c:pt idx="18" formatCode="0.000">
                  <c:v>0.26</c:v>
                </c:pt>
                <c:pt idx="19" formatCode="0.000">
                  <c:v>0.26</c:v>
                </c:pt>
                <c:pt idx="20" formatCode="0.000">
                  <c:v>0.26</c:v>
                </c:pt>
                <c:pt idx="21" formatCode="0.000">
                  <c:v>0.26</c:v>
                </c:pt>
                <c:pt idx="22" formatCode="0.000">
                  <c:v>0.26</c:v>
                </c:pt>
                <c:pt idx="23" formatCode="0.000">
                  <c:v>0.26</c:v>
                </c:pt>
                <c:pt idx="24" formatCode="0.000">
                  <c:v>0.26</c:v>
                </c:pt>
                <c:pt idx="25" formatCode="0.000">
                  <c:v>0.26</c:v>
                </c:pt>
                <c:pt idx="26" formatCode="0.00">
                  <c:v>0.96</c:v>
                </c:pt>
                <c:pt idx="27" formatCode="0.0">
                  <c:v>2</c:v>
                </c:pt>
                <c:pt idx="28" formatCode="0.000">
                  <c:v>0.26</c:v>
                </c:pt>
                <c:pt idx="29" formatCode="0.00">
                  <c:v>0.46</c:v>
                </c:pt>
                <c:pt idx="30" formatCode="0.0">
                  <c:v>3</c:v>
                </c:pt>
                <c:pt idx="31" formatCode="0.0">
                  <c:v>1.2</c:v>
                </c:pt>
                <c:pt idx="32" formatCode="0.000">
                  <c:v>0.26</c:v>
                </c:pt>
                <c:pt idx="33" formatCode="0.000">
                  <c:v>0.26</c:v>
                </c:pt>
                <c:pt idx="35" formatCode="0.0">
                  <c:v>4.4000000000000004</c:v>
                </c:pt>
                <c:pt idx="36" formatCode="0.000">
                  <c:v>0.26</c:v>
                </c:pt>
                <c:pt idx="37" formatCode="0.00">
                  <c:v>0.48</c:v>
                </c:pt>
              </c:numCache>
            </c:numRef>
          </c:val>
          <c:smooth val="0"/>
        </c:ser>
        <c:ser>
          <c:idx val="2"/>
          <c:order val="2"/>
          <c:tx>
            <c:strRef>
              <c:f>あらめ!$AI$331</c:f>
              <c:strCache>
                <c:ptCount val="1"/>
                <c:pt idx="0">
                  <c:v>Cs-137</c:v>
                </c:pt>
              </c:strCache>
            </c:strRef>
          </c:tx>
          <c:spPr>
            <a:ln w="12700">
              <a:solidFill>
                <a:srgbClr val="FF0000"/>
              </a:solidFill>
              <a:prstDash val="sysDash"/>
            </a:ln>
          </c:spPr>
          <c:marker>
            <c:symbol val="triangle"/>
            <c:size val="5"/>
            <c:spPr>
              <a:solidFill>
                <a:srgbClr val="FF0000"/>
              </a:solidFill>
              <a:ln>
                <a:solidFill>
                  <a:srgbClr val="FF0000"/>
                </a:solidFill>
                <a:prstDash val="solid"/>
              </a:ln>
            </c:spPr>
          </c:marker>
          <c:cat>
            <c:numRef>
              <c:f>あらめ!$AE$332:$AE$383</c:f>
              <c:numCache>
                <c:formatCode>[$-411]m\.d\.ge</c:formatCode>
                <c:ptCount val="52"/>
                <c:pt idx="0">
                  <c:v>39680</c:v>
                </c:pt>
                <c:pt idx="1">
                  <c:v>39765</c:v>
                </c:pt>
                <c:pt idx="2">
                  <c:v>39853</c:v>
                </c:pt>
                <c:pt idx="3">
                  <c:v>39953</c:v>
                </c:pt>
                <c:pt idx="4">
                  <c:v>40031</c:v>
                </c:pt>
                <c:pt idx="5">
                  <c:v>40126</c:v>
                </c:pt>
                <c:pt idx="6">
                  <c:v>40217</c:v>
                </c:pt>
                <c:pt idx="7">
                  <c:v>40309</c:v>
                </c:pt>
                <c:pt idx="8">
                  <c:v>40400</c:v>
                </c:pt>
                <c:pt idx="9">
                  <c:v>40491</c:v>
                </c:pt>
                <c:pt idx="10">
                  <c:v>40596</c:v>
                </c:pt>
                <c:pt idx="11">
                  <c:v>40612</c:v>
                </c:pt>
                <c:pt idx="12">
                  <c:v>40613</c:v>
                </c:pt>
                <c:pt idx="13">
                  <c:v>40737</c:v>
                </c:pt>
                <c:pt idx="14">
                  <c:v>40781</c:v>
                </c:pt>
                <c:pt idx="15">
                  <c:v>40858</c:v>
                </c:pt>
                <c:pt idx="16">
                  <c:v>40948</c:v>
                </c:pt>
                <c:pt idx="17">
                  <c:v>41045</c:v>
                </c:pt>
                <c:pt idx="18">
                  <c:v>41144</c:v>
                </c:pt>
                <c:pt idx="19">
                  <c:v>41243</c:v>
                </c:pt>
                <c:pt idx="20">
                  <c:v>41323</c:v>
                </c:pt>
                <c:pt idx="21">
                  <c:v>41416</c:v>
                </c:pt>
                <c:pt idx="22">
                  <c:v>41512</c:v>
                </c:pt>
                <c:pt idx="23">
                  <c:v>41605</c:v>
                </c:pt>
                <c:pt idx="24">
                  <c:v>41691</c:v>
                </c:pt>
                <c:pt idx="25">
                  <c:v>41780</c:v>
                </c:pt>
                <c:pt idx="26">
                  <c:v>41870</c:v>
                </c:pt>
                <c:pt idx="27">
                  <c:v>41955</c:v>
                </c:pt>
                <c:pt idx="28">
                  <c:v>42051</c:v>
                </c:pt>
                <c:pt idx="29">
                  <c:v>42151</c:v>
                </c:pt>
                <c:pt idx="30">
                  <c:v>42247</c:v>
                </c:pt>
                <c:pt idx="31">
                  <c:v>42325</c:v>
                </c:pt>
                <c:pt idx="32">
                  <c:v>42410</c:v>
                </c:pt>
                <c:pt idx="33">
                  <c:v>42508</c:v>
                </c:pt>
                <c:pt idx="34">
                  <c:v>42586</c:v>
                </c:pt>
                <c:pt idx="35">
                  <c:v>42695</c:v>
                </c:pt>
                <c:pt idx="36">
                  <c:v>42794</c:v>
                </c:pt>
                <c:pt idx="37">
                  <c:v>42877</c:v>
                </c:pt>
                <c:pt idx="38">
                  <c:v>43054</c:v>
                </c:pt>
              </c:numCache>
            </c:numRef>
          </c:cat>
          <c:val>
            <c:numRef>
              <c:f>あらめ!$AI$332:$AI$383</c:f>
              <c:numCache>
                <c:formatCode>0.000</c:formatCode>
                <c:ptCount val="52"/>
                <c:pt idx="0">
                  <c:v>4.7E-2</c:v>
                </c:pt>
                <c:pt idx="1">
                  <c:v>1.3973424050729849E-2</c:v>
                </c:pt>
                <c:pt idx="2">
                  <c:v>1.3896034313627556E-2</c:v>
                </c:pt>
                <c:pt idx="3" formatCode="&quot;(&quot;0.00&quot;)&quot;">
                  <c:v>5.8000000000000003E-2</c:v>
                </c:pt>
                <c:pt idx="4" formatCode="&quot;(&quot;0.00&quot;)&quot;">
                  <c:v>5.0999999999999997E-2</c:v>
                </c:pt>
                <c:pt idx="5">
                  <c:v>1.3658667008639276E-2</c:v>
                </c:pt>
                <c:pt idx="6">
                  <c:v>1.3580449046692179E-2</c:v>
                </c:pt>
                <c:pt idx="7" formatCode="&quot;(&quot;0.00&quot;)&quot;">
                  <c:v>5.2999999999999999E-2</c:v>
                </c:pt>
                <c:pt idx="8">
                  <c:v>6.5000000000000002E-2</c:v>
                </c:pt>
                <c:pt idx="9" formatCode="&quot;(&quot;0.00&quot;)&quot;">
                  <c:v>5.8999999999999997E-2</c:v>
                </c:pt>
                <c:pt idx="10">
                  <c:v>1.3259472694342748E-2</c:v>
                </c:pt>
                <c:pt idx="14" formatCode="0.00">
                  <c:v>4.57</c:v>
                </c:pt>
                <c:pt idx="15" formatCode="0.00">
                  <c:v>2.48</c:v>
                </c:pt>
                <c:pt idx="16" formatCode="0.00">
                  <c:v>3.84</c:v>
                </c:pt>
                <c:pt idx="17">
                  <c:v>2.2867954891200776E-2</c:v>
                </c:pt>
                <c:pt idx="18" formatCode="0.00">
                  <c:v>1.1000000000000001</c:v>
                </c:pt>
                <c:pt idx="19">
                  <c:v>2.2583976581775862E-2</c:v>
                </c:pt>
                <c:pt idx="20" formatCode="0.00">
                  <c:v>1.91</c:v>
                </c:pt>
                <c:pt idx="21" formatCode="0.00">
                  <c:v>0.44</c:v>
                </c:pt>
                <c:pt idx="22" formatCode="0.00">
                  <c:v>0.18</c:v>
                </c:pt>
                <c:pt idx="23" formatCode="0.00">
                  <c:v>0.28999999999999998</c:v>
                </c:pt>
                <c:pt idx="24" formatCode="0.00">
                  <c:v>0.35</c:v>
                </c:pt>
                <c:pt idx="25" formatCode="0.00">
                  <c:v>0.2</c:v>
                </c:pt>
                <c:pt idx="26" formatCode="0.00">
                  <c:v>0.26</c:v>
                </c:pt>
                <c:pt idx="27" formatCode="0.00">
                  <c:v>0.24</c:v>
                </c:pt>
                <c:pt idx="28">
                  <c:v>6.4000000000000001E-2</c:v>
                </c:pt>
                <c:pt idx="29">
                  <c:v>7.3999999999999996E-2</c:v>
                </c:pt>
                <c:pt idx="30">
                  <c:v>8.4000000000000005E-2</c:v>
                </c:pt>
                <c:pt idx="31">
                  <c:v>7.4999999999999997E-2</c:v>
                </c:pt>
                <c:pt idx="32" formatCode="&quot;(&quot;0.00&quot;)&quot;">
                  <c:v>5.8000000000000003E-2</c:v>
                </c:pt>
                <c:pt idx="33" formatCode="&quot;(&quot;0.00&quot;)&quot;">
                  <c:v>6.4000000000000001E-2</c:v>
                </c:pt>
                <c:pt idx="35">
                  <c:v>0.11</c:v>
                </c:pt>
                <c:pt idx="36" formatCode="&quot;(&quot;0.00&quot;)&quot;">
                  <c:v>6.4000000000000001E-2</c:v>
                </c:pt>
                <c:pt idx="37">
                  <c:v>5.7000000000000002E-2</c:v>
                </c:pt>
              </c:numCache>
            </c:numRef>
          </c:val>
          <c:smooth val="0"/>
        </c:ser>
        <c:ser>
          <c:idx val="4"/>
          <c:order val="3"/>
          <c:tx>
            <c:strRef>
              <c:f>あらめ!$AH$331</c:f>
              <c:strCache>
                <c:ptCount val="1"/>
                <c:pt idx="0">
                  <c:v>Cs-134</c:v>
                </c:pt>
              </c:strCache>
            </c:strRef>
          </c:tx>
          <c:spPr>
            <a:ln w="12700">
              <a:solidFill>
                <a:srgbClr val="FF0000"/>
              </a:solidFill>
              <a:prstDash val="sysDot"/>
            </a:ln>
          </c:spPr>
          <c:marker>
            <c:symbol val="triangle"/>
            <c:size val="6"/>
            <c:spPr>
              <a:noFill/>
              <a:ln>
                <a:solidFill>
                  <a:srgbClr val="FF0000"/>
                </a:solidFill>
                <a:prstDash val="solid"/>
              </a:ln>
            </c:spPr>
          </c:marker>
          <c:cat>
            <c:numRef>
              <c:f>あらめ!$AE$332:$AE$383</c:f>
              <c:numCache>
                <c:formatCode>[$-411]m\.d\.ge</c:formatCode>
                <c:ptCount val="52"/>
                <c:pt idx="0">
                  <c:v>39680</c:v>
                </c:pt>
                <c:pt idx="1">
                  <c:v>39765</c:v>
                </c:pt>
                <c:pt idx="2">
                  <c:v>39853</c:v>
                </c:pt>
                <c:pt idx="3">
                  <c:v>39953</c:v>
                </c:pt>
                <c:pt idx="4">
                  <c:v>40031</c:v>
                </c:pt>
                <c:pt idx="5">
                  <c:v>40126</c:v>
                </c:pt>
                <c:pt idx="6">
                  <c:v>40217</c:v>
                </c:pt>
                <c:pt idx="7">
                  <c:v>40309</c:v>
                </c:pt>
                <c:pt idx="8">
                  <c:v>40400</c:v>
                </c:pt>
                <c:pt idx="9">
                  <c:v>40491</c:v>
                </c:pt>
                <c:pt idx="10">
                  <c:v>40596</c:v>
                </c:pt>
                <c:pt idx="11">
                  <c:v>40612</c:v>
                </c:pt>
                <c:pt idx="12">
                  <c:v>40613</c:v>
                </c:pt>
                <c:pt idx="13">
                  <c:v>40737</c:v>
                </c:pt>
                <c:pt idx="14">
                  <c:v>40781</c:v>
                </c:pt>
                <c:pt idx="15">
                  <c:v>40858</c:v>
                </c:pt>
                <c:pt idx="16">
                  <c:v>40948</c:v>
                </c:pt>
                <c:pt idx="17">
                  <c:v>41045</c:v>
                </c:pt>
                <c:pt idx="18">
                  <c:v>41144</c:v>
                </c:pt>
                <c:pt idx="19">
                  <c:v>41243</c:v>
                </c:pt>
                <c:pt idx="20">
                  <c:v>41323</c:v>
                </c:pt>
                <c:pt idx="21">
                  <c:v>41416</c:v>
                </c:pt>
                <c:pt idx="22">
                  <c:v>41512</c:v>
                </c:pt>
                <c:pt idx="23">
                  <c:v>41605</c:v>
                </c:pt>
                <c:pt idx="24">
                  <c:v>41691</c:v>
                </c:pt>
                <c:pt idx="25">
                  <c:v>41780</c:v>
                </c:pt>
                <c:pt idx="26">
                  <c:v>41870</c:v>
                </c:pt>
                <c:pt idx="27">
                  <c:v>41955</c:v>
                </c:pt>
                <c:pt idx="28">
                  <c:v>42051</c:v>
                </c:pt>
                <c:pt idx="29">
                  <c:v>42151</c:v>
                </c:pt>
                <c:pt idx="30">
                  <c:v>42247</c:v>
                </c:pt>
                <c:pt idx="31">
                  <c:v>42325</c:v>
                </c:pt>
                <c:pt idx="32">
                  <c:v>42410</c:v>
                </c:pt>
                <c:pt idx="33">
                  <c:v>42508</c:v>
                </c:pt>
                <c:pt idx="34">
                  <c:v>42586</c:v>
                </c:pt>
                <c:pt idx="35">
                  <c:v>42695</c:v>
                </c:pt>
                <c:pt idx="36">
                  <c:v>42794</c:v>
                </c:pt>
                <c:pt idx="37">
                  <c:v>42877</c:v>
                </c:pt>
                <c:pt idx="38">
                  <c:v>43054</c:v>
                </c:pt>
              </c:numCache>
            </c:numRef>
          </c:cat>
          <c:val>
            <c:numRef>
              <c:f>あらめ!$AH$332:$AH$383</c:f>
              <c:numCache>
                <c:formatCode>0.000</c:formatCode>
                <c:ptCount val="52"/>
                <c:pt idx="0">
                  <c:v>1.2963637247636461E-5</c:v>
                </c:pt>
                <c:pt idx="1">
                  <c:v>1.1988159424425443E-5</c:v>
                </c:pt>
                <c:pt idx="2">
                  <c:v>1.1055516943456806E-5</c:v>
                </c:pt>
                <c:pt idx="3">
                  <c:v>1.0083451621651261E-5</c:v>
                </c:pt>
                <c:pt idx="4">
                  <c:v>9.3849669438098304E-6</c:v>
                </c:pt>
                <c:pt idx="5">
                  <c:v>8.5992664035718254E-6</c:v>
                </c:pt>
                <c:pt idx="6">
                  <c:v>7.908404110831762E-6</c:v>
                </c:pt>
                <c:pt idx="7">
                  <c:v>7.2663548805712443E-6</c:v>
                </c:pt>
                <c:pt idx="8">
                  <c:v>6.6825782702118712E-6</c:v>
                </c:pt>
                <c:pt idx="9">
                  <c:v>6.1457020846740136E-6</c:v>
                </c:pt>
                <c:pt idx="10">
                  <c:v>5.5796014251594746E-6</c:v>
                </c:pt>
                <c:pt idx="14" formatCode="0.00">
                  <c:v>3.74</c:v>
                </c:pt>
                <c:pt idx="15" formatCode="0.00">
                  <c:v>1.91</c:v>
                </c:pt>
                <c:pt idx="16" formatCode="0.00">
                  <c:v>2.79</c:v>
                </c:pt>
                <c:pt idx="17">
                  <c:v>1.5790583291239679E-2</c:v>
                </c:pt>
                <c:pt idx="18" formatCode="0.00">
                  <c:v>0.66</c:v>
                </c:pt>
                <c:pt idx="19">
                  <c:v>1.3160060881838447E-2</c:v>
                </c:pt>
                <c:pt idx="20" formatCode="0.00">
                  <c:v>0.97</c:v>
                </c:pt>
                <c:pt idx="21" formatCode="0.00">
                  <c:v>0.16</c:v>
                </c:pt>
                <c:pt idx="22" formatCode="0.00">
                  <c:v>0.08</c:v>
                </c:pt>
                <c:pt idx="23" formatCode="0.00">
                  <c:v>0.11</c:v>
                </c:pt>
                <c:pt idx="24" formatCode="0.00">
                  <c:v>0.18</c:v>
                </c:pt>
                <c:pt idx="25">
                  <c:v>8.5000000000000006E-2</c:v>
                </c:pt>
                <c:pt idx="26">
                  <c:v>9.0999999999999998E-2</c:v>
                </c:pt>
                <c:pt idx="27">
                  <c:v>8.8999999999999996E-2</c:v>
                </c:pt>
                <c:pt idx="28">
                  <c:v>6.2560704020667348E-3</c:v>
                </c:pt>
                <c:pt idx="29">
                  <c:v>5.7060003221486438E-3</c:v>
                </c:pt>
                <c:pt idx="30">
                  <c:v>5.2234897849034656E-3</c:v>
                </c:pt>
                <c:pt idx="31">
                  <c:v>4.8616565836827443E-3</c:v>
                </c:pt>
                <c:pt idx="32">
                  <c:v>4.4958303814481076E-3</c:v>
                </c:pt>
                <c:pt idx="33">
                  <c:v>4.1080855489988178E-3</c:v>
                </c:pt>
                <c:pt idx="35">
                  <c:v>3.4585645570335806E-3</c:v>
                </c:pt>
                <c:pt idx="36">
                  <c:v>3.1573719718216244E-3</c:v>
                </c:pt>
                <c:pt idx="37">
                  <c:v>2.9251678121272684E-3</c:v>
                </c:pt>
              </c:numCache>
            </c:numRef>
          </c:val>
          <c:smooth val="0"/>
        </c:ser>
        <c:ser>
          <c:idx val="3"/>
          <c:order val="4"/>
          <c:tx>
            <c:strRef>
              <c:f>あらめ!$AJ$331</c:f>
              <c:strCache>
                <c:ptCount val="1"/>
                <c:pt idx="0">
                  <c:v>I-131</c:v>
                </c:pt>
              </c:strCache>
            </c:strRef>
          </c:tx>
          <c:spPr>
            <a:ln w="12700">
              <a:solidFill>
                <a:srgbClr val="FF00FF"/>
              </a:solidFill>
              <a:prstDash val="solid"/>
            </a:ln>
          </c:spPr>
          <c:marker>
            <c:symbol val="star"/>
            <c:size val="5"/>
            <c:spPr>
              <a:noFill/>
              <a:ln>
                <a:solidFill>
                  <a:srgbClr val="FF00FF"/>
                </a:solidFill>
                <a:prstDash val="solid"/>
              </a:ln>
            </c:spPr>
          </c:marker>
          <c:cat>
            <c:numRef>
              <c:f>あらめ!$AE$332:$AE$383</c:f>
              <c:numCache>
                <c:formatCode>[$-411]m\.d\.ge</c:formatCode>
                <c:ptCount val="52"/>
                <c:pt idx="0">
                  <c:v>39680</c:v>
                </c:pt>
                <c:pt idx="1">
                  <c:v>39765</c:v>
                </c:pt>
                <c:pt idx="2">
                  <c:v>39853</c:v>
                </c:pt>
                <c:pt idx="3">
                  <c:v>39953</c:v>
                </c:pt>
                <c:pt idx="4">
                  <c:v>40031</c:v>
                </c:pt>
                <c:pt idx="5">
                  <c:v>40126</c:v>
                </c:pt>
                <c:pt idx="6">
                  <c:v>40217</c:v>
                </c:pt>
                <c:pt idx="7">
                  <c:v>40309</c:v>
                </c:pt>
                <c:pt idx="8">
                  <c:v>40400</c:v>
                </c:pt>
                <c:pt idx="9">
                  <c:v>40491</c:v>
                </c:pt>
                <c:pt idx="10">
                  <c:v>40596</c:v>
                </c:pt>
                <c:pt idx="11">
                  <c:v>40612</c:v>
                </c:pt>
                <c:pt idx="12">
                  <c:v>40613</c:v>
                </c:pt>
                <c:pt idx="13">
                  <c:v>40737</c:v>
                </c:pt>
                <c:pt idx="14">
                  <c:v>40781</c:v>
                </c:pt>
                <c:pt idx="15">
                  <c:v>40858</c:v>
                </c:pt>
                <c:pt idx="16">
                  <c:v>40948</c:v>
                </c:pt>
                <c:pt idx="17">
                  <c:v>41045</c:v>
                </c:pt>
                <c:pt idx="18">
                  <c:v>41144</c:v>
                </c:pt>
                <c:pt idx="19">
                  <c:v>41243</c:v>
                </c:pt>
                <c:pt idx="20">
                  <c:v>41323</c:v>
                </c:pt>
                <c:pt idx="21">
                  <c:v>41416</c:v>
                </c:pt>
                <c:pt idx="22">
                  <c:v>41512</c:v>
                </c:pt>
                <c:pt idx="23">
                  <c:v>41605</c:v>
                </c:pt>
                <c:pt idx="24">
                  <c:v>41691</c:v>
                </c:pt>
                <c:pt idx="25">
                  <c:v>41780</c:v>
                </c:pt>
                <c:pt idx="26">
                  <c:v>41870</c:v>
                </c:pt>
                <c:pt idx="27">
                  <c:v>41955</c:v>
                </c:pt>
                <c:pt idx="28">
                  <c:v>42051</c:v>
                </c:pt>
                <c:pt idx="29">
                  <c:v>42151</c:v>
                </c:pt>
                <c:pt idx="30">
                  <c:v>42247</c:v>
                </c:pt>
                <c:pt idx="31">
                  <c:v>42325</c:v>
                </c:pt>
                <c:pt idx="32">
                  <c:v>42410</c:v>
                </c:pt>
                <c:pt idx="33">
                  <c:v>42508</c:v>
                </c:pt>
                <c:pt idx="34">
                  <c:v>42586</c:v>
                </c:pt>
                <c:pt idx="35">
                  <c:v>42695</c:v>
                </c:pt>
                <c:pt idx="36">
                  <c:v>42794</c:v>
                </c:pt>
                <c:pt idx="37">
                  <c:v>42877</c:v>
                </c:pt>
                <c:pt idx="38">
                  <c:v>43054</c:v>
                </c:pt>
              </c:numCache>
            </c:numRef>
          </c:cat>
          <c:val>
            <c:numRef>
              <c:f>あらめ!$AJ$332:$AJ$383</c:f>
              <c:numCache>
                <c:formatCode>.00000</c:formatCode>
                <c:ptCount val="52"/>
                <c:pt idx="0">
                  <c:v>4.2000000000000003E-2</c:v>
                </c:pt>
                <c:pt idx="1">
                  <c:v>2.9129969314730551E-5</c:v>
                </c:pt>
                <c:pt idx="2">
                  <c:v>1.5629311563060861E-8</c:v>
                </c:pt>
                <c:pt idx="3">
                  <c:v>3.0031429806614553E-12</c:v>
                </c:pt>
                <c:pt idx="4" formatCode="0.000">
                  <c:v>0.13</c:v>
                </c:pt>
                <c:pt idx="5">
                  <c:v>1.1175489836470765E-18</c:v>
                </c:pt>
                <c:pt idx="6">
                  <c:v>4.638477713915409E-22</c:v>
                </c:pt>
                <c:pt idx="7" formatCode="&quot;(&quot;0.00&quot;)&quot;">
                  <c:v>8.4000000000000005E-2</c:v>
                </c:pt>
                <c:pt idx="8">
                  <c:v>7.3354987720957375E-29</c:v>
                </c:pt>
                <c:pt idx="9">
                  <c:v>3.0446582720498227E-32</c:v>
                </c:pt>
                <c:pt idx="10">
                  <c:v>3.8137877904767656E-36</c:v>
                </c:pt>
                <c:pt idx="14">
                  <c:v>2.3974968248236618E-8</c:v>
                </c:pt>
                <c:pt idx="15">
                  <c:v>3.2972956113918071E-11</c:v>
                </c:pt>
                <c:pt idx="16">
                  <c:v>1.4908379154894197E-14</c:v>
                </c:pt>
                <c:pt idx="17">
                  <c:v>3.7030323440271504E-18</c:v>
                </c:pt>
                <c:pt idx="18">
                  <c:v>7.750992286035155E-22</c:v>
                </c:pt>
                <c:pt idx="19">
                  <c:v>1.6223968854897791E-25</c:v>
                </c:pt>
                <c:pt idx="20">
                  <c:v>1.726100318311859E-28</c:v>
                </c:pt>
                <c:pt idx="21">
                  <c:v>6.0373681910141573E-32</c:v>
                </c:pt>
                <c:pt idx="22">
                  <c:v>1.6335723605741787E-35</c:v>
                </c:pt>
                <c:pt idx="23">
                  <c:v>5.7137338443318155E-39</c:v>
                </c:pt>
                <c:pt idx="24">
                  <c:v>3.6378694075761278E-42</c:v>
                </c:pt>
                <c:pt idx="25">
                  <c:v>1.791774237254788E-45</c:v>
                </c:pt>
                <c:pt idx="26" formatCode="0.000">
                  <c:v>9.2999999999999999E-2</c:v>
                </c:pt>
                <c:pt idx="27">
                  <c:v>5.618838757207494E-52</c:v>
                </c:pt>
                <c:pt idx="28">
                  <c:v>1.5203279644197545E-55</c:v>
                </c:pt>
                <c:pt idx="29">
                  <c:v>2.9212817443869951E-59</c:v>
                </c:pt>
                <c:pt idx="30">
                  <c:v>7.9043135420881074E-63</c:v>
                </c:pt>
                <c:pt idx="31">
                  <c:v>9.9793065712329715E-66</c:v>
                </c:pt>
                <c:pt idx="32">
                  <c:v>6.9213546238643168E-69</c:v>
                </c:pt>
                <c:pt idx="33" formatCode="&quot;(&quot;0.00&quot;)&quot;">
                  <c:v>7.8E-2</c:v>
                </c:pt>
                <c:pt idx="35">
                  <c:v>1.7723690596194594E-79</c:v>
                </c:pt>
                <c:pt idx="36">
                  <c:v>3.7098295755573617E-83</c:v>
                </c:pt>
                <c:pt idx="37">
                  <c:v>3.0533175410994738E-86</c:v>
                </c:pt>
              </c:numCache>
            </c:numRef>
          </c:val>
          <c:smooth val="0"/>
        </c:ser>
        <c:dLbls>
          <c:showLegendKey val="0"/>
          <c:showVal val="0"/>
          <c:showCatName val="0"/>
          <c:showSerName val="0"/>
          <c:showPercent val="0"/>
          <c:showBubbleSize val="0"/>
        </c:dLbls>
        <c:marker val="1"/>
        <c:smooth val="0"/>
        <c:axId val="232071168"/>
        <c:axId val="232073088"/>
      </c:lineChart>
      <c:dateAx>
        <c:axId val="232071168"/>
        <c:scaling>
          <c:orientation val="minMax"/>
          <c:min val="39539"/>
        </c:scaling>
        <c:delete val="0"/>
        <c:axPos val="b"/>
        <c:majorGridlines>
          <c:spPr>
            <a:ln w="3175">
              <a:solidFill>
                <a:schemeClr val="bg1">
                  <a:lumMod val="7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2073088"/>
        <c:crossesAt val="1.0000000000000003E-4"/>
        <c:auto val="0"/>
        <c:lblOffset val="100"/>
        <c:baseTimeUnit val="days"/>
        <c:majorUnit val="12"/>
        <c:majorTimeUnit val="months"/>
        <c:minorUnit val="3"/>
        <c:minorTimeUnit val="months"/>
      </c:dateAx>
      <c:valAx>
        <c:axId val="232073088"/>
        <c:scaling>
          <c:logBase val="10"/>
          <c:orientation val="minMax"/>
          <c:min val="1.0000000000000003E-4"/>
        </c:scaling>
        <c:delete val="0"/>
        <c:axPos val="l"/>
        <c:majorGridlines>
          <c:spPr>
            <a:ln w="3175">
              <a:solidFill>
                <a:schemeClr val="bg1">
                  <a:lumMod val="85000"/>
                </a:schemeClr>
              </a:solidFill>
              <a:prstDash val="solid"/>
            </a:ln>
          </c:spPr>
        </c:majorGridlines>
        <c:minorGridlines>
          <c:spPr>
            <a:ln>
              <a:solidFill>
                <a:schemeClr val="bg1">
                  <a:lumMod val="85000"/>
                </a:schemeClr>
              </a:solidFill>
            </a:ln>
          </c:spPr>
        </c:minorGridlines>
        <c:title>
          <c:tx>
            <c:rich>
              <a:bodyPr/>
              <a:lstStyle/>
              <a:p>
                <a:pPr>
                  <a:defRPr sz="9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Bq/kg生</a:t>
                </a:r>
              </a:p>
            </c:rich>
          </c:tx>
          <c:layout>
            <c:manualLayout>
              <c:xMode val="edge"/>
              <c:yMode val="edge"/>
              <c:x val="1.8922517657791314E-2"/>
              <c:y val="0.4080995431126665"/>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2071168"/>
        <c:crosses val="autoZero"/>
        <c:crossBetween val="between"/>
      </c:valAx>
      <c:spPr>
        <a:noFill/>
        <a:ln w="12700">
          <a:solidFill>
            <a:srgbClr val="808080"/>
          </a:solidFill>
          <a:prstDash val="solid"/>
        </a:ln>
      </c:spPr>
    </c:plotArea>
    <c:legend>
      <c:legendPos val="r"/>
      <c:layout>
        <c:manualLayout>
          <c:xMode val="edge"/>
          <c:yMode val="edge"/>
          <c:x val="0.27946841252208121"/>
          <c:y val="0.67027214970964633"/>
          <c:w val="0.38802571927534441"/>
          <c:h val="0.1664124645328289"/>
        </c:manualLayout>
      </c:layout>
      <c:overlay val="0"/>
      <c:spPr>
        <a:solidFill>
          <a:schemeClr val="bg1"/>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あらめ (前面海域/電力)</a:t>
            </a:r>
          </a:p>
        </c:rich>
      </c:tx>
      <c:layout>
        <c:manualLayout>
          <c:xMode val="edge"/>
          <c:yMode val="edge"/>
          <c:x val="0.10763602689114811"/>
          <c:y val="0.21453392015954337"/>
        </c:manualLayout>
      </c:layout>
      <c:overlay val="0"/>
      <c:spPr>
        <a:solidFill>
          <a:srgbClr val="FFFFFF"/>
        </a:solidFill>
        <a:ln w="25400">
          <a:noFill/>
        </a:ln>
      </c:spPr>
    </c:title>
    <c:autoTitleDeleted val="0"/>
    <c:plotArea>
      <c:layout>
        <c:manualLayout>
          <c:layoutTarget val="inner"/>
          <c:xMode val="edge"/>
          <c:yMode val="edge"/>
          <c:x val="5.1799824407374892E-2"/>
          <c:y val="4.8338439887473869E-2"/>
          <c:w val="0.88944530046224957"/>
          <c:h val="0.82753747361483443"/>
        </c:manualLayout>
      </c:layout>
      <c:lineChart>
        <c:grouping val="standard"/>
        <c:varyColors val="0"/>
        <c:ser>
          <c:idx val="1"/>
          <c:order val="0"/>
          <c:tx>
            <c:strRef>
              <c:f>あらめ!$X$196</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あらめ!$V$197:$V$383</c:f>
              <c:numCache>
                <c:formatCode>0.000000000000000000000000000000E+00</c:formatCode>
                <c:ptCount val="187"/>
                <c:pt idx="5" formatCode="[$-411]m\.d\.ge">
                  <c:v>30252</c:v>
                </c:pt>
                <c:pt idx="7" formatCode="[$-411]m\.d\.ge">
                  <c:v>30340</c:v>
                </c:pt>
                <c:pt idx="8" formatCode="[$-411]m\.d\.ge">
                  <c:v>30607</c:v>
                </c:pt>
                <c:pt idx="10" formatCode="[$-411]m\.d\.ge">
                  <c:v>30694</c:v>
                </c:pt>
                <c:pt idx="11" formatCode="[$-411]m\.d\.ge">
                  <c:v>30799</c:v>
                </c:pt>
                <c:pt idx="12" formatCode="[$-411]m\.d\.ge">
                  <c:v>30866</c:v>
                </c:pt>
                <c:pt idx="13" formatCode="[$-411]m\.d\.ge">
                  <c:v>30959</c:v>
                </c:pt>
                <c:pt idx="15" formatCode="[$-411]m\.d\.ge">
                  <c:v>31061</c:v>
                </c:pt>
                <c:pt idx="16" formatCode="[$-411]m\.d\.ge">
                  <c:v>31156</c:v>
                </c:pt>
                <c:pt idx="18" formatCode="[$-411]m\.d\.ge">
                  <c:v>31237</c:v>
                </c:pt>
                <c:pt idx="19" formatCode="[$-411]m\.d\.ge">
                  <c:v>31332</c:v>
                </c:pt>
                <c:pt idx="20" formatCode="[$-411]m\.d\.ge">
                  <c:v>31442</c:v>
                </c:pt>
                <c:pt idx="22" formatCode="[$-411]m\.d\.ge">
                  <c:v>31517</c:v>
                </c:pt>
                <c:pt idx="24" formatCode="[$-411]m\.d\.ge">
                  <c:v>31528</c:v>
                </c:pt>
                <c:pt idx="25" formatCode="[$-411]m\.d\.ge">
                  <c:v>31604</c:v>
                </c:pt>
                <c:pt idx="27" formatCode="[$-411]m\.d\.ge">
                  <c:v>31709</c:v>
                </c:pt>
                <c:pt idx="29" formatCode="[$-411]m\.d\.ge">
                  <c:v>31798</c:v>
                </c:pt>
                <c:pt idx="31" formatCode="[$-411]m\.d\.ge">
                  <c:v>31873</c:v>
                </c:pt>
                <c:pt idx="33" formatCode="[$-411]m\.d\.ge">
                  <c:v>31972</c:v>
                </c:pt>
                <c:pt idx="35" formatCode="[$-411]m\.d\.ge">
                  <c:v>32074</c:v>
                </c:pt>
                <c:pt idx="36" formatCode="[$-411]m\.d\.ge">
                  <c:v>32161</c:v>
                </c:pt>
                <c:pt idx="37" formatCode="[$-411]m\.d\.ge">
                  <c:v>32247</c:v>
                </c:pt>
                <c:pt idx="39" formatCode="[$-411]m\.d\.ge">
                  <c:v>32344</c:v>
                </c:pt>
                <c:pt idx="40" formatCode="[$-411]m\.d\.ge">
                  <c:v>32441</c:v>
                </c:pt>
                <c:pt idx="41" formatCode="[$-411]m\.d\.ge">
                  <c:v>32525</c:v>
                </c:pt>
                <c:pt idx="42" formatCode="[$-411]m\.d\.ge">
                  <c:v>32616</c:v>
                </c:pt>
                <c:pt idx="44" formatCode="[$-411]m\.d\.ge">
                  <c:v>32708</c:v>
                </c:pt>
                <c:pt idx="45" formatCode="[$-411]m\.d\.ge">
                  <c:v>32805</c:v>
                </c:pt>
                <c:pt idx="46" formatCode="[$-411]m\.d\.ge">
                  <c:v>32883</c:v>
                </c:pt>
                <c:pt idx="47" formatCode="[$-411]m\.d\.ge">
                  <c:v>33000</c:v>
                </c:pt>
                <c:pt idx="48" formatCode="[$-411]m\.d\.ge">
                  <c:v>33059</c:v>
                </c:pt>
                <c:pt idx="49" formatCode="[$-411]m\.d\.ge">
                  <c:v>33177</c:v>
                </c:pt>
                <c:pt idx="50" formatCode="[$-411]m\.d\.ge">
                  <c:v>33259</c:v>
                </c:pt>
                <c:pt idx="51" formatCode="[$-411]m\.d\.ge">
                  <c:v>33350</c:v>
                </c:pt>
                <c:pt idx="52" formatCode="[$-411]m\.d\.ge">
                  <c:v>33430</c:v>
                </c:pt>
                <c:pt idx="53" formatCode="[$-411]m\.d\.ge">
                  <c:v>33532</c:v>
                </c:pt>
                <c:pt idx="54" formatCode="[$-411]m\.d\.ge">
                  <c:v>33625</c:v>
                </c:pt>
                <c:pt idx="55" formatCode="[$-411]m\.d\.ge">
                  <c:v>33716</c:v>
                </c:pt>
                <c:pt idx="56" formatCode="[$-411]m\.d\.ge">
                  <c:v>33791</c:v>
                </c:pt>
                <c:pt idx="57" formatCode="[$-411]m\.d\.ge">
                  <c:v>33906</c:v>
                </c:pt>
                <c:pt idx="58" formatCode="[$-411]m\.d\.ge">
                  <c:v>34001</c:v>
                </c:pt>
                <c:pt idx="59" formatCode="[$-411]m\.d\.ge">
                  <c:v>34085</c:v>
                </c:pt>
                <c:pt idx="60" formatCode="[$-411]m\.d\.ge">
                  <c:v>34156</c:v>
                </c:pt>
                <c:pt idx="61" formatCode="[$-411]m\.d\.ge">
                  <c:v>34248</c:v>
                </c:pt>
                <c:pt idx="62" formatCode="[$-411]m\.d\.ge">
                  <c:v>34372</c:v>
                </c:pt>
                <c:pt idx="63" formatCode="[$-411]m\.d\.ge">
                  <c:v>34445</c:v>
                </c:pt>
                <c:pt idx="64" formatCode="[$-411]m\.d\.ge">
                  <c:v>34541</c:v>
                </c:pt>
                <c:pt idx="65" formatCode="[$-411]m\.d\.ge">
                  <c:v>34618</c:v>
                </c:pt>
                <c:pt idx="66" formatCode="[$-411]m\.d\.ge">
                  <c:v>34737</c:v>
                </c:pt>
                <c:pt idx="67" formatCode="[$-411]m\.d\.ge">
                  <c:v>34810</c:v>
                </c:pt>
                <c:pt idx="68" formatCode="[$-411]m\.d\.ge">
                  <c:v>34905</c:v>
                </c:pt>
                <c:pt idx="69" formatCode="[$-411]m\.d\.ge">
                  <c:v>34990</c:v>
                </c:pt>
                <c:pt idx="70" formatCode="[$-411]m\.d\.ge">
                  <c:v>35086</c:v>
                </c:pt>
                <c:pt idx="71" formatCode="[$-411]m\.d\.ge">
                  <c:v>35179</c:v>
                </c:pt>
                <c:pt idx="72" formatCode="[$-411]m\.d\.ge">
                  <c:v>35277</c:v>
                </c:pt>
                <c:pt idx="73" formatCode="[$-411]m\.d\.ge">
                  <c:v>35352</c:v>
                </c:pt>
                <c:pt idx="74" formatCode="[$-411]m\.d\.ge">
                  <c:v>35492</c:v>
                </c:pt>
                <c:pt idx="75" formatCode="[$-411]m\.d\.ge">
                  <c:v>35535</c:v>
                </c:pt>
                <c:pt idx="76" formatCode="[$-411]m\.d\.ge">
                  <c:v>35626</c:v>
                </c:pt>
                <c:pt idx="77" formatCode="[$-411]m\.d\.ge">
                  <c:v>35717</c:v>
                </c:pt>
                <c:pt idx="78" formatCode="[$-411]m\.d\.ge">
                  <c:v>35822</c:v>
                </c:pt>
                <c:pt idx="79" formatCode="[$-411]m\.d\.ge">
                  <c:v>35926</c:v>
                </c:pt>
                <c:pt idx="80" formatCode="[$-411]m\.d\.ge">
                  <c:v>36004</c:v>
                </c:pt>
                <c:pt idx="81" formatCode="[$-411]m\.d\.ge">
                  <c:v>36074</c:v>
                </c:pt>
                <c:pt idx="82" formatCode="[$-411]m\.d\.ge">
                  <c:v>36193</c:v>
                </c:pt>
                <c:pt idx="83" formatCode="[$-411]m\.d\.ge">
                  <c:v>36292</c:v>
                </c:pt>
                <c:pt idx="84" formatCode="[$-411]m\.d\.ge">
                  <c:v>36362</c:v>
                </c:pt>
                <c:pt idx="85" formatCode="[$-411]m\.d\.ge">
                  <c:v>36452</c:v>
                </c:pt>
                <c:pt idx="86" formatCode="[$-411]m\.d\.ge">
                  <c:v>36551</c:v>
                </c:pt>
                <c:pt idx="87" formatCode="[$-411]m\.d\.ge">
                  <c:v>36656</c:v>
                </c:pt>
                <c:pt idx="88" formatCode="[$-411]m\.d\.ge">
                  <c:v>36719</c:v>
                </c:pt>
                <c:pt idx="89" formatCode="[$-411]m\.d\.ge">
                  <c:v>36815</c:v>
                </c:pt>
                <c:pt idx="90" formatCode="[$-411]m\.d\.ge">
                  <c:v>36909</c:v>
                </c:pt>
                <c:pt idx="91" formatCode="[$-411]m\.d\.ge">
                  <c:v>37005</c:v>
                </c:pt>
                <c:pt idx="92" formatCode="[$-411]m\.d\.ge">
                  <c:v>37081</c:v>
                </c:pt>
                <c:pt idx="93" formatCode="[$-411]m\.d\.ge">
                  <c:v>37180</c:v>
                </c:pt>
                <c:pt idx="94" formatCode="[$-411]m\.d\.ge">
                  <c:v>37293</c:v>
                </c:pt>
                <c:pt idx="95" formatCode="[$-411]m\.d\.ge">
                  <c:v>37362</c:v>
                </c:pt>
                <c:pt idx="96" formatCode="[$-411]m\.d\.ge">
                  <c:v>37454</c:v>
                </c:pt>
                <c:pt idx="97" formatCode="[$-411]m\.d\.ge">
                  <c:v>37559</c:v>
                </c:pt>
                <c:pt idx="98" formatCode="[$-411]m\.d\.ge">
                  <c:v>37656</c:v>
                </c:pt>
                <c:pt idx="99" formatCode="[$-411]m\.d\.ge">
                  <c:v>37727</c:v>
                </c:pt>
                <c:pt idx="100" formatCode="[$-411]m\.d\.ge">
                  <c:v>37837</c:v>
                </c:pt>
                <c:pt idx="101" formatCode="[$-411]m\.d\.ge">
                  <c:v>37915</c:v>
                </c:pt>
                <c:pt idx="102" formatCode="[$-411]m\.d\.ge">
                  <c:v>38015</c:v>
                </c:pt>
                <c:pt idx="103" formatCode="[$-411]m\.d\.ge">
                  <c:v>38091</c:v>
                </c:pt>
                <c:pt idx="104" formatCode="[$-411]m\.d\.ge">
                  <c:v>38195</c:v>
                </c:pt>
                <c:pt idx="105" formatCode="[$-411]m\.d\.ge">
                  <c:v>38286</c:v>
                </c:pt>
                <c:pt idx="106" formatCode="[$-411]m\.d\.ge">
                  <c:v>38385</c:v>
                </c:pt>
                <c:pt idx="107" formatCode="[$-411]m\.d\.ge">
                  <c:v>38467</c:v>
                </c:pt>
                <c:pt idx="108" formatCode="[$-411]m\.d\.ge">
                  <c:v>38553</c:v>
                </c:pt>
                <c:pt idx="109" formatCode="[$-411]m\.d\.ge">
                  <c:v>38651</c:v>
                </c:pt>
                <c:pt idx="110" formatCode="[$-411]m\.d\.ge">
                  <c:v>38747</c:v>
                </c:pt>
                <c:pt idx="111" formatCode="[$-411]m\.d\.ge">
                  <c:v>38834</c:v>
                </c:pt>
                <c:pt idx="112" formatCode="[$-411]m\.d\.ge">
                  <c:v>38910</c:v>
                </c:pt>
                <c:pt idx="113" formatCode="[$-411]m\.d\.ge">
                  <c:v>39023</c:v>
                </c:pt>
                <c:pt idx="114" formatCode="[$-411]m\.d\.ge">
                  <c:v>39105</c:v>
                </c:pt>
                <c:pt idx="115" formatCode="[$-411]m\.d\.ge">
                  <c:v>39198</c:v>
                </c:pt>
                <c:pt idx="116" formatCode="[$-411]m\.d\.ge">
                  <c:v>39303</c:v>
                </c:pt>
                <c:pt idx="117" formatCode="[$-411]m\.d\.ge">
                  <c:v>39366</c:v>
                </c:pt>
                <c:pt idx="118" formatCode="[$-411]m\.d\.ge">
                  <c:v>39470</c:v>
                </c:pt>
                <c:pt idx="119" formatCode="[$-411]m\.d\.ge">
                  <c:v>39566</c:v>
                </c:pt>
                <c:pt idx="121" formatCode="0.E+00">
                  <c:v>3.8530217851091534E-308</c:v>
                </c:pt>
                <c:pt idx="122" formatCode="0.E+00">
                  <c:v>3.5370225297279948E-308</c:v>
                </c:pt>
                <c:pt idx="123" formatCode="0.E+00">
                  <c:v>3.2469394344345388E-308</c:v>
                </c:pt>
                <c:pt idx="124" formatCode="0.E+00">
                  <c:v>2.9806470279101202E-308</c:v>
                </c:pt>
                <c:pt idx="125" formatCode="0.E+00">
                  <c:v>2.7361941558776368E-308</c:v>
                </c:pt>
                <c:pt idx="126" formatCode="0.E+00">
                  <c:v>2.5117896847749598E-308</c:v>
                </c:pt>
                <c:pt idx="127" formatCode="0.E+00">
                  <c:v>2.305789377917244E-308</c:v>
                </c:pt>
                <c:pt idx="128" formatCode="0.E+00">
                  <c:v>0</c:v>
                </c:pt>
                <c:pt idx="129" formatCode="0.E+00">
                  <c:v>0</c:v>
                </c:pt>
                <c:pt idx="130" formatCode="0.E+00">
                  <c:v>0</c:v>
                </c:pt>
                <c:pt idx="135" formatCode="[$-411]m\.d\.ge">
                  <c:v>39701</c:v>
                </c:pt>
                <c:pt idx="136" formatCode="[$-411]m\.d\.ge">
                  <c:v>39783</c:v>
                </c:pt>
                <c:pt idx="137" formatCode="[$-411]m\.d\.ge">
                  <c:v>39853</c:v>
                </c:pt>
                <c:pt idx="138" formatCode="[$-411]m\.d\.ge">
                  <c:v>39953</c:v>
                </c:pt>
                <c:pt idx="139" formatCode="[$-411]m\.d\.ge">
                  <c:v>40046</c:v>
                </c:pt>
                <c:pt idx="140" formatCode="[$-411]m\.d\.ge">
                  <c:v>40127</c:v>
                </c:pt>
                <c:pt idx="141" formatCode="[$-411]m\.d\.ge">
                  <c:v>40218</c:v>
                </c:pt>
                <c:pt idx="142" formatCode="[$-411]m\.d\.ge">
                  <c:v>40315</c:v>
                </c:pt>
                <c:pt idx="143" formatCode="[$-411]m\.d\.ge">
                  <c:v>40400</c:v>
                </c:pt>
                <c:pt idx="144" formatCode="[$-411]m\.d\.ge">
                  <c:v>40493</c:v>
                </c:pt>
                <c:pt idx="145" formatCode="[$-411]m\.d\.ge">
                  <c:v>40581</c:v>
                </c:pt>
                <c:pt idx="146" formatCode="[$-411]m\.d\.ge">
                  <c:v>40612</c:v>
                </c:pt>
                <c:pt idx="147" formatCode="[$-411]m\.d\.ge">
                  <c:v>40613</c:v>
                </c:pt>
                <c:pt idx="148" formatCode="[$-411]m\.d\.ge">
                  <c:v>40737</c:v>
                </c:pt>
                <c:pt idx="149" formatCode="[$-411]m\.d\.ge">
                  <c:v>40784</c:v>
                </c:pt>
                <c:pt idx="150" formatCode="[$-411]m\.d\.ge">
                  <c:v>40858</c:v>
                </c:pt>
                <c:pt idx="151" formatCode="[$-411]m\.d\.ge">
                  <c:v>40948</c:v>
                </c:pt>
                <c:pt idx="152" formatCode="[$-411]m\.d\.ge">
                  <c:v>41044</c:v>
                </c:pt>
                <c:pt idx="153" formatCode="[$-411]m\.d\.ge">
                  <c:v>41143</c:v>
                </c:pt>
                <c:pt idx="154" formatCode="[$-411]m\.d\.ge">
                  <c:v>41242</c:v>
                </c:pt>
                <c:pt idx="155" formatCode="[$-411]m\.d\.ge">
                  <c:v>41331</c:v>
                </c:pt>
                <c:pt idx="156" formatCode="[$-411]m\.d\.ge">
                  <c:v>41409</c:v>
                </c:pt>
                <c:pt idx="157" formatCode="[$-411]m\.d\.ge">
                  <c:v>41507</c:v>
                </c:pt>
                <c:pt idx="158" formatCode="[$-411]m\.d\.ge">
                  <c:v>41603</c:v>
                </c:pt>
                <c:pt idx="159" formatCode="[$-411]m\.d\.ge">
                  <c:v>41694</c:v>
                </c:pt>
                <c:pt idx="160" formatCode="[$-411]m\.d\.ge">
                  <c:v>41779</c:v>
                </c:pt>
                <c:pt idx="161" formatCode="[$-411]m\.d\.ge">
                  <c:v>41871</c:v>
                </c:pt>
                <c:pt idx="162" formatCode="[$-411]m\.d\.ge">
                  <c:v>41954</c:v>
                </c:pt>
                <c:pt idx="163" formatCode="[$-411]m\.d\.ge">
                  <c:v>42069</c:v>
                </c:pt>
                <c:pt idx="164" formatCode="[$-411]m\.d\.ge">
                  <c:v>42146</c:v>
                </c:pt>
                <c:pt idx="165" formatCode="[$-411]m\.d\.ge">
                  <c:v>42275</c:v>
                </c:pt>
                <c:pt idx="166" formatCode="[$-411]m\.d\.ge">
                  <c:v>42348</c:v>
                </c:pt>
                <c:pt idx="167" formatCode="[$-411]m\.d\.ge">
                  <c:v>42409</c:v>
                </c:pt>
                <c:pt idx="168" formatCode="[$-411]m\.d\.ge">
                  <c:v>42500</c:v>
                </c:pt>
                <c:pt idx="169" formatCode="[$-411]m\.d\.ge">
                  <c:v>42586</c:v>
                </c:pt>
                <c:pt idx="170" formatCode="[$-411]m\.d\.ge">
                  <c:v>42712</c:v>
                </c:pt>
                <c:pt idx="171" formatCode="[$-411]m\.d\.ge">
                  <c:v>42794</c:v>
                </c:pt>
                <c:pt idx="172" formatCode="[$-411]m\.d\.ge">
                  <c:v>42895</c:v>
                </c:pt>
                <c:pt idx="173" formatCode="[$-411]m\.d\.ge">
                  <c:v>43054</c:v>
                </c:pt>
              </c:numCache>
            </c:numRef>
          </c:cat>
          <c:val>
            <c:numRef>
              <c:f>あらめ!$X$197:$X$383</c:f>
              <c:numCache>
                <c:formatCode>0_);[Red]\(0\)</c:formatCode>
                <c:ptCount val="187"/>
                <c:pt idx="8">
                  <c:v>337.03703703703701</c:v>
                </c:pt>
                <c:pt idx="10">
                  <c:v>418.51851851851853</c:v>
                </c:pt>
                <c:pt idx="11">
                  <c:v>322.22222222222223</c:v>
                </c:pt>
                <c:pt idx="12">
                  <c:v>332.59259259259261</c:v>
                </c:pt>
                <c:pt idx="13">
                  <c:v>282.59259259259261</c:v>
                </c:pt>
                <c:pt idx="15">
                  <c:v>477.77777777777777</c:v>
                </c:pt>
                <c:pt idx="16">
                  <c:v>339.62962962962962</c:v>
                </c:pt>
                <c:pt idx="18">
                  <c:v>325.18518518518516</c:v>
                </c:pt>
                <c:pt idx="19">
                  <c:v>319.25925925925924</c:v>
                </c:pt>
                <c:pt idx="20">
                  <c:v>429.62962962962962</c:v>
                </c:pt>
                <c:pt idx="22">
                  <c:v>360.74074074074076</c:v>
                </c:pt>
                <c:pt idx="25">
                  <c:v>330.74074074074076</c:v>
                </c:pt>
                <c:pt idx="27">
                  <c:v>345.18518518518516</c:v>
                </c:pt>
                <c:pt idx="29">
                  <c:v>437.03703703703701</c:v>
                </c:pt>
                <c:pt idx="31">
                  <c:v>306.2962962962963</c:v>
                </c:pt>
                <c:pt idx="33">
                  <c:v>280.37037037037038</c:v>
                </c:pt>
                <c:pt idx="35">
                  <c:v>320.74074074074076</c:v>
                </c:pt>
                <c:pt idx="36">
                  <c:v>374.07407407407408</c:v>
                </c:pt>
                <c:pt idx="37">
                  <c:v>366</c:v>
                </c:pt>
                <c:pt idx="39">
                  <c:v>277</c:v>
                </c:pt>
                <c:pt idx="40">
                  <c:v>357</c:v>
                </c:pt>
                <c:pt idx="41">
                  <c:v>432</c:v>
                </c:pt>
                <c:pt idx="42">
                  <c:v>374</c:v>
                </c:pt>
                <c:pt idx="44">
                  <c:v>348</c:v>
                </c:pt>
                <c:pt idx="45">
                  <c:v>379</c:v>
                </c:pt>
                <c:pt idx="46">
                  <c:v>479</c:v>
                </c:pt>
                <c:pt idx="47">
                  <c:v>325</c:v>
                </c:pt>
                <c:pt idx="48">
                  <c:v>351</c:v>
                </c:pt>
                <c:pt idx="49">
                  <c:v>378</c:v>
                </c:pt>
                <c:pt idx="50">
                  <c:v>447</c:v>
                </c:pt>
                <c:pt idx="51">
                  <c:v>362</c:v>
                </c:pt>
                <c:pt idx="52">
                  <c:v>340</c:v>
                </c:pt>
                <c:pt idx="53">
                  <c:v>370</c:v>
                </c:pt>
                <c:pt idx="54">
                  <c:v>446</c:v>
                </c:pt>
                <c:pt idx="55">
                  <c:v>429</c:v>
                </c:pt>
                <c:pt idx="56">
                  <c:v>332</c:v>
                </c:pt>
                <c:pt idx="57">
                  <c:v>374</c:v>
                </c:pt>
                <c:pt idx="58">
                  <c:v>468</c:v>
                </c:pt>
                <c:pt idx="59">
                  <c:v>260</c:v>
                </c:pt>
                <c:pt idx="60">
                  <c:v>290</c:v>
                </c:pt>
                <c:pt idx="61">
                  <c:v>310</c:v>
                </c:pt>
                <c:pt idx="62">
                  <c:v>400</c:v>
                </c:pt>
                <c:pt idx="63">
                  <c:v>324</c:v>
                </c:pt>
                <c:pt idx="64">
                  <c:v>281</c:v>
                </c:pt>
                <c:pt idx="65">
                  <c:v>281</c:v>
                </c:pt>
                <c:pt idx="66">
                  <c:v>394</c:v>
                </c:pt>
                <c:pt idx="67">
                  <c:v>336</c:v>
                </c:pt>
                <c:pt idx="68">
                  <c:v>378</c:v>
                </c:pt>
                <c:pt idx="69">
                  <c:v>316</c:v>
                </c:pt>
                <c:pt idx="70">
                  <c:v>407</c:v>
                </c:pt>
                <c:pt idx="71">
                  <c:v>337</c:v>
                </c:pt>
                <c:pt idx="72">
                  <c:v>320</c:v>
                </c:pt>
                <c:pt idx="73">
                  <c:v>360</c:v>
                </c:pt>
                <c:pt idx="74">
                  <c:v>414</c:v>
                </c:pt>
                <c:pt idx="75">
                  <c:v>337</c:v>
                </c:pt>
                <c:pt idx="76">
                  <c:v>247</c:v>
                </c:pt>
                <c:pt idx="77">
                  <c:v>289</c:v>
                </c:pt>
                <c:pt idx="78">
                  <c:v>400</c:v>
                </c:pt>
                <c:pt idx="79">
                  <c:v>266</c:v>
                </c:pt>
                <c:pt idx="80">
                  <c:v>321</c:v>
                </c:pt>
                <c:pt idx="81">
                  <c:v>290</c:v>
                </c:pt>
                <c:pt idx="82">
                  <c:v>398</c:v>
                </c:pt>
                <c:pt idx="83">
                  <c:v>309</c:v>
                </c:pt>
                <c:pt idx="84">
                  <c:v>307</c:v>
                </c:pt>
                <c:pt idx="85">
                  <c:v>330</c:v>
                </c:pt>
                <c:pt idx="86">
                  <c:v>439</c:v>
                </c:pt>
                <c:pt idx="87">
                  <c:v>286</c:v>
                </c:pt>
                <c:pt idx="88">
                  <c:v>282</c:v>
                </c:pt>
                <c:pt idx="89">
                  <c:v>304</c:v>
                </c:pt>
                <c:pt idx="90">
                  <c:v>325</c:v>
                </c:pt>
                <c:pt idx="91">
                  <c:v>324</c:v>
                </c:pt>
                <c:pt idx="92">
                  <c:v>300</c:v>
                </c:pt>
                <c:pt idx="93">
                  <c:v>342</c:v>
                </c:pt>
                <c:pt idx="94">
                  <c:v>445</c:v>
                </c:pt>
                <c:pt idx="95">
                  <c:v>388</c:v>
                </c:pt>
                <c:pt idx="96">
                  <c:v>298</c:v>
                </c:pt>
                <c:pt idx="97">
                  <c:v>372</c:v>
                </c:pt>
                <c:pt idx="98">
                  <c:v>430</c:v>
                </c:pt>
                <c:pt idx="99">
                  <c:v>330</c:v>
                </c:pt>
                <c:pt idx="100">
                  <c:v>293</c:v>
                </c:pt>
                <c:pt idx="101">
                  <c:v>313</c:v>
                </c:pt>
                <c:pt idx="102">
                  <c:v>468</c:v>
                </c:pt>
                <c:pt idx="103">
                  <c:v>410</c:v>
                </c:pt>
                <c:pt idx="104">
                  <c:v>273</c:v>
                </c:pt>
                <c:pt idx="105">
                  <c:v>360</c:v>
                </c:pt>
                <c:pt idx="106">
                  <c:v>447</c:v>
                </c:pt>
                <c:pt idx="107">
                  <c:v>358</c:v>
                </c:pt>
                <c:pt idx="108">
                  <c:v>340</c:v>
                </c:pt>
                <c:pt idx="109">
                  <c:v>356</c:v>
                </c:pt>
                <c:pt idx="110">
                  <c:v>405</c:v>
                </c:pt>
                <c:pt idx="111">
                  <c:v>337</c:v>
                </c:pt>
                <c:pt idx="112">
                  <c:v>343</c:v>
                </c:pt>
                <c:pt idx="113">
                  <c:v>378</c:v>
                </c:pt>
                <c:pt idx="114">
                  <c:v>417</c:v>
                </c:pt>
                <c:pt idx="115">
                  <c:v>316</c:v>
                </c:pt>
                <c:pt idx="116">
                  <c:v>208</c:v>
                </c:pt>
                <c:pt idx="117">
                  <c:v>309</c:v>
                </c:pt>
                <c:pt idx="118">
                  <c:v>447</c:v>
                </c:pt>
                <c:pt idx="119">
                  <c:v>372</c:v>
                </c:pt>
                <c:pt idx="135" formatCode="0">
                  <c:v>267</c:v>
                </c:pt>
                <c:pt idx="136" formatCode="0">
                  <c:v>410</c:v>
                </c:pt>
                <c:pt idx="137" formatCode="0">
                  <c:v>468</c:v>
                </c:pt>
                <c:pt idx="138" formatCode="0">
                  <c:v>330</c:v>
                </c:pt>
                <c:pt idx="139" formatCode="0">
                  <c:v>287</c:v>
                </c:pt>
                <c:pt idx="140" formatCode="0">
                  <c:v>375</c:v>
                </c:pt>
                <c:pt idx="141" formatCode="0">
                  <c:v>409</c:v>
                </c:pt>
                <c:pt idx="142" formatCode="0">
                  <c:v>339</c:v>
                </c:pt>
                <c:pt idx="143" formatCode="0">
                  <c:v>288</c:v>
                </c:pt>
                <c:pt idx="145" formatCode="0">
                  <c:v>322</c:v>
                </c:pt>
                <c:pt idx="148" formatCode="0">
                  <c:v>291</c:v>
                </c:pt>
                <c:pt idx="149" formatCode="0">
                  <c:v>242</c:v>
                </c:pt>
                <c:pt idx="150" formatCode="0">
                  <c:v>365</c:v>
                </c:pt>
                <c:pt idx="151" formatCode="0">
                  <c:v>448</c:v>
                </c:pt>
                <c:pt idx="152" formatCode="0">
                  <c:v>369</c:v>
                </c:pt>
                <c:pt idx="153" formatCode="0">
                  <c:v>268</c:v>
                </c:pt>
                <c:pt idx="154" formatCode="0">
                  <c:v>418</c:v>
                </c:pt>
                <c:pt idx="155" formatCode="0">
                  <c:v>456</c:v>
                </c:pt>
                <c:pt idx="156" formatCode="0">
                  <c:v>365</c:v>
                </c:pt>
                <c:pt idx="157" formatCode="0">
                  <c:v>310</c:v>
                </c:pt>
                <c:pt idx="158" formatCode="0">
                  <c:v>443</c:v>
                </c:pt>
                <c:pt idx="159" formatCode="0">
                  <c:v>412</c:v>
                </c:pt>
                <c:pt idx="160" formatCode="0">
                  <c:v>302</c:v>
                </c:pt>
                <c:pt idx="161" formatCode="0">
                  <c:v>289</c:v>
                </c:pt>
                <c:pt idx="162" formatCode="0">
                  <c:v>404</c:v>
                </c:pt>
                <c:pt idx="163" formatCode="0">
                  <c:v>446</c:v>
                </c:pt>
                <c:pt idx="164" formatCode="0">
                  <c:v>299</c:v>
                </c:pt>
                <c:pt idx="165" formatCode="0">
                  <c:v>311</c:v>
                </c:pt>
                <c:pt idx="166" formatCode="0">
                  <c:v>412</c:v>
                </c:pt>
                <c:pt idx="167" formatCode="0">
                  <c:v>424</c:v>
                </c:pt>
                <c:pt idx="168" formatCode="0">
                  <c:v>307</c:v>
                </c:pt>
                <c:pt idx="169" formatCode="0">
                  <c:v>296</c:v>
                </c:pt>
                <c:pt idx="170" formatCode="0">
                  <c:v>429</c:v>
                </c:pt>
                <c:pt idx="171" formatCode="0">
                  <c:v>366</c:v>
                </c:pt>
                <c:pt idx="172" formatCode="0">
                  <c:v>394</c:v>
                </c:pt>
                <c:pt idx="173" formatCode="0">
                  <c:v>354</c:v>
                </c:pt>
              </c:numCache>
            </c:numRef>
          </c:val>
          <c:smooth val="0"/>
        </c:ser>
        <c:ser>
          <c:idx val="0"/>
          <c:order val="1"/>
          <c:tx>
            <c:strRef>
              <c:f>あらめ!$W$196</c:f>
              <c:strCache>
                <c:ptCount val="1"/>
                <c:pt idx="0">
                  <c:v>Be-7</c:v>
                </c:pt>
              </c:strCache>
            </c:strRef>
          </c:tx>
          <c:spPr>
            <a:ln w="0">
              <a:solidFill>
                <a:srgbClr val="0066FF"/>
              </a:solidFill>
              <a:prstDash val="sysDash"/>
            </a:ln>
          </c:spPr>
          <c:marker>
            <c:symbol val="circle"/>
            <c:size val="5"/>
            <c:spPr>
              <a:solidFill>
                <a:srgbClr val="FFFFFF"/>
              </a:solidFill>
              <a:ln>
                <a:solidFill>
                  <a:srgbClr val="0066FF"/>
                </a:solidFill>
                <a:prstDash val="solid"/>
              </a:ln>
            </c:spPr>
          </c:marker>
          <c:cat>
            <c:numRef>
              <c:f>あらめ!$V$197:$V$383</c:f>
              <c:numCache>
                <c:formatCode>0.000000000000000000000000000000E+00</c:formatCode>
                <c:ptCount val="187"/>
                <c:pt idx="5" formatCode="[$-411]m\.d\.ge">
                  <c:v>30252</c:v>
                </c:pt>
                <c:pt idx="7" formatCode="[$-411]m\.d\.ge">
                  <c:v>30340</c:v>
                </c:pt>
                <c:pt idx="8" formatCode="[$-411]m\.d\.ge">
                  <c:v>30607</c:v>
                </c:pt>
                <c:pt idx="10" formatCode="[$-411]m\.d\.ge">
                  <c:v>30694</c:v>
                </c:pt>
                <c:pt idx="11" formatCode="[$-411]m\.d\.ge">
                  <c:v>30799</c:v>
                </c:pt>
                <c:pt idx="12" formatCode="[$-411]m\.d\.ge">
                  <c:v>30866</c:v>
                </c:pt>
                <c:pt idx="13" formatCode="[$-411]m\.d\.ge">
                  <c:v>30959</c:v>
                </c:pt>
                <c:pt idx="15" formatCode="[$-411]m\.d\.ge">
                  <c:v>31061</c:v>
                </c:pt>
                <c:pt idx="16" formatCode="[$-411]m\.d\.ge">
                  <c:v>31156</c:v>
                </c:pt>
                <c:pt idx="18" formatCode="[$-411]m\.d\.ge">
                  <c:v>31237</c:v>
                </c:pt>
                <c:pt idx="19" formatCode="[$-411]m\.d\.ge">
                  <c:v>31332</c:v>
                </c:pt>
                <c:pt idx="20" formatCode="[$-411]m\.d\.ge">
                  <c:v>31442</c:v>
                </c:pt>
                <c:pt idx="22" formatCode="[$-411]m\.d\.ge">
                  <c:v>31517</c:v>
                </c:pt>
                <c:pt idx="24" formatCode="[$-411]m\.d\.ge">
                  <c:v>31528</c:v>
                </c:pt>
                <c:pt idx="25" formatCode="[$-411]m\.d\.ge">
                  <c:v>31604</c:v>
                </c:pt>
                <c:pt idx="27" formatCode="[$-411]m\.d\.ge">
                  <c:v>31709</c:v>
                </c:pt>
                <c:pt idx="29" formatCode="[$-411]m\.d\.ge">
                  <c:v>31798</c:v>
                </c:pt>
                <c:pt idx="31" formatCode="[$-411]m\.d\.ge">
                  <c:v>31873</c:v>
                </c:pt>
                <c:pt idx="33" formatCode="[$-411]m\.d\.ge">
                  <c:v>31972</c:v>
                </c:pt>
                <c:pt idx="35" formatCode="[$-411]m\.d\.ge">
                  <c:v>32074</c:v>
                </c:pt>
                <c:pt idx="36" formatCode="[$-411]m\.d\.ge">
                  <c:v>32161</c:v>
                </c:pt>
                <c:pt idx="37" formatCode="[$-411]m\.d\.ge">
                  <c:v>32247</c:v>
                </c:pt>
                <c:pt idx="39" formatCode="[$-411]m\.d\.ge">
                  <c:v>32344</c:v>
                </c:pt>
                <c:pt idx="40" formatCode="[$-411]m\.d\.ge">
                  <c:v>32441</c:v>
                </c:pt>
                <c:pt idx="41" formatCode="[$-411]m\.d\.ge">
                  <c:v>32525</c:v>
                </c:pt>
                <c:pt idx="42" formatCode="[$-411]m\.d\.ge">
                  <c:v>32616</c:v>
                </c:pt>
                <c:pt idx="44" formatCode="[$-411]m\.d\.ge">
                  <c:v>32708</c:v>
                </c:pt>
                <c:pt idx="45" formatCode="[$-411]m\.d\.ge">
                  <c:v>32805</c:v>
                </c:pt>
                <c:pt idx="46" formatCode="[$-411]m\.d\.ge">
                  <c:v>32883</c:v>
                </c:pt>
                <c:pt idx="47" formatCode="[$-411]m\.d\.ge">
                  <c:v>33000</c:v>
                </c:pt>
                <c:pt idx="48" formatCode="[$-411]m\.d\.ge">
                  <c:v>33059</c:v>
                </c:pt>
                <c:pt idx="49" formatCode="[$-411]m\.d\.ge">
                  <c:v>33177</c:v>
                </c:pt>
                <c:pt idx="50" formatCode="[$-411]m\.d\.ge">
                  <c:v>33259</c:v>
                </c:pt>
                <c:pt idx="51" formatCode="[$-411]m\.d\.ge">
                  <c:v>33350</c:v>
                </c:pt>
                <c:pt idx="52" formatCode="[$-411]m\.d\.ge">
                  <c:v>33430</c:v>
                </c:pt>
                <c:pt idx="53" formatCode="[$-411]m\.d\.ge">
                  <c:v>33532</c:v>
                </c:pt>
                <c:pt idx="54" formatCode="[$-411]m\.d\.ge">
                  <c:v>33625</c:v>
                </c:pt>
                <c:pt idx="55" formatCode="[$-411]m\.d\.ge">
                  <c:v>33716</c:v>
                </c:pt>
                <c:pt idx="56" formatCode="[$-411]m\.d\.ge">
                  <c:v>33791</c:v>
                </c:pt>
                <c:pt idx="57" formatCode="[$-411]m\.d\.ge">
                  <c:v>33906</c:v>
                </c:pt>
                <c:pt idx="58" formatCode="[$-411]m\.d\.ge">
                  <c:v>34001</c:v>
                </c:pt>
                <c:pt idx="59" formatCode="[$-411]m\.d\.ge">
                  <c:v>34085</c:v>
                </c:pt>
                <c:pt idx="60" formatCode="[$-411]m\.d\.ge">
                  <c:v>34156</c:v>
                </c:pt>
                <c:pt idx="61" formatCode="[$-411]m\.d\.ge">
                  <c:v>34248</c:v>
                </c:pt>
                <c:pt idx="62" formatCode="[$-411]m\.d\.ge">
                  <c:v>34372</c:v>
                </c:pt>
                <c:pt idx="63" formatCode="[$-411]m\.d\.ge">
                  <c:v>34445</c:v>
                </c:pt>
                <c:pt idx="64" formatCode="[$-411]m\.d\.ge">
                  <c:v>34541</c:v>
                </c:pt>
                <c:pt idx="65" formatCode="[$-411]m\.d\.ge">
                  <c:v>34618</c:v>
                </c:pt>
                <c:pt idx="66" formatCode="[$-411]m\.d\.ge">
                  <c:v>34737</c:v>
                </c:pt>
                <c:pt idx="67" formatCode="[$-411]m\.d\.ge">
                  <c:v>34810</c:v>
                </c:pt>
                <c:pt idx="68" formatCode="[$-411]m\.d\.ge">
                  <c:v>34905</c:v>
                </c:pt>
                <c:pt idx="69" formatCode="[$-411]m\.d\.ge">
                  <c:v>34990</c:v>
                </c:pt>
                <c:pt idx="70" formatCode="[$-411]m\.d\.ge">
                  <c:v>35086</c:v>
                </c:pt>
                <c:pt idx="71" formatCode="[$-411]m\.d\.ge">
                  <c:v>35179</c:v>
                </c:pt>
                <c:pt idx="72" formatCode="[$-411]m\.d\.ge">
                  <c:v>35277</c:v>
                </c:pt>
                <c:pt idx="73" formatCode="[$-411]m\.d\.ge">
                  <c:v>35352</c:v>
                </c:pt>
                <c:pt idx="74" formatCode="[$-411]m\.d\.ge">
                  <c:v>35492</c:v>
                </c:pt>
                <c:pt idx="75" formatCode="[$-411]m\.d\.ge">
                  <c:v>35535</c:v>
                </c:pt>
                <c:pt idx="76" formatCode="[$-411]m\.d\.ge">
                  <c:v>35626</c:v>
                </c:pt>
                <c:pt idx="77" formatCode="[$-411]m\.d\.ge">
                  <c:v>35717</c:v>
                </c:pt>
                <c:pt idx="78" formatCode="[$-411]m\.d\.ge">
                  <c:v>35822</c:v>
                </c:pt>
                <c:pt idx="79" formatCode="[$-411]m\.d\.ge">
                  <c:v>35926</c:v>
                </c:pt>
                <c:pt idx="80" formatCode="[$-411]m\.d\.ge">
                  <c:v>36004</c:v>
                </c:pt>
                <c:pt idx="81" formatCode="[$-411]m\.d\.ge">
                  <c:v>36074</c:v>
                </c:pt>
                <c:pt idx="82" formatCode="[$-411]m\.d\.ge">
                  <c:v>36193</c:v>
                </c:pt>
                <c:pt idx="83" formatCode="[$-411]m\.d\.ge">
                  <c:v>36292</c:v>
                </c:pt>
                <c:pt idx="84" formatCode="[$-411]m\.d\.ge">
                  <c:v>36362</c:v>
                </c:pt>
                <c:pt idx="85" formatCode="[$-411]m\.d\.ge">
                  <c:v>36452</c:v>
                </c:pt>
                <c:pt idx="86" formatCode="[$-411]m\.d\.ge">
                  <c:v>36551</c:v>
                </c:pt>
                <c:pt idx="87" formatCode="[$-411]m\.d\.ge">
                  <c:v>36656</c:v>
                </c:pt>
                <c:pt idx="88" formatCode="[$-411]m\.d\.ge">
                  <c:v>36719</c:v>
                </c:pt>
                <c:pt idx="89" formatCode="[$-411]m\.d\.ge">
                  <c:v>36815</c:v>
                </c:pt>
                <c:pt idx="90" formatCode="[$-411]m\.d\.ge">
                  <c:v>36909</c:v>
                </c:pt>
                <c:pt idx="91" formatCode="[$-411]m\.d\.ge">
                  <c:v>37005</c:v>
                </c:pt>
                <c:pt idx="92" formatCode="[$-411]m\.d\.ge">
                  <c:v>37081</c:v>
                </c:pt>
                <c:pt idx="93" formatCode="[$-411]m\.d\.ge">
                  <c:v>37180</c:v>
                </c:pt>
                <c:pt idx="94" formatCode="[$-411]m\.d\.ge">
                  <c:v>37293</c:v>
                </c:pt>
                <c:pt idx="95" formatCode="[$-411]m\.d\.ge">
                  <c:v>37362</c:v>
                </c:pt>
                <c:pt idx="96" formatCode="[$-411]m\.d\.ge">
                  <c:v>37454</c:v>
                </c:pt>
                <c:pt idx="97" formatCode="[$-411]m\.d\.ge">
                  <c:v>37559</c:v>
                </c:pt>
                <c:pt idx="98" formatCode="[$-411]m\.d\.ge">
                  <c:v>37656</c:v>
                </c:pt>
                <c:pt idx="99" formatCode="[$-411]m\.d\.ge">
                  <c:v>37727</c:v>
                </c:pt>
                <c:pt idx="100" formatCode="[$-411]m\.d\.ge">
                  <c:v>37837</c:v>
                </c:pt>
                <c:pt idx="101" formatCode="[$-411]m\.d\.ge">
                  <c:v>37915</c:v>
                </c:pt>
                <c:pt idx="102" formatCode="[$-411]m\.d\.ge">
                  <c:v>38015</c:v>
                </c:pt>
                <c:pt idx="103" formatCode="[$-411]m\.d\.ge">
                  <c:v>38091</c:v>
                </c:pt>
                <c:pt idx="104" formatCode="[$-411]m\.d\.ge">
                  <c:v>38195</c:v>
                </c:pt>
                <c:pt idx="105" formatCode="[$-411]m\.d\.ge">
                  <c:v>38286</c:v>
                </c:pt>
                <c:pt idx="106" formatCode="[$-411]m\.d\.ge">
                  <c:v>38385</c:v>
                </c:pt>
                <c:pt idx="107" formatCode="[$-411]m\.d\.ge">
                  <c:v>38467</c:v>
                </c:pt>
                <c:pt idx="108" formatCode="[$-411]m\.d\.ge">
                  <c:v>38553</c:v>
                </c:pt>
                <c:pt idx="109" formatCode="[$-411]m\.d\.ge">
                  <c:v>38651</c:v>
                </c:pt>
                <c:pt idx="110" formatCode="[$-411]m\.d\.ge">
                  <c:v>38747</c:v>
                </c:pt>
                <c:pt idx="111" formatCode="[$-411]m\.d\.ge">
                  <c:v>38834</c:v>
                </c:pt>
                <c:pt idx="112" formatCode="[$-411]m\.d\.ge">
                  <c:v>38910</c:v>
                </c:pt>
                <c:pt idx="113" formatCode="[$-411]m\.d\.ge">
                  <c:v>39023</c:v>
                </c:pt>
                <c:pt idx="114" formatCode="[$-411]m\.d\.ge">
                  <c:v>39105</c:v>
                </c:pt>
                <c:pt idx="115" formatCode="[$-411]m\.d\.ge">
                  <c:v>39198</c:v>
                </c:pt>
                <c:pt idx="116" formatCode="[$-411]m\.d\.ge">
                  <c:v>39303</c:v>
                </c:pt>
                <c:pt idx="117" formatCode="[$-411]m\.d\.ge">
                  <c:v>39366</c:v>
                </c:pt>
                <c:pt idx="118" formatCode="[$-411]m\.d\.ge">
                  <c:v>39470</c:v>
                </c:pt>
                <c:pt idx="119" formatCode="[$-411]m\.d\.ge">
                  <c:v>39566</c:v>
                </c:pt>
                <c:pt idx="121" formatCode="0.E+00">
                  <c:v>3.8530217851091534E-308</c:v>
                </c:pt>
                <c:pt idx="122" formatCode="0.E+00">
                  <c:v>3.5370225297279948E-308</c:v>
                </c:pt>
                <c:pt idx="123" formatCode="0.E+00">
                  <c:v>3.2469394344345388E-308</c:v>
                </c:pt>
                <c:pt idx="124" formatCode="0.E+00">
                  <c:v>2.9806470279101202E-308</c:v>
                </c:pt>
                <c:pt idx="125" formatCode="0.E+00">
                  <c:v>2.7361941558776368E-308</c:v>
                </c:pt>
                <c:pt idx="126" formatCode="0.E+00">
                  <c:v>2.5117896847749598E-308</c:v>
                </c:pt>
                <c:pt idx="127" formatCode="0.E+00">
                  <c:v>2.305789377917244E-308</c:v>
                </c:pt>
                <c:pt idx="128" formatCode="0.E+00">
                  <c:v>0</c:v>
                </c:pt>
                <c:pt idx="129" formatCode="0.E+00">
                  <c:v>0</c:v>
                </c:pt>
                <c:pt idx="130" formatCode="0.E+00">
                  <c:v>0</c:v>
                </c:pt>
                <c:pt idx="135" formatCode="[$-411]m\.d\.ge">
                  <c:v>39701</c:v>
                </c:pt>
                <c:pt idx="136" formatCode="[$-411]m\.d\.ge">
                  <c:v>39783</c:v>
                </c:pt>
                <c:pt idx="137" formatCode="[$-411]m\.d\.ge">
                  <c:v>39853</c:v>
                </c:pt>
                <c:pt idx="138" formatCode="[$-411]m\.d\.ge">
                  <c:v>39953</c:v>
                </c:pt>
                <c:pt idx="139" formatCode="[$-411]m\.d\.ge">
                  <c:v>40046</c:v>
                </c:pt>
                <c:pt idx="140" formatCode="[$-411]m\.d\.ge">
                  <c:v>40127</c:v>
                </c:pt>
                <c:pt idx="141" formatCode="[$-411]m\.d\.ge">
                  <c:v>40218</c:v>
                </c:pt>
                <c:pt idx="142" formatCode="[$-411]m\.d\.ge">
                  <c:v>40315</c:v>
                </c:pt>
                <c:pt idx="143" formatCode="[$-411]m\.d\.ge">
                  <c:v>40400</c:v>
                </c:pt>
                <c:pt idx="144" formatCode="[$-411]m\.d\.ge">
                  <c:v>40493</c:v>
                </c:pt>
                <c:pt idx="145" formatCode="[$-411]m\.d\.ge">
                  <c:v>40581</c:v>
                </c:pt>
                <c:pt idx="146" formatCode="[$-411]m\.d\.ge">
                  <c:v>40612</c:v>
                </c:pt>
                <c:pt idx="147" formatCode="[$-411]m\.d\.ge">
                  <c:v>40613</c:v>
                </c:pt>
                <c:pt idx="148" formatCode="[$-411]m\.d\.ge">
                  <c:v>40737</c:v>
                </c:pt>
                <c:pt idx="149" formatCode="[$-411]m\.d\.ge">
                  <c:v>40784</c:v>
                </c:pt>
                <c:pt idx="150" formatCode="[$-411]m\.d\.ge">
                  <c:v>40858</c:v>
                </c:pt>
                <c:pt idx="151" formatCode="[$-411]m\.d\.ge">
                  <c:v>40948</c:v>
                </c:pt>
                <c:pt idx="152" formatCode="[$-411]m\.d\.ge">
                  <c:v>41044</c:v>
                </c:pt>
                <c:pt idx="153" formatCode="[$-411]m\.d\.ge">
                  <c:v>41143</c:v>
                </c:pt>
                <c:pt idx="154" formatCode="[$-411]m\.d\.ge">
                  <c:v>41242</c:v>
                </c:pt>
                <c:pt idx="155" formatCode="[$-411]m\.d\.ge">
                  <c:v>41331</c:v>
                </c:pt>
                <c:pt idx="156" formatCode="[$-411]m\.d\.ge">
                  <c:v>41409</c:v>
                </c:pt>
                <c:pt idx="157" formatCode="[$-411]m\.d\.ge">
                  <c:v>41507</c:v>
                </c:pt>
                <c:pt idx="158" formatCode="[$-411]m\.d\.ge">
                  <c:v>41603</c:v>
                </c:pt>
                <c:pt idx="159" formatCode="[$-411]m\.d\.ge">
                  <c:v>41694</c:v>
                </c:pt>
                <c:pt idx="160" formatCode="[$-411]m\.d\.ge">
                  <c:v>41779</c:v>
                </c:pt>
                <c:pt idx="161" formatCode="[$-411]m\.d\.ge">
                  <c:v>41871</c:v>
                </c:pt>
                <c:pt idx="162" formatCode="[$-411]m\.d\.ge">
                  <c:v>41954</c:v>
                </c:pt>
                <c:pt idx="163" formatCode="[$-411]m\.d\.ge">
                  <c:v>42069</c:v>
                </c:pt>
                <c:pt idx="164" formatCode="[$-411]m\.d\.ge">
                  <c:v>42146</c:v>
                </c:pt>
                <c:pt idx="165" formatCode="[$-411]m\.d\.ge">
                  <c:v>42275</c:v>
                </c:pt>
                <c:pt idx="166" formatCode="[$-411]m\.d\.ge">
                  <c:v>42348</c:v>
                </c:pt>
                <c:pt idx="167" formatCode="[$-411]m\.d\.ge">
                  <c:v>42409</c:v>
                </c:pt>
                <c:pt idx="168" formatCode="[$-411]m\.d\.ge">
                  <c:v>42500</c:v>
                </c:pt>
                <c:pt idx="169" formatCode="[$-411]m\.d\.ge">
                  <c:v>42586</c:v>
                </c:pt>
                <c:pt idx="170" formatCode="[$-411]m\.d\.ge">
                  <c:v>42712</c:v>
                </c:pt>
                <c:pt idx="171" formatCode="[$-411]m\.d\.ge">
                  <c:v>42794</c:v>
                </c:pt>
                <c:pt idx="172" formatCode="[$-411]m\.d\.ge">
                  <c:v>42895</c:v>
                </c:pt>
                <c:pt idx="173" formatCode="[$-411]m\.d\.ge">
                  <c:v>43054</c:v>
                </c:pt>
              </c:numCache>
            </c:numRef>
          </c:cat>
          <c:val>
            <c:numRef>
              <c:f>あらめ!$W$197:$W$383</c:f>
              <c:numCache>
                <c:formatCode>0.00</c:formatCode>
                <c:ptCount val="187"/>
                <c:pt idx="8" formatCode="0.000">
                  <c:v>0.17499999999999999</c:v>
                </c:pt>
                <c:pt idx="10" formatCode="0.000">
                  <c:v>0.17499999999999999</c:v>
                </c:pt>
                <c:pt idx="11" formatCode="0.000">
                  <c:v>0.17499999999999999</c:v>
                </c:pt>
                <c:pt idx="12" formatCode="0.000">
                  <c:v>0.17499999999999999</c:v>
                </c:pt>
                <c:pt idx="13" formatCode="0.000">
                  <c:v>0.17499999999999999</c:v>
                </c:pt>
                <c:pt idx="15" formatCode="0.000">
                  <c:v>0.17499999999999999</c:v>
                </c:pt>
                <c:pt idx="16" formatCode="0.000">
                  <c:v>0.17499999999999999</c:v>
                </c:pt>
                <c:pt idx="18" formatCode="&quot;(&quot;0.00&quot;)&quot;">
                  <c:v>0.81481481481481477</c:v>
                </c:pt>
                <c:pt idx="19" formatCode="&quot;(&quot;0.00&quot;)&quot;">
                  <c:v>0.92592592592592593</c:v>
                </c:pt>
                <c:pt idx="20" formatCode="0.000">
                  <c:v>0.17499999999999999</c:v>
                </c:pt>
                <c:pt idx="22" formatCode="0.000">
                  <c:v>0.17499999999999999</c:v>
                </c:pt>
                <c:pt idx="25">
                  <c:v>1.0740740740740742</c:v>
                </c:pt>
                <c:pt idx="27" formatCode="&quot;(&quot;0.00&quot;)&quot;">
                  <c:v>0.77777777777777779</c:v>
                </c:pt>
                <c:pt idx="29" formatCode="0.000">
                  <c:v>0.17499999999999999</c:v>
                </c:pt>
                <c:pt idx="31" formatCode="&quot;(&quot;0.00&quot;)&quot;">
                  <c:v>0.70370370370370372</c:v>
                </c:pt>
                <c:pt idx="33">
                  <c:v>0.62962962962962965</c:v>
                </c:pt>
                <c:pt idx="35" formatCode="0.000">
                  <c:v>0.17499999999999999</c:v>
                </c:pt>
                <c:pt idx="36" formatCode="0.000">
                  <c:v>0.17499999999999999</c:v>
                </c:pt>
                <c:pt idx="37" formatCode="0.000">
                  <c:v>0.17499999999999999</c:v>
                </c:pt>
                <c:pt idx="39" formatCode="&quot;(&quot;0.00&quot;)&quot;">
                  <c:v>0.61</c:v>
                </c:pt>
                <c:pt idx="40" formatCode="&quot;(&quot;0.00&quot;)&quot;">
                  <c:v>0.87</c:v>
                </c:pt>
                <c:pt idx="41">
                  <c:v>0.98</c:v>
                </c:pt>
                <c:pt idx="42">
                  <c:v>1.4</c:v>
                </c:pt>
                <c:pt idx="44" formatCode="0.000">
                  <c:v>0.17499999999999999</c:v>
                </c:pt>
                <c:pt idx="45">
                  <c:v>1.5</c:v>
                </c:pt>
                <c:pt idx="46" formatCode="0.000">
                  <c:v>0.17499999999999999</c:v>
                </c:pt>
                <c:pt idx="47" formatCode="0.000">
                  <c:v>0.17499999999999999</c:v>
                </c:pt>
                <c:pt idx="48" formatCode="0.000">
                  <c:v>0.17499999999999999</c:v>
                </c:pt>
                <c:pt idx="49" formatCode="0.000">
                  <c:v>0.17499999999999999</c:v>
                </c:pt>
                <c:pt idx="50" formatCode="0.000">
                  <c:v>0.17499999999999999</c:v>
                </c:pt>
                <c:pt idx="51" formatCode="&quot;(&quot;0.00&quot;)&quot;">
                  <c:v>1.4</c:v>
                </c:pt>
                <c:pt idx="52" formatCode="0.000">
                  <c:v>0.17499999999999999</c:v>
                </c:pt>
                <c:pt idx="53">
                  <c:v>2</c:v>
                </c:pt>
                <c:pt idx="54" formatCode="0.000">
                  <c:v>0.17499999999999999</c:v>
                </c:pt>
                <c:pt idx="55" formatCode="0.000">
                  <c:v>0.17499999999999999</c:v>
                </c:pt>
                <c:pt idx="56">
                  <c:v>0.94</c:v>
                </c:pt>
                <c:pt idx="57" formatCode="0.000">
                  <c:v>0.17499999999999999</c:v>
                </c:pt>
                <c:pt idx="58" formatCode="0.000">
                  <c:v>0.17499999999999999</c:v>
                </c:pt>
                <c:pt idx="59" formatCode="0.000">
                  <c:v>0.17499999999999999</c:v>
                </c:pt>
                <c:pt idx="60" formatCode="0.000">
                  <c:v>0.17499999999999999</c:v>
                </c:pt>
                <c:pt idx="61">
                  <c:v>0.85</c:v>
                </c:pt>
                <c:pt idx="62" formatCode="0.000">
                  <c:v>0.17499999999999999</c:v>
                </c:pt>
                <c:pt idx="63" formatCode="0.000">
                  <c:v>0.17499999999999999</c:v>
                </c:pt>
                <c:pt idx="64">
                  <c:v>0.46</c:v>
                </c:pt>
                <c:pt idx="65">
                  <c:v>1.2</c:v>
                </c:pt>
                <c:pt idx="66" formatCode="0.000">
                  <c:v>0.17499999999999999</c:v>
                </c:pt>
                <c:pt idx="67">
                  <c:v>0.52</c:v>
                </c:pt>
                <c:pt idx="68">
                  <c:v>0.46</c:v>
                </c:pt>
                <c:pt idx="69">
                  <c:v>1.7</c:v>
                </c:pt>
                <c:pt idx="70" formatCode="0.000">
                  <c:v>0.17499999999999999</c:v>
                </c:pt>
                <c:pt idx="71" formatCode="0.000">
                  <c:v>0.17499999999999999</c:v>
                </c:pt>
                <c:pt idx="72">
                  <c:v>0.74</c:v>
                </c:pt>
                <c:pt idx="73">
                  <c:v>0.71</c:v>
                </c:pt>
                <c:pt idx="74" formatCode="0.000">
                  <c:v>0.17499999999999999</c:v>
                </c:pt>
                <c:pt idx="75">
                  <c:v>0.6</c:v>
                </c:pt>
                <c:pt idx="76">
                  <c:v>0.6</c:v>
                </c:pt>
                <c:pt idx="77">
                  <c:v>1.7</c:v>
                </c:pt>
                <c:pt idx="78">
                  <c:v>0.46</c:v>
                </c:pt>
                <c:pt idx="79">
                  <c:v>0.48</c:v>
                </c:pt>
                <c:pt idx="80" formatCode="&quot;(&quot;0.00&quot;)&quot;">
                  <c:v>0.38</c:v>
                </c:pt>
                <c:pt idx="81">
                  <c:v>1.2</c:v>
                </c:pt>
                <c:pt idx="82" formatCode="0.000">
                  <c:v>0.17499999999999999</c:v>
                </c:pt>
                <c:pt idx="83">
                  <c:v>0.66</c:v>
                </c:pt>
                <c:pt idx="84" formatCode="0.00_);[Red]\(0.00\)">
                  <c:v>0.5</c:v>
                </c:pt>
                <c:pt idx="85">
                  <c:v>0.93</c:v>
                </c:pt>
                <c:pt idx="86" formatCode="0.000">
                  <c:v>0.17499999999999999</c:v>
                </c:pt>
                <c:pt idx="87">
                  <c:v>1.1000000000000001</c:v>
                </c:pt>
                <c:pt idx="88" formatCode="0.000">
                  <c:v>0.17499999999999999</c:v>
                </c:pt>
                <c:pt idx="89">
                  <c:v>0.75</c:v>
                </c:pt>
                <c:pt idx="90" formatCode="0.000">
                  <c:v>0.17499999999999999</c:v>
                </c:pt>
                <c:pt idx="91" formatCode="0.000">
                  <c:v>0.17499999999999999</c:v>
                </c:pt>
                <c:pt idx="92" formatCode="&quot;(&quot;0.00&quot;)&quot;">
                  <c:v>0.35</c:v>
                </c:pt>
                <c:pt idx="93">
                  <c:v>0.95</c:v>
                </c:pt>
                <c:pt idx="94" formatCode="0.000">
                  <c:v>0.17499999999999999</c:v>
                </c:pt>
                <c:pt idx="95" formatCode="0.000">
                  <c:v>0.17499999999999999</c:v>
                </c:pt>
                <c:pt idx="96" formatCode="&quot;(&quot;0.00&quot;)&quot;">
                  <c:v>0.61</c:v>
                </c:pt>
                <c:pt idx="97">
                  <c:v>1.1000000000000001</c:v>
                </c:pt>
                <c:pt idx="98" formatCode="0.000">
                  <c:v>0.17499999999999999</c:v>
                </c:pt>
                <c:pt idx="99" formatCode="0.000">
                  <c:v>0.17499999999999999</c:v>
                </c:pt>
                <c:pt idx="100" formatCode="0.000">
                  <c:v>0.17499999999999999</c:v>
                </c:pt>
                <c:pt idx="101" formatCode="&quot;(&quot;0.00&quot;)&quot;">
                  <c:v>0.56000000000000005</c:v>
                </c:pt>
                <c:pt idx="102" formatCode="0.000">
                  <c:v>0.17499999999999999</c:v>
                </c:pt>
                <c:pt idx="103" formatCode="0.000">
                  <c:v>0.17499999999999999</c:v>
                </c:pt>
                <c:pt idx="104" formatCode="0.000">
                  <c:v>0.17499999999999999</c:v>
                </c:pt>
                <c:pt idx="105">
                  <c:v>1.8</c:v>
                </c:pt>
                <c:pt idx="106" formatCode="0.000">
                  <c:v>0.17499999999999999</c:v>
                </c:pt>
                <c:pt idx="107" formatCode="0.000">
                  <c:v>0.17499999999999999</c:v>
                </c:pt>
                <c:pt idx="108" formatCode="0.000">
                  <c:v>0.17499999999999999</c:v>
                </c:pt>
                <c:pt idx="109">
                  <c:v>1.2</c:v>
                </c:pt>
                <c:pt idx="110" formatCode="0.000">
                  <c:v>0.17499999999999999</c:v>
                </c:pt>
                <c:pt idx="111" formatCode="0.000">
                  <c:v>0.17499999999999999</c:v>
                </c:pt>
                <c:pt idx="112">
                  <c:v>1.1000000000000001</c:v>
                </c:pt>
                <c:pt idx="113">
                  <c:v>0.56000000000000005</c:v>
                </c:pt>
                <c:pt idx="114" formatCode="0.000">
                  <c:v>0.17499999999999999</c:v>
                </c:pt>
                <c:pt idx="115">
                  <c:v>0.53</c:v>
                </c:pt>
                <c:pt idx="116">
                  <c:v>0.95</c:v>
                </c:pt>
                <c:pt idx="117">
                  <c:v>1.9</c:v>
                </c:pt>
                <c:pt idx="118">
                  <c:v>0.6</c:v>
                </c:pt>
                <c:pt idx="119" formatCode="0.000">
                  <c:v>0.17499999999999999</c:v>
                </c:pt>
                <c:pt idx="135" formatCode="General">
                  <c:v>0.66</c:v>
                </c:pt>
                <c:pt idx="136" formatCode="General">
                  <c:v>0.53</c:v>
                </c:pt>
                <c:pt idx="137" formatCode="0.000">
                  <c:v>0.17499999999999999</c:v>
                </c:pt>
                <c:pt idx="138" formatCode="0.000">
                  <c:v>0.17499999999999999</c:v>
                </c:pt>
                <c:pt idx="139" formatCode="General">
                  <c:v>0.89</c:v>
                </c:pt>
                <c:pt idx="140" formatCode="General">
                  <c:v>0.99</c:v>
                </c:pt>
                <c:pt idx="141" formatCode="&quot;(&quot;0.00&quot;)&quot;">
                  <c:v>0.46</c:v>
                </c:pt>
                <c:pt idx="142" formatCode="General">
                  <c:v>0.56000000000000005</c:v>
                </c:pt>
                <c:pt idx="143" formatCode="General">
                  <c:v>0.56000000000000005</c:v>
                </c:pt>
                <c:pt idx="145" formatCode="0.000">
                  <c:v>0.17499999999999999</c:v>
                </c:pt>
                <c:pt idx="148" formatCode="0.000">
                  <c:v>0.17499999999999999</c:v>
                </c:pt>
                <c:pt idx="149" formatCode="0.000">
                  <c:v>0.17499999999999999</c:v>
                </c:pt>
                <c:pt idx="150" formatCode="0.000">
                  <c:v>0.17499999999999999</c:v>
                </c:pt>
                <c:pt idx="151" formatCode="0.000">
                  <c:v>0.17499999999999999</c:v>
                </c:pt>
                <c:pt idx="152" formatCode="0.000">
                  <c:v>0.17499999999999999</c:v>
                </c:pt>
                <c:pt idx="153" formatCode="0.000">
                  <c:v>0.17499999999999999</c:v>
                </c:pt>
                <c:pt idx="154" formatCode="0.000">
                  <c:v>0.17499999999999999</c:v>
                </c:pt>
                <c:pt idx="155" formatCode="0.000">
                  <c:v>0.17499999999999999</c:v>
                </c:pt>
                <c:pt idx="156" formatCode="0.000">
                  <c:v>0.17499999999999999</c:v>
                </c:pt>
                <c:pt idx="157" formatCode="0.000">
                  <c:v>0.17499999999999999</c:v>
                </c:pt>
                <c:pt idx="158" formatCode="0.000">
                  <c:v>0.17499999999999999</c:v>
                </c:pt>
                <c:pt idx="159" formatCode="0.000">
                  <c:v>0.17499999999999999</c:v>
                </c:pt>
                <c:pt idx="160" formatCode="&quot;(&quot;0.00&quot;)&quot;">
                  <c:v>0.57999999999999996</c:v>
                </c:pt>
                <c:pt idx="161" formatCode="0.0">
                  <c:v>1.1000000000000001</c:v>
                </c:pt>
                <c:pt idx="162" formatCode="0.0">
                  <c:v>1.4</c:v>
                </c:pt>
                <c:pt idx="163" formatCode="0.000">
                  <c:v>0.17499999999999999</c:v>
                </c:pt>
                <c:pt idx="164" formatCode="&quot;(&quot;0.00&quot;)&quot;">
                  <c:v>0.56999999999999995</c:v>
                </c:pt>
                <c:pt idx="165" formatCode="0.0">
                  <c:v>2.4</c:v>
                </c:pt>
                <c:pt idx="166">
                  <c:v>0.63</c:v>
                </c:pt>
                <c:pt idx="167" formatCode="0.000">
                  <c:v>0.17499999999999999</c:v>
                </c:pt>
                <c:pt idx="168" formatCode="&quot;(&quot;0.00&quot;)&quot;">
                  <c:v>0.51</c:v>
                </c:pt>
                <c:pt idx="169">
                  <c:v>0.99</c:v>
                </c:pt>
                <c:pt idx="170">
                  <c:v>0.98</c:v>
                </c:pt>
                <c:pt idx="171" formatCode="0.000">
                  <c:v>0.17499999999999999</c:v>
                </c:pt>
                <c:pt idx="172">
                  <c:v>0.77</c:v>
                </c:pt>
                <c:pt idx="173" formatCode="0.0">
                  <c:v>2</c:v>
                </c:pt>
              </c:numCache>
            </c:numRef>
          </c:val>
          <c:smooth val="0"/>
        </c:ser>
        <c:ser>
          <c:idx val="2"/>
          <c:order val="2"/>
          <c:tx>
            <c:strRef>
              <c:f>あらめ!$Z$196</c:f>
              <c:strCache>
                <c:ptCount val="1"/>
                <c:pt idx="0">
                  <c:v>Cs-137</c:v>
                </c:pt>
              </c:strCache>
            </c:strRef>
          </c:tx>
          <c:spPr>
            <a:ln w="0" cmpd="sng">
              <a:solidFill>
                <a:srgbClr val="FF0000"/>
              </a:solidFill>
              <a:prstDash val="sysDash"/>
            </a:ln>
          </c:spPr>
          <c:marker>
            <c:symbol val="triangle"/>
            <c:size val="4"/>
            <c:spPr>
              <a:solidFill>
                <a:srgbClr val="FF0000"/>
              </a:solidFill>
              <a:ln>
                <a:solidFill>
                  <a:srgbClr val="FF0000"/>
                </a:solidFill>
                <a:prstDash val="solid"/>
              </a:ln>
            </c:spPr>
          </c:marker>
          <c:cat>
            <c:numRef>
              <c:f>あらめ!$V$197:$V$383</c:f>
              <c:numCache>
                <c:formatCode>0.000000000000000000000000000000E+00</c:formatCode>
                <c:ptCount val="187"/>
                <c:pt idx="5" formatCode="[$-411]m\.d\.ge">
                  <c:v>30252</c:v>
                </c:pt>
                <c:pt idx="7" formatCode="[$-411]m\.d\.ge">
                  <c:v>30340</c:v>
                </c:pt>
                <c:pt idx="8" formatCode="[$-411]m\.d\.ge">
                  <c:v>30607</c:v>
                </c:pt>
                <c:pt idx="10" formatCode="[$-411]m\.d\.ge">
                  <c:v>30694</c:v>
                </c:pt>
                <c:pt idx="11" formatCode="[$-411]m\.d\.ge">
                  <c:v>30799</c:v>
                </c:pt>
                <c:pt idx="12" formatCode="[$-411]m\.d\.ge">
                  <c:v>30866</c:v>
                </c:pt>
                <c:pt idx="13" formatCode="[$-411]m\.d\.ge">
                  <c:v>30959</c:v>
                </c:pt>
                <c:pt idx="15" formatCode="[$-411]m\.d\.ge">
                  <c:v>31061</c:v>
                </c:pt>
                <c:pt idx="16" formatCode="[$-411]m\.d\.ge">
                  <c:v>31156</c:v>
                </c:pt>
                <c:pt idx="18" formatCode="[$-411]m\.d\.ge">
                  <c:v>31237</c:v>
                </c:pt>
                <c:pt idx="19" formatCode="[$-411]m\.d\.ge">
                  <c:v>31332</c:v>
                </c:pt>
                <c:pt idx="20" formatCode="[$-411]m\.d\.ge">
                  <c:v>31442</c:v>
                </c:pt>
                <c:pt idx="22" formatCode="[$-411]m\.d\.ge">
                  <c:v>31517</c:v>
                </c:pt>
                <c:pt idx="24" formatCode="[$-411]m\.d\.ge">
                  <c:v>31528</c:v>
                </c:pt>
                <c:pt idx="25" formatCode="[$-411]m\.d\.ge">
                  <c:v>31604</c:v>
                </c:pt>
                <c:pt idx="27" formatCode="[$-411]m\.d\.ge">
                  <c:v>31709</c:v>
                </c:pt>
                <c:pt idx="29" formatCode="[$-411]m\.d\.ge">
                  <c:v>31798</c:v>
                </c:pt>
                <c:pt idx="31" formatCode="[$-411]m\.d\.ge">
                  <c:v>31873</c:v>
                </c:pt>
                <c:pt idx="33" formatCode="[$-411]m\.d\.ge">
                  <c:v>31972</c:v>
                </c:pt>
                <c:pt idx="35" formatCode="[$-411]m\.d\.ge">
                  <c:v>32074</c:v>
                </c:pt>
                <c:pt idx="36" formatCode="[$-411]m\.d\.ge">
                  <c:v>32161</c:v>
                </c:pt>
                <c:pt idx="37" formatCode="[$-411]m\.d\.ge">
                  <c:v>32247</c:v>
                </c:pt>
                <c:pt idx="39" formatCode="[$-411]m\.d\.ge">
                  <c:v>32344</c:v>
                </c:pt>
                <c:pt idx="40" formatCode="[$-411]m\.d\.ge">
                  <c:v>32441</c:v>
                </c:pt>
                <c:pt idx="41" formatCode="[$-411]m\.d\.ge">
                  <c:v>32525</c:v>
                </c:pt>
                <c:pt idx="42" formatCode="[$-411]m\.d\.ge">
                  <c:v>32616</c:v>
                </c:pt>
                <c:pt idx="44" formatCode="[$-411]m\.d\.ge">
                  <c:v>32708</c:v>
                </c:pt>
                <c:pt idx="45" formatCode="[$-411]m\.d\.ge">
                  <c:v>32805</c:v>
                </c:pt>
                <c:pt idx="46" formatCode="[$-411]m\.d\.ge">
                  <c:v>32883</c:v>
                </c:pt>
                <c:pt idx="47" formatCode="[$-411]m\.d\.ge">
                  <c:v>33000</c:v>
                </c:pt>
                <c:pt idx="48" formatCode="[$-411]m\.d\.ge">
                  <c:v>33059</c:v>
                </c:pt>
                <c:pt idx="49" formatCode="[$-411]m\.d\.ge">
                  <c:v>33177</c:v>
                </c:pt>
                <c:pt idx="50" formatCode="[$-411]m\.d\.ge">
                  <c:v>33259</c:v>
                </c:pt>
                <c:pt idx="51" formatCode="[$-411]m\.d\.ge">
                  <c:v>33350</c:v>
                </c:pt>
                <c:pt idx="52" formatCode="[$-411]m\.d\.ge">
                  <c:v>33430</c:v>
                </c:pt>
                <c:pt idx="53" formatCode="[$-411]m\.d\.ge">
                  <c:v>33532</c:v>
                </c:pt>
                <c:pt idx="54" formatCode="[$-411]m\.d\.ge">
                  <c:v>33625</c:v>
                </c:pt>
                <c:pt idx="55" formatCode="[$-411]m\.d\.ge">
                  <c:v>33716</c:v>
                </c:pt>
                <c:pt idx="56" formatCode="[$-411]m\.d\.ge">
                  <c:v>33791</c:v>
                </c:pt>
                <c:pt idx="57" formatCode="[$-411]m\.d\.ge">
                  <c:v>33906</c:v>
                </c:pt>
                <c:pt idx="58" formatCode="[$-411]m\.d\.ge">
                  <c:v>34001</c:v>
                </c:pt>
                <c:pt idx="59" formatCode="[$-411]m\.d\.ge">
                  <c:v>34085</c:v>
                </c:pt>
                <c:pt idx="60" formatCode="[$-411]m\.d\.ge">
                  <c:v>34156</c:v>
                </c:pt>
                <c:pt idx="61" formatCode="[$-411]m\.d\.ge">
                  <c:v>34248</c:v>
                </c:pt>
                <c:pt idx="62" formatCode="[$-411]m\.d\.ge">
                  <c:v>34372</c:v>
                </c:pt>
                <c:pt idx="63" formatCode="[$-411]m\.d\.ge">
                  <c:v>34445</c:v>
                </c:pt>
                <c:pt idx="64" formatCode="[$-411]m\.d\.ge">
                  <c:v>34541</c:v>
                </c:pt>
                <c:pt idx="65" formatCode="[$-411]m\.d\.ge">
                  <c:v>34618</c:v>
                </c:pt>
                <c:pt idx="66" formatCode="[$-411]m\.d\.ge">
                  <c:v>34737</c:v>
                </c:pt>
                <c:pt idx="67" formatCode="[$-411]m\.d\.ge">
                  <c:v>34810</c:v>
                </c:pt>
                <c:pt idx="68" formatCode="[$-411]m\.d\.ge">
                  <c:v>34905</c:v>
                </c:pt>
                <c:pt idx="69" formatCode="[$-411]m\.d\.ge">
                  <c:v>34990</c:v>
                </c:pt>
                <c:pt idx="70" formatCode="[$-411]m\.d\.ge">
                  <c:v>35086</c:v>
                </c:pt>
                <c:pt idx="71" formatCode="[$-411]m\.d\.ge">
                  <c:v>35179</c:v>
                </c:pt>
                <c:pt idx="72" formatCode="[$-411]m\.d\.ge">
                  <c:v>35277</c:v>
                </c:pt>
                <c:pt idx="73" formatCode="[$-411]m\.d\.ge">
                  <c:v>35352</c:v>
                </c:pt>
                <c:pt idx="74" formatCode="[$-411]m\.d\.ge">
                  <c:v>35492</c:v>
                </c:pt>
                <c:pt idx="75" formatCode="[$-411]m\.d\.ge">
                  <c:v>35535</c:v>
                </c:pt>
                <c:pt idx="76" formatCode="[$-411]m\.d\.ge">
                  <c:v>35626</c:v>
                </c:pt>
                <c:pt idx="77" formatCode="[$-411]m\.d\.ge">
                  <c:v>35717</c:v>
                </c:pt>
                <c:pt idx="78" formatCode="[$-411]m\.d\.ge">
                  <c:v>35822</c:v>
                </c:pt>
                <c:pt idx="79" formatCode="[$-411]m\.d\.ge">
                  <c:v>35926</c:v>
                </c:pt>
                <c:pt idx="80" formatCode="[$-411]m\.d\.ge">
                  <c:v>36004</c:v>
                </c:pt>
                <c:pt idx="81" formatCode="[$-411]m\.d\.ge">
                  <c:v>36074</c:v>
                </c:pt>
                <c:pt idx="82" formatCode="[$-411]m\.d\.ge">
                  <c:v>36193</c:v>
                </c:pt>
                <c:pt idx="83" formatCode="[$-411]m\.d\.ge">
                  <c:v>36292</c:v>
                </c:pt>
                <c:pt idx="84" formatCode="[$-411]m\.d\.ge">
                  <c:v>36362</c:v>
                </c:pt>
                <c:pt idx="85" formatCode="[$-411]m\.d\.ge">
                  <c:v>36452</c:v>
                </c:pt>
                <c:pt idx="86" formatCode="[$-411]m\.d\.ge">
                  <c:v>36551</c:v>
                </c:pt>
                <c:pt idx="87" formatCode="[$-411]m\.d\.ge">
                  <c:v>36656</c:v>
                </c:pt>
                <c:pt idx="88" formatCode="[$-411]m\.d\.ge">
                  <c:v>36719</c:v>
                </c:pt>
                <c:pt idx="89" formatCode="[$-411]m\.d\.ge">
                  <c:v>36815</c:v>
                </c:pt>
                <c:pt idx="90" formatCode="[$-411]m\.d\.ge">
                  <c:v>36909</c:v>
                </c:pt>
                <c:pt idx="91" formatCode="[$-411]m\.d\.ge">
                  <c:v>37005</c:v>
                </c:pt>
                <c:pt idx="92" formatCode="[$-411]m\.d\.ge">
                  <c:v>37081</c:v>
                </c:pt>
                <c:pt idx="93" formatCode="[$-411]m\.d\.ge">
                  <c:v>37180</c:v>
                </c:pt>
                <c:pt idx="94" formatCode="[$-411]m\.d\.ge">
                  <c:v>37293</c:v>
                </c:pt>
                <c:pt idx="95" formatCode="[$-411]m\.d\.ge">
                  <c:v>37362</c:v>
                </c:pt>
                <c:pt idx="96" formatCode="[$-411]m\.d\.ge">
                  <c:v>37454</c:v>
                </c:pt>
                <c:pt idx="97" formatCode="[$-411]m\.d\.ge">
                  <c:v>37559</c:v>
                </c:pt>
                <c:pt idx="98" formatCode="[$-411]m\.d\.ge">
                  <c:v>37656</c:v>
                </c:pt>
                <c:pt idx="99" formatCode="[$-411]m\.d\.ge">
                  <c:v>37727</c:v>
                </c:pt>
                <c:pt idx="100" formatCode="[$-411]m\.d\.ge">
                  <c:v>37837</c:v>
                </c:pt>
                <c:pt idx="101" formatCode="[$-411]m\.d\.ge">
                  <c:v>37915</c:v>
                </c:pt>
                <c:pt idx="102" formatCode="[$-411]m\.d\.ge">
                  <c:v>38015</c:v>
                </c:pt>
                <c:pt idx="103" formatCode="[$-411]m\.d\.ge">
                  <c:v>38091</c:v>
                </c:pt>
                <c:pt idx="104" formatCode="[$-411]m\.d\.ge">
                  <c:v>38195</c:v>
                </c:pt>
                <c:pt idx="105" formatCode="[$-411]m\.d\.ge">
                  <c:v>38286</c:v>
                </c:pt>
                <c:pt idx="106" formatCode="[$-411]m\.d\.ge">
                  <c:v>38385</c:v>
                </c:pt>
                <c:pt idx="107" formatCode="[$-411]m\.d\.ge">
                  <c:v>38467</c:v>
                </c:pt>
                <c:pt idx="108" formatCode="[$-411]m\.d\.ge">
                  <c:v>38553</c:v>
                </c:pt>
                <c:pt idx="109" formatCode="[$-411]m\.d\.ge">
                  <c:v>38651</c:v>
                </c:pt>
                <c:pt idx="110" formatCode="[$-411]m\.d\.ge">
                  <c:v>38747</c:v>
                </c:pt>
                <c:pt idx="111" formatCode="[$-411]m\.d\.ge">
                  <c:v>38834</c:v>
                </c:pt>
                <c:pt idx="112" formatCode="[$-411]m\.d\.ge">
                  <c:v>38910</c:v>
                </c:pt>
                <c:pt idx="113" formatCode="[$-411]m\.d\.ge">
                  <c:v>39023</c:v>
                </c:pt>
                <c:pt idx="114" formatCode="[$-411]m\.d\.ge">
                  <c:v>39105</c:v>
                </c:pt>
                <c:pt idx="115" formatCode="[$-411]m\.d\.ge">
                  <c:v>39198</c:v>
                </c:pt>
                <c:pt idx="116" formatCode="[$-411]m\.d\.ge">
                  <c:v>39303</c:v>
                </c:pt>
                <c:pt idx="117" formatCode="[$-411]m\.d\.ge">
                  <c:v>39366</c:v>
                </c:pt>
                <c:pt idx="118" formatCode="[$-411]m\.d\.ge">
                  <c:v>39470</c:v>
                </c:pt>
                <c:pt idx="119" formatCode="[$-411]m\.d\.ge">
                  <c:v>39566</c:v>
                </c:pt>
                <c:pt idx="121" formatCode="0.E+00">
                  <c:v>3.8530217851091534E-308</c:v>
                </c:pt>
                <c:pt idx="122" formatCode="0.E+00">
                  <c:v>3.5370225297279948E-308</c:v>
                </c:pt>
                <c:pt idx="123" formatCode="0.E+00">
                  <c:v>3.2469394344345388E-308</c:v>
                </c:pt>
                <c:pt idx="124" formatCode="0.E+00">
                  <c:v>2.9806470279101202E-308</c:v>
                </c:pt>
                <c:pt idx="125" formatCode="0.E+00">
                  <c:v>2.7361941558776368E-308</c:v>
                </c:pt>
                <c:pt idx="126" formatCode="0.E+00">
                  <c:v>2.5117896847749598E-308</c:v>
                </c:pt>
                <c:pt idx="127" formatCode="0.E+00">
                  <c:v>2.305789377917244E-308</c:v>
                </c:pt>
                <c:pt idx="128" formatCode="0.E+00">
                  <c:v>0</c:v>
                </c:pt>
                <c:pt idx="129" formatCode="0.E+00">
                  <c:v>0</c:v>
                </c:pt>
                <c:pt idx="130" formatCode="0.E+00">
                  <c:v>0</c:v>
                </c:pt>
                <c:pt idx="135" formatCode="[$-411]m\.d\.ge">
                  <c:v>39701</c:v>
                </c:pt>
                <c:pt idx="136" formatCode="[$-411]m\.d\.ge">
                  <c:v>39783</c:v>
                </c:pt>
                <c:pt idx="137" formatCode="[$-411]m\.d\.ge">
                  <c:v>39853</c:v>
                </c:pt>
                <c:pt idx="138" formatCode="[$-411]m\.d\.ge">
                  <c:v>39953</c:v>
                </c:pt>
                <c:pt idx="139" formatCode="[$-411]m\.d\.ge">
                  <c:v>40046</c:v>
                </c:pt>
                <c:pt idx="140" formatCode="[$-411]m\.d\.ge">
                  <c:v>40127</c:v>
                </c:pt>
                <c:pt idx="141" formatCode="[$-411]m\.d\.ge">
                  <c:v>40218</c:v>
                </c:pt>
                <c:pt idx="142" formatCode="[$-411]m\.d\.ge">
                  <c:v>40315</c:v>
                </c:pt>
                <c:pt idx="143" formatCode="[$-411]m\.d\.ge">
                  <c:v>40400</c:v>
                </c:pt>
                <c:pt idx="144" formatCode="[$-411]m\.d\.ge">
                  <c:v>40493</c:v>
                </c:pt>
                <c:pt idx="145" formatCode="[$-411]m\.d\.ge">
                  <c:v>40581</c:v>
                </c:pt>
                <c:pt idx="146" formatCode="[$-411]m\.d\.ge">
                  <c:v>40612</c:v>
                </c:pt>
                <c:pt idx="147" formatCode="[$-411]m\.d\.ge">
                  <c:v>40613</c:v>
                </c:pt>
                <c:pt idx="148" formatCode="[$-411]m\.d\.ge">
                  <c:v>40737</c:v>
                </c:pt>
                <c:pt idx="149" formatCode="[$-411]m\.d\.ge">
                  <c:v>40784</c:v>
                </c:pt>
                <c:pt idx="150" formatCode="[$-411]m\.d\.ge">
                  <c:v>40858</c:v>
                </c:pt>
                <c:pt idx="151" formatCode="[$-411]m\.d\.ge">
                  <c:v>40948</c:v>
                </c:pt>
                <c:pt idx="152" formatCode="[$-411]m\.d\.ge">
                  <c:v>41044</c:v>
                </c:pt>
                <c:pt idx="153" formatCode="[$-411]m\.d\.ge">
                  <c:v>41143</c:v>
                </c:pt>
                <c:pt idx="154" formatCode="[$-411]m\.d\.ge">
                  <c:v>41242</c:v>
                </c:pt>
                <c:pt idx="155" formatCode="[$-411]m\.d\.ge">
                  <c:v>41331</c:v>
                </c:pt>
                <c:pt idx="156" formatCode="[$-411]m\.d\.ge">
                  <c:v>41409</c:v>
                </c:pt>
                <c:pt idx="157" formatCode="[$-411]m\.d\.ge">
                  <c:v>41507</c:v>
                </c:pt>
                <c:pt idx="158" formatCode="[$-411]m\.d\.ge">
                  <c:v>41603</c:v>
                </c:pt>
                <c:pt idx="159" formatCode="[$-411]m\.d\.ge">
                  <c:v>41694</c:v>
                </c:pt>
                <c:pt idx="160" formatCode="[$-411]m\.d\.ge">
                  <c:v>41779</c:v>
                </c:pt>
                <c:pt idx="161" formatCode="[$-411]m\.d\.ge">
                  <c:v>41871</c:v>
                </c:pt>
                <c:pt idx="162" formatCode="[$-411]m\.d\.ge">
                  <c:v>41954</c:v>
                </c:pt>
                <c:pt idx="163" formatCode="[$-411]m\.d\.ge">
                  <c:v>42069</c:v>
                </c:pt>
                <c:pt idx="164" formatCode="[$-411]m\.d\.ge">
                  <c:v>42146</c:v>
                </c:pt>
                <c:pt idx="165" formatCode="[$-411]m\.d\.ge">
                  <c:v>42275</c:v>
                </c:pt>
                <c:pt idx="166" formatCode="[$-411]m\.d\.ge">
                  <c:v>42348</c:v>
                </c:pt>
                <c:pt idx="167" formatCode="[$-411]m\.d\.ge">
                  <c:v>42409</c:v>
                </c:pt>
                <c:pt idx="168" formatCode="[$-411]m\.d\.ge">
                  <c:v>42500</c:v>
                </c:pt>
                <c:pt idx="169" formatCode="[$-411]m\.d\.ge">
                  <c:v>42586</c:v>
                </c:pt>
                <c:pt idx="170" formatCode="[$-411]m\.d\.ge">
                  <c:v>42712</c:v>
                </c:pt>
                <c:pt idx="171" formatCode="[$-411]m\.d\.ge">
                  <c:v>42794</c:v>
                </c:pt>
                <c:pt idx="172" formatCode="[$-411]m\.d\.ge">
                  <c:v>42895</c:v>
                </c:pt>
                <c:pt idx="173" formatCode="[$-411]m\.d\.ge">
                  <c:v>43054</c:v>
                </c:pt>
              </c:numCache>
            </c:numRef>
          </c:cat>
          <c:val>
            <c:numRef>
              <c:f>あらめ!$Z$197:$Z$383</c:f>
              <c:numCache>
                <c:formatCode>0.000</c:formatCode>
                <c:ptCount val="187"/>
                <c:pt idx="8" formatCode="&quot;(&quot;0.00&quot;)&quot;">
                  <c:v>0.20370370370370369</c:v>
                </c:pt>
                <c:pt idx="10" formatCode="&quot;(&quot;0.00&quot;)&quot;">
                  <c:v>0.22962962962962963</c:v>
                </c:pt>
                <c:pt idx="11" formatCode="&quot;(&quot;0.00&quot;)&quot;">
                  <c:v>0.2</c:v>
                </c:pt>
                <c:pt idx="13" formatCode="&quot;(&quot;0.00&quot;)&quot;">
                  <c:v>0.17777777777777778</c:v>
                </c:pt>
                <c:pt idx="15">
                  <c:v>1.9983513043103786E-2</c:v>
                </c:pt>
                <c:pt idx="16">
                  <c:v>0.10740740740740741</c:v>
                </c:pt>
                <c:pt idx="18">
                  <c:v>0.12962962962962962</c:v>
                </c:pt>
                <c:pt idx="19">
                  <c:v>0.18518518518518517</c:v>
                </c:pt>
                <c:pt idx="20" formatCode="&quot;(&quot;0.00&quot;)&quot;">
                  <c:v>8.1481481481481502E-2</c:v>
                </c:pt>
                <c:pt idx="22">
                  <c:v>8.8888888888888892E-2</c:v>
                </c:pt>
                <c:pt idx="25" formatCode="&quot;(&quot;0.00&quot;)&quot;">
                  <c:v>0.3</c:v>
                </c:pt>
                <c:pt idx="27">
                  <c:v>0.24814814814814815</c:v>
                </c:pt>
                <c:pt idx="29" formatCode="&quot;(&quot;0.00&quot;)&quot;">
                  <c:v>0.1037037037037037</c:v>
                </c:pt>
                <c:pt idx="31" formatCode="&quot;(&quot;0.00&quot;)&quot;">
                  <c:v>8.8888888888888892E-2</c:v>
                </c:pt>
                <c:pt idx="33">
                  <c:v>9.2592592592592587E-2</c:v>
                </c:pt>
                <c:pt idx="35">
                  <c:v>0.14814814814814814</c:v>
                </c:pt>
                <c:pt idx="36">
                  <c:v>1.8643280198868031E-2</c:v>
                </c:pt>
                <c:pt idx="37" formatCode="&quot;(&quot;0.00&quot;)&quot;">
                  <c:v>0.1</c:v>
                </c:pt>
                <c:pt idx="39" formatCode="&quot;(&quot;0.00&quot;)&quot;">
                  <c:v>7.2999999999999995E-2</c:v>
                </c:pt>
                <c:pt idx="40">
                  <c:v>0.15</c:v>
                </c:pt>
                <c:pt idx="41">
                  <c:v>0.11</c:v>
                </c:pt>
                <c:pt idx="42" formatCode="&quot;(&quot;0.00&quot;)&quot;">
                  <c:v>0.1</c:v>
                </c:pt>
                <c:pt idx="44">
                  <c:v>1.8010667018592611E-2</c:v>
                </c:pt>
                <c:pt idx="45">
                  <c:v>0.17</c:v>
                </c:pt>
                <c:pt idx="46" formatCode="&quot;(&quot;0.00&quot;)&quot;">
                  <c:v>0.11</c:v>
                </c:pt>
                <c:pt idx="47">
                  <c:v>0.1</c:v>
                </c:pt>
                <c:pt idx="48" formatCode="&quot;(&quot;0.00&quot;)&quot;">
                  <c:v>9.4E-2</c:v>
                </c:pt>
                <c:pt idx="49">
                  <c:v>0.12</c:v>
                </c:pt>
                <c:pt idx="50">
                  <c:v>1.7395128155534342E-2</c:v>
                </c:pt>
                <c:pt idx="51" formatCode="&quot;(&quot;0.00&quot;)&quot;">
                  <c:v>9.0999999999999998E-2</c:v>
                </c:pt>
                <c:pt idx="52">
                  <c:v>1.7208410367413302E-2</c:v>
                </c:pt>
                <c:pt idx="53" formatCode="&quot;(&quot;0.00&quot;)&quot;">
                  <c:v>0.11</c:v>
                </c:pt>
                <c:pt idx="54" formatCode="&quot;(&quot;0.00&quot;)&quot;">
                  <c:v>0.12</c:v>
                </c:pt>
                <c:pt idx="55">
                  <c:v>1.6900590583604724E-2</c:v>
                </c:pt>
                <c:pt idx="56" formatCode="&quot;(&quot;0.00&quot;)&quot;">
                  <c:v>0.1</c:v>
                </c:pt>
                <c:pt idx="57">
                  <c:v>1.6699145095245973E-2</c:v>
                </c:pt>
                <c:pt idx="58" formatCode="&quot;(&quot;0.00&quot;)&quot;">
                  <c:v>0.12</c:v>
                </c:pt>
                <c:pt idx="59">
                  <c:v>6.3E-2</c:v>
                </c:pt>
                <c:pt idx="60">
                  <c:v>5.1999999999999998E-2</c:v>
                </c:pt>
                <c:pt idx="61">
                  <c:v>0.1</c:v>
                </c:pt>
                <c:pt idx="62">
                  <c:v>1.6215181299593713E-2</c:v>
                </c:pt>
                <c:pt idx="63">
                  <c:v>5.8000000000000003E-2</c:v>
                </c:pt>
                <c:pt idx="64">
                  <c:v>6.2E-2</c:v>
                </c:pt>
                <c:pt idx="65">
                  <c:v>9.2999999999999999E-2</c:v>
                </c:pt>
                <c:pt idx="66" formatCode="&quot;(&quot;0.00&quot;)&quot;">
                  <c:v>4.9000000000000002E-2</c:v>
                </c:pt>
                <c:pt idx="67" formatCode="&quot;(&quot;0.00&quot;)&quot;">
                  <c:v>5.6000000000000001E-2</c:v>
                </c:pt>
                <c:pt idx="68">
                  <c:v>8.5999999999999993E-2</c:v>
                </c:pt>
                <c:pt idx="69">
                  <c:v>1.5594924089602159E-2</c:v>
                </c:pt>
                <c:pt idx="70">
                  <c:v>0.11</c:v>
                </c:pt>
                <c:pt idx="71">
                  <c:v>7.1999999999999995E-2</c:v>
                </c:pt>
                <c:pt idx="72">
                  <c:v>7.5999999999999998E-2</c:v>
                </c:pt>
                <c:pt idx="73">
                  <c:v>7.4999999999999997E-2</c:v>
                </c:pt>
                <c:pt idx="74" formatCode="&quot;(&quot;0.00&quot;)&quot;">
                  <c:v>5.7000000000000002E-2</c:v>
                </c:pt>
                <c:pt idx="75" formatCode="&quot;(&quot;0.00&quot;)&quot;">
                  <c:v>4.8000000000000001E-2</c:v>
                </c:pt>
                <c:pt idx="76">
                  <c:v>6.8000000000000005E-2</c:v>
                </c:pt>
                <c:pt idx="77">
                  <c:v>7.2999999999999995E-2</c:v>
                </c:pt>
                <c:pt idx="78">
                  <c:v>7.9000000000000001E-2</c:v>
                </c:pt>
                <c:pt idx="79">
                  <c:v>4.2999999999999997E-2</c:v>
                </c:pt>
                <c:pt idx="80">
                  <c:v>6.0999999999999999E-2</c:v>
                </c:pt>
                <c:pt idx="81">
                  <c:v>8.2000000000000003E-2</c:v>
                </c:pt>
                <c:pt idx="82">
                  <c:v>1.6381300734655702E-2</c:v>
                </c:pt>
                <c:pt idx="83" formatCode="&quot;(&quot;0.00&quot;)&quot;">
                  <c:v>0.05</c:v>
                </c:pt>
                <c:pt idx="84" formatCode="&quot;(&quot;0.00&quot;)&quot;">
                  <c:v>4.9000000000000002E-2</c:v>
                </c:pt>
                <c:pt idx="85">
                  <c:v>9.0999999999999998E-2</c:v>
                </c:pt>
                <c:pt idx="86">
                  <c:v>5.5E-2</c:v>
                </c:pt>
                <c:pt idx="87">
                  <c:v>5.8000000000000003E-2</c:v>
                </c:pt>
                <c:pt idx="88">
                  <c:v>5.2999999999999999E-2</c:v>
                </c:pt>
                <c:pt idx="89">
                  <c:v>8.5999999999999993E-2</c:v>
                </c:pt>
                <c:pt idx="90">
                  <c:v>1.5656371086438189E-2</c:v>
                </c:pt>
                <c:pt idx="91">
                  <c:v>1.5561644645011304E-2</c:v>
                </c:pt>
                <c:pt idx="92" formatCode="&quot;(&quot;0.00&quot;)&quot;">
                  <c:v>7.2999999999999995E-2</c:v>
                </c:pt>
                <c:pt idx="93" formatCode="&quot;(&quot;0.00&quot;)&quot;">
                  <c:v>7.4999999999999997E-2</c:v>
                </c:pt>
                <c:pt idx="94">
                  <c:v>1.5280890236954968E-2</c:v>
                </c:pt>
                <c:pt idx="95" formatCode="&quot;(&quot;0.00&quot;)&quot;">
                  <c:v>8.5999999999999993E-2</c:v>
                </c:pt>
                <c:pt idx="96" formatCode="&quot;(&quot;0.00&quot;)&quot;">
                  <c:v>7.2999999999999995E-2</c:v>
                </c:pt>
                <c:pt idx="97">
                  <c:v>1.5026084025384634E-2</c:v>
                </c:pt>
                <c:pt idx="98" formatCode="&quot;(&quot;0.00&quot;)&quot;">
                  <c:v>4.7E-2</c:v>
                </c:pt>
                <c:pt idx="99" formatCode="&quot;(&quot;0.00&quot;)&quot;">
                  <c:v>7.0000000000000007E-2</c:v>
                </c:pt>
                <c:pt idx="100" formatCode="&quot;(&quot;0.00&quot;)&quot;">
                  <c:v>7.5999999999999998E-2</c:v>
                </c:pt>
                <c:pt idx="101" formatCode="&quot;(&quot;0.00&quot;)&quot;">
                  <c:v>5.7000000000000002E-2</c:v>
                </c:pt>
                <c:pt idx="102">
                  <c:v>1.4599119163147956E-2</c:v>
                </c:pt>
                <c:pt idx="103">
                  <c:v>1.4529147302420645E-2</c:v>
                </c:pt>
                <c:pt idx="104" formatCode="&quot;(&quot;0.00&quot;)&quot;">
                  <c:v>7.5999999999999998E-2</c:v>
                </c:pt>
                <c:pt idx="105" formatCode="&quot;(&quot;0.00&quot;)&quot;">
                  <c:v>7.0000000000000007E-2</c:v>
                </c:pt>
                <c:pt idx="106">
                  <c:v>1.426161024317244E-2</c:v>
                </c:pt>
                <c:pt idx="107">
                  <c:v>1.4187873610848367E-2</c:v>
                </c:pt>
                <c:pt idx="108">
                  <c:v>8.2000000000000003E-2</c:v>
                </c:pt>
                <c:pt idx="109" formatCode="&quot;(&quot;0.00&quot;)&quot;">
                  <c:v>0.08</c:v>
                </c:pt>
                <c:pt idx="110" formatCode="&quot;(&quot;0.00&quot;)&quot;">
                  <c:v>5.8000000000000003E-2</c:v>
                </c:pt>
                <c:pt idx="111">
                  <c:v>1.3862500788461619E-2</c:v>
                </c:pt>
                <c:pt idx="112">
                  <c:v>7.5999999999999998E-2</c:v>
                </c:pt>
                <c:pt idx="113">
                  <c:v>6.8000000000000005E-2</c:v>
                </c:pt>
                <c:pt idx="114">
                  <c:v>1.3627038071369913E-2</c:v>
                </c:pt>
                <c:pt idx="115">
                  <c:v>6.0999999999999999E-2</c:v>
                </c:pt>
                <c:pt idx="116">
                  <c:v>5.1999999999999998E-2</c:v>
                </c:pt>
                <c:pt idx="117">
                  <c:v>0.06</c:v>
                </c:pt>
                <c:pt idx="118">
                  <c:v>1.3316210466855069E-2</c:v>
                </c:pt>
                <c:pt idx="119">
                  <c:v>1.3235642803770663E-2</c:v>
                </c:pt>
                <c:pt idx="135">
                  <c:v>6.0999999999999999E-2</c:v>
                </c:pt>
                <c:pt idx="136">
                  <c:v>1.3055318024662744E-2</c:v>
                </c:pt>
                <c:pt idx="137">
                  <c:v>1.2997674441039079E-2</c:v>
                </c:pt>
                <c:pt idx="138" formatCode="&quot;(&quot;0.00&quot;)&quot;">
                  <c:v>5.1999999999999998E-2</c:v>
                </c:pt>
                <c:pt idx="139">
                  <c:v>5.5E-2</c:v>
                </c:pt>
                <c:pt idx="140">
                  <c:v>6.3E-2</c:v>
                </c:pt>
                <c:pt idx="141" formatCode="&quot;(&quot;0.00&quot;)&quot;">
                  <c:v>5.8999999999999997E-2</c:v>
                </c:pt>
                <c:pt idx="142">
                  <c:v>1.2623557697389947E-2</c:v>
                </c:pt>
                <c:pt idx="143" formatCode="&quot;(&quot;0.00&quot;)&quot;">
                  <c:v>4.8000000000000001E-2</c:v>
                </c:pt>
                <c:pt idx="145" formatCode="&quot;(&quot;0.00&quot;)&quot;">
                  <c:v>6.5000000000000002E-2</c:v>
                </c:pt>
                <c:pt idx="148" formatCode="0.00">
                  <c:v>12.76</c:v>
                </c:pt>
                <c:pt idx="149" formatCode="0.00">
                  <c:v>4.8899999999999997</c:v>
                </c:pt>
                <c:pt idx="150" formatCode="0.00">
                  <c:v>8.56</c:v>
                </c:pt>
                <c:pt idx="151" formatCode="0.00">
                  <c:v>6.39</c:v>
                </c:pt>
                <c:pt idx="152" formatCode="0.00">
                  <c:v>3.69</c:v>
                </c:pt>
                <c:pt idx="153" formatCode="0.00">
                  <c:v>1.36</c:v>
                </c:pt>
                <c:pt idx="154" formatCode="0.00">
                  <c:v>0.64</c:v>
                </c:pt>
                <c:pt idx="155" formatCode="0.00">
                  <c:v>0.16</c:v>
                </c:pt>
                <c:pt idx="156" formatCode="0.00">
                  <c:v>1</c:v>
                </c:pt>
                <c:pt idx="157" formatCode="0.00">
                  <c:v>0.55000000000000004</c:v>
                </c:pt>
                <c:pt idx="158" formatCode="0.00">
                  <c:v>0.49</c:v>
                </c:pt>
                <c:pt idx="159" formatCode="0.00">
                  <c:v>0.11</c:v>
                </c:pt>
                <c:pt idx="160" formatCode="0.00">
                  <c:v>0.17</c:v>
                </c:pt>
                <c:pt idx="161" formatCode="0.00">
                  <c:v>0.15</c:v>
                </c:pt>
                <c:pt idx="162" formatCode="0.00">
                  <c:v>0.11</c:v>
                </c:pt>
                <c:pt idx="163">
                  <c:v>1.9612432875670965E-2</c:v>
                </c:pt>
                <c:pt idx="164" formatCode="0.00">
                  <c:v>0.15</c:v>
                </c:pt>
                <c:pt idx="165">
                  <c:v>8.1000000000000003E-2</c:v>
                </c:pt>
                <c:pt idx="166">
                  <c:v>6.5000000000000002E-2</c:v>
                </c:pt>
                <c:pt idx="167">
                  <c:v>1.9196079076607586E-2</c:v>
                </c:pt>
                <c:pt idx="168">
                  <c:v>9.1999999999999998E-2</c:v>
                </c:pt>
                <c:pt idx="169">
                  <c:v>7.5999999999999998E-2</c:v>
                </c:pt>
                <c:pt idx="170" formatCode="&quot;(&quot;0.00&quot;)&quot;">
                  <c:v>6.8000000000000005E-2</c:v>
                </c:pt>
                <c:pt idx="171" formatCode="&quot;(&quot;0.00&quot;)&quot;">
                  <c:v>5.8999999999999997E-2</c:v>
                </c:pt>
                <c:pt idx="172">
                  <c:v>1.8616238231505912E-2</c:v>
                </c:pt>
                <c:pt idx="173">
                  <c:v>9.8000000000000004E-2</c:v>
                </c:pt>
              </c:numCache>
            </c:numRef>
          </c:val>
          <c:smooth val="0"/>
        </c:ser>
        <c:ser>
          <c:idx val="3"/>
          <c:order val="3"/>
          <c:tx>
            <c:strRef>
              <c:f>あらめ!$Y$196</c:f>
              <c:strCache>
                <c:ptCount val="1"/>
                <c:pt idx="0">
                  <c:v>Cs-134</c:v>
                </c:pt>
              </c:strCache>
            </c:strRef>
          </c:tx>
          <c:spPr>
            <a:ln w="12700">
              <a:solidFill>
                <a:srgbClr val="FF0000"/>
              </a:solidFill>
              <a:prstDash val="sysDot"/>
            </a:ln>
          </c:spPr>
          <c:marker>
            <c:symbol val="triangle"/>
            <c:size val="5"/>
            <c:spPr>
              <a:noFill/>
              <a:ln>
                <a:solidFill>
                  <a:srgbClr val="FF0000"/>
                </a:solidFill>
                <a:prstDash val="solid"/>
              </a:ln>
            </c:spPr>
          </c:marker>
          <c:cat>
            <c:numRef>
              <c:f>あらめ!$V$197:$V$383</c:f>
              <c:numCache>
                <c:formatCode>0.000000000000000000000000000000E+00</c:formatCode>
                <c:ptCount val="187"/>
                <c:pt idx="5" formatCode="[$-411]m\.d\.ge">
                  <c:v>30252</c:v>
                </c:pt>
                <c:pt idx="7" formatCode="[$-411]m\.d\.ge">
                  <c:v>30340</c:v>
                </c:pt>
                <c:pt idx="8" formatCode="[$-411]m\.d\.ge">
                  <c:v>30607</c:v>
                </c:pt>
                <c:pt idx="10" formatCode="[$-411]m\.d\.ge">
                  <c:v>30694</c:v>
                </c:pt>
                <c:pt idx="11" formatCode="[$-411]m\.d\.ge">
                  <c:v>30799</c:v>
                </c:pt>
                <c:pt idx="12" formatCode="[$-411]m\.d\.ge">
                  <c:v>30866</c:v>
                </c:pt>
                <c:pt idx="13" formatCode="[$-411]m\.d\.ge">
                  <c:v>30959</c:v>
                </c:pt>
                <c:pt idx="15" formatCode="[$-411]m\.d\.ge">
                  <c:v>31061</c:v>
                </c:pt>
                <c:pt idx="16" formatCode="[$-411]m\.d\.ge">
                  <c:v>31156</c:v>
                </c:pt>
                <c:pt idx="18" formatCode="[$-411]m\.d\.ge">
                  <c:v>31237</c:v>
                </c:pt>
                <c:pt idx="19" formatCode="[$-411]m\.d\.ge">
                  <c:v>31332</c:v>
                </c:pt>
                <c:pt idx="20" formatCode="[$-411]m\.d\.ge">
                  <c:v>31442</c:v>
                </c:pt>
                <c:pt idx="22" formatCode="[$-411]m\.d\.ge">
                  <c:v>31517</c:v>
                </c:pt>
                <c:pt idx="24" formatCode="[$-411]m\.d\.ge">
                  <c:v>31528</c:v>
                </c:pt>
                <c:pt idx="25" formatCode="[$-411]m\.d\.ge">
                  <c:v>31604</c:v>
                </c:pt>
                <c:pt idx="27" formatCode="[$-411]m\.d\.ge">
                  <c:v>31709</c:v>
                </c:pt>
                <c:pt idx="29" formatCode="[$-411]m\.d\.ge">
                  <c:v>31798</c:v>
                </c:pt>
                <c:pt idx="31" formatCode="[$-411]m\.d\.ge">
                  <c:v>31873</c:v>
                </c:pt>
                <c:pt idx="33" formatCode="[$-411]m\.d\.ge">
                  <c:v>31972</c:v>
                </c:pt>
                <c:pt idx="35" formatCode="[$-411]m\.d\.ge">
                  <c:v>32074</c:v>
                </c:pt>
                <c:pt idx="36" formatCode="[$-411]m\.d\.ge">
                  <c:v>32161</c:v>
                </c:pt>
                <c:pt idx="37" formatCode="[$-411]m\.d\.ge">
                  <c:v>32247</c:v>
                </c:pt>
                <c:pt idx="39" formatCode="[$-411]m\.d\.ge">
                  <c:v>32344</c:v>
                </c:pt>
                <c:pt idx="40" formatCode="[$-411]m\.d\.ge">
                  <c:v>32441</c:v>
                </c:pt>
                <c:pt idx="41" formatCode="[$-411]m\.d\.ge">
                  <c:v>32525</c:v>
                </c:pt>
                <c:pt idx="42" formatCode="[$-411]m\.d\.ge">
                  <c:v>32616</c:v>
                </c:pt>
                <c:pt idx="44" formatCode="[$-411]m\.d\.ge">
                  <c:v>32708</c:v>
                </c:pt>
                <c:pt idx="45" formatCode="[$-411]m\.d\.ge">
                  <c:v>32805</c:v>
                </c:pt>
                <c:pt idx="46" formatCode="[$-411]m\.d\.ge">
                  <c:v>32883</c:v>
                </c:pt>
                <c:pt idx="47" formatCode="[$-411]m\.d\.ge">
                  <c:v>33000</c:v>
                </c:pt>
                <c:pt idx="48" formatCode="[$-411]m\.d\.ge">
                  <c:v>33059</c:v>
                </c:pt>
                <c:pt idx="49" formatCode="[$-411]m\.d\.ge">
                  <c:v>33177</c:v>
                </c:pt>
                <c:pt idx="50" formatCode="[$-411]m\.d\.ge">
                  <c:v>33259</c:v>
                </c:pt>
                <c:pt idx="51" formatCode="[$-411]m\.d\.ge">
                  <c:v>33350</c:v>
                </c:pt>
                <c:pt idx="52" formatCode="[$-411]m\.d\.ge">
                  <c:v>33430</c:v>
                </c:pt>
                <c:pt idx="53" formatCode="[$-411]m\.d\.ge">
                  <c:v>33532</c:v>
                </c:pt>
                <c:pt idx="54" formatCode="[$-411]m\.d\.ge">
                  <c:v>33625</c:v>
                </c:pt>
                <c:pt idx="55" formatCode="[$-411]m\.d\.ge">
                  <c:v>33716</c:v>
                </c:pt>
                <c:pt idx="56" formatCode="[$-411]m\.d\.ge">
                  <c:v>33791</c:v>
                </c:pt>
                <c:pt idx="57" formatCode="[$-411]m\.d\.ge">
                  <c:v>33906</c:v>
                </c:pt>
                <c:pt idx="58" formatCode="[$-411]m\.d\.ge">
                  <c:v>34001</c:v>
                </c:pt>
                <c:pt idx="59" formatCode="[$-411]m\.d\.ge">
                  <c:v>34085</c:v>
                </c:pt>
                <c:pt idx="60" formatCode="[$-411]m\.d\.ge">
                  <c:v>34156</c:v>
                </c:pt>
                <c:pt idx="61" formatCode="[$-411]m\.d\.ge">
                  <c:v>34248</c:v>
                </c:pt>
                <c:pt idx="62" formatCode="[$-411]m\.d\.ge">
                  <c:v>34372</c:v>
                </c:pt>
                <c:pt idx="63" formatCode="[$-411]m\.d\.ge">
                  <c:v>34445</c:v>
                </c:pt>
                <c:pt idx="64" formatCode="[$-411]m\.d\.ge">
                  <c:v>34541</c:v>
                </c:pt>
                <c:pt idx="65" formatCode="[$-411]m\.d\.ge">
                  <c:v>34618</c:v>
                </c:pt>
                <c:pt idx="66" formatCode="[$-411]m\.d\.ge">
                  <c:v>34737</c:v>
                </c:pt>
                <c:pt idx="67" formatCode="[$-411]m\.d\.ge">
                  <c:v>34810</c:v>
                </c:pt>
                <c:pt idx="68" formatCode="[$-411]m\.d\.ge">
                  <c:v>34905</c:v>
                </c:pt>
                <c:pt idx="69" formatCode="[$-411]m\.d\.ge">
                  <c:v>34990</c:v>
                </c:pt>
                <c:pt idx="70" formatCode="[$-411]m\.d\.ge">
                  <c:v>35086</c:v>
                </c:pt>
                <c:pt idx="71" formatCode="[$-411]m\.d\.ge">
                  <c:v>35179</c:v>
                </c:pt>
                <c:pt idx="72" formatCode="[$-411]m\.d\.ge">
                  <c:v>35277</c:v>
                </c:pt>
                <c:pt idx="73" formatCode="[$-411]m\.d\.ge">
                  <c:v>35352</c:v>
                </c:pt>
                <c:pt idx="74" formatCode="[$-411]m\.d\.ge">
                  <c:v>35492</c:v>
                </c:pt>
                <c:pt idx="75" formatCode="[$-411]m\.d\.ge">
                  <c:v>35535</c:v>
                </c:pt>
                <c:pt idx="76" formatCode="[$-411]m\.d\.ge">
                  <c:v>35626</c:v>
                </c:pt>
                <c:pt idx="77" formatCode="[$-411]m\.d\.ge">
                  <c:v>35717</c:v>
                </c:pt>
                <c:pt idx="78" formatCode="[$-411]m\.d\.ge">
                  <c:v>35822</c:v>
                </c:pt>
                <c:pt idx="79" formatCode="[$-411]m\.d\.ge">
                  <c:v>35926</c:v>
                </c:pt>
                <c:pt idx="80" formatCode="[$-411]m\.d\.ge">
                  <c:v>36004</c:v>
                </c:pt>
                <c:pt idx="81" formatCode="[$-411]m\.d\.ge">
                  <c:v>36074</c:v>
                </c:pt>
                <c:pt idx="82" formatCode="[$-411]m\.d\.ge">
                  <c:v>36193</c:v>
                </c:pt>
                <c:pt idx="83" formatCode="[$-411]m\.d\.ge">
                  <c:v>36292</c:v>
                </c:pt>
                <c:pt idx="84" formatCode="[$-411]m\.d\.ge">
                  <c:v>36362</c:v>
                </c:pt>
                <c:pt idx="85" formatCode="[$-411]m\.d\.ge">
                  <c:v>36452</c:v>
                </c:pt>
                <c:pt idx="86" formatCode="[$-411]m\.d\.ge">
                  <c:v>36551</c:v>
                </c:pt>
                <c:pt idx="87" formatCode="[$-411]m\.d\.ge">
                  <c:v>36656</c:v>
                </c:pt>
                <c:pt idx="88" formatCode="[$-411]m\.d\.ge">
                  <c:v>36719</c:v>
                </c:pt>
                <c:pt idx="89" formatCode="[$-411]m\.d\.ge">
                  <c:v>36815</c:v>
                </c:pt>
                <c:pt idx="90" formatCode="[$-411]m\.d\.ge">
                  <c:v>36909</c:v>
                </c:pt>
                <c:pt idx="91" formatCode="[$-411]m\.d\.ge">
                  <c:v>37005</c:v>
                </c:pt>
                <c:pt idx="92" formatCode="[$-411]m\.d\.ge">
                  <c:v>37081</c:v>
                </c:pt>
                <c:pt idx="93" formatCode="[$-411]m\.d\.ge">
                  <c:v>37180</c:v>
                </c:pt>
                <c:pt idx="94" formatCode="[$-411]m\.d\.ge">
                  <c:v>37293</c:v>
                </c:pt>
                <c:pt idx="95" formatCode="[$-411]m\.d\.ge">
                  <c:v>37362</c:v>
                </c:pt>
                <c:pt idx="96" formatCode="[$-411]m\.d\.ge">
                  <c:v>37454</c:v>
                </c:pt>
                <c:pt idx="97" formatCode="[$-411]m\.d\.ge">
                  <c:v>37559</c:v>
                </c:pt>
                <c:pt idx="98" formatCode="[$-411]m\.d\.ge">
                  <c:v>37656</c:v>
                </c:pt>
                <c:pt idx="99" formatCode="[$-411]m\.d\.ge">
                  <c:v>37727</c:v>
                </c:pt>
                <c:pt idx="100" formatCode="[$-411]m\.d\.ge">
                  <c:v>37837</c:v>
                </c:pt>
                <c:pt idx="101" formatCode="[$-411]m\.d\.ge">
                  <c:v>37915</c:v>
                </c:pt>
                <c:pt idx="102" formatCode="[$-411]m\.d\.ge">
                  <c:v>38015</c:v>
                </c:pt>
                <c:pt idx="103" formatCode="[$-411]m\.d\.ge">
                  <c:v>38091</c:v>
                </c:pt>
                <c:pt idx="104" formatCode="[$-411]m\.d\.ge">
                  <c:v>38195</c:v>
                </c:pt>
                <c:pt idx="105" formatCode="[$-411]m\.d\.ge">
                  <c:v>38286</c:v>
                </c:pt>
                <c:pt idx="106" formatCode="[$-411]m\.d\.ge">
                  <c:v>38385</c:v>
                </c:pt>
                <c:pt idx="107" formatCode="[$-411]m\.d\.ge">
                  <c:v>38467</c:v>
                </c:pt>
                <c:pt idx="108" formatCode="[$-411]m\.d\.ge">
                  <c:v>38553</c:v>
                </c:pt>
                <c:pt idx="109" formatCode="[$-411]m\.d\.ge">
                  <c:v>38651</c:v>
                </c:pt>
                <c:pt idx="110" formatCode="[$-411]m\.d\.ge">
                  <c:v>38747</c:v>
                </c:pt>
                <c:pt idx="111" formatCode="[$-411]m\.d\.ge">
                  <c:v>38834</c:v>
                </c:pt>
                <c:pt idx="112" formatCode="[$-411]m\.d\.ge">
                  <c:v>38910</c:v>
                </c:pt>
                <c:pt idx="113" formatCode="[$-411]m\.d\.ge">
                  <c:v>39023</c:v>
                </c:pt>
                <c:pt idx="114" formatCode="[$-411]m\.d\.ge">
                  <c:v>39105</c:v>
                </c:pt>
                <c:pt idx="115" formatCode="[$-411]m\.d\.ge">
                  <c:v>39198</c:v>
                </c:pt>
                <c:pt idx="116" formatCode="[$-411]m\.d\.ge">
                  <c:v>39303</c:v>
                </c:pt>
                <c:pt idx="117" formatCode="[$-411]m\.d\.ge">
                  <c:v>39366</c:v>
                </c:pt>
                <c:pt idx="118" formatCode="[$-411]m\.d\.ge">
                  <c:v>39470</c:v>
                </c:pt>
                <c:pt idx="119" formatCode="[$-411]m\.d\.ge">
                  <c:v>39566</c:v>
                </c:pt>
                <c:pt idx="121" formatCode="0.E+00">
                  <c:v>3.8530217851091534E-308</c:v>
                </c:pt>
                <c:pt idx="122" formatCode="0.E+00">
                  <c:v>3.5370225297279948E-308</c:v>
                </c:pt>
                <c:pt idx="123" formatCode="0.E+00">
                  <c:v>3.2469394344345388E-308</c:v>
                </c:pt>
                <c:pt idx="124" formatCode="0.E+00">
                  <c:v>2.9806470279101202E-308</c:v>
                </c:pt>
                <c:pt idx="125" formatCode="0.E+00">
                  <c:v>2.7361941558776368E-308</c:v>
                </c:pt>
                <c:pt idx="126" formatCode="0.E+00">
                  <c:v>2.5117896847749598E-308</c:v>
                </c:pt>
                <c:pt idx="127" formatCode="0.E+00">
                  <c:v>2.305789377917244E-308</c:v>
                </c:pt>
                <c:pt idx="128" formatCode="0.E+00">
                  <c:v>0</c:v>
                </c:pt>
                <c:pt idx="129" formatCode="0.E+00">
                  <c:v>0</c:v>
                </c:pt>
                <c:pt idx="130" formatCode="0.E+00">
                  <c:v>0</c:v>
                </c:pt>
                <c:pt idx="135" formatCode="[$-411]m\.d\.ge">
                  <c:v>39701</c:v>
                </c:pt>
                <c:pt idx="136" formatCode="[$-411]m\.d\.ge">
                  <c:v>39783</c:v>
                </c:pt>
                <c:pt idx="137" formatCode="[$-411]m\.d\.ge">
                  <c:v>39853</c:v>
                </c:pt>
                <c:pt idx="138" formatCode="[$-411]m\.d\.ge">
                  <c:v>39953</c:v>
                </c:pt>
                <c:pt idx="139" formatCode="[$-411]m\.d\.ge">
                  <c:v>40046</c:v>
                </c:pt>
                <c:pt idx="140" formatCode="[$-411]m\.d\.ge">
                  <c:v>40127</c:v>
                </c:pt>
                <c:pt idx="141" formatCode="[$-411]m\.d\.ge">
                  <c:v>40218</c:v>
                </c:pt>
                <c:pt idx="142" formatCode="[$-411]m\.d\.ge">
                  <c:v>40315</c:v>
                </c:pt>
                <c:pt idx="143" formatCode="[$-411]m\.d\.ge">
                  <c:v>40400</c:v>
                </c:pt>
                <c:pt idx="144" formatCode="[$-411]m\.d\.ge">
                  <c:v>40493</c:v>
                </c:pt>
                <c:pt idx="145" formatCode="[$-411]m\.d\.ge">
                  <c:v>40581</c:v>
                </c:pt>
                <c:pt idx="146" formatCode="[$-411]m\.d\.ge">
                  <c:v>40612</c:v>
                </c:pt>
                <c:pt idx="147" formatCode="[$-411]m\.d\.ge">
                  <c:v>40613</c:v>
                </c:pt>
                <c:pt idx="148" formatCode="[$-411]m\.d\.ge">
                  <c:v>40737</c:v>
                </c:pt>
                <c:pt idx="149" formatCode="[$-411]m\.d\.ge">
                  <c:v>40784</c:v>
                </c:pt>
                <c:pt idx="150" formatCode="[$-411]m\.d\.ge">
                  <c:v>40858</c:v>
                </c:pt>
                <c:pt idx="151" formatCode="[$-411]m\.d\.ge">
                  <c:v>40948</c:v>
                </c:pt>
                <c:pt idx="152" formatCode="[$-411]m\.d\.ge">
                  <c:v>41044</c:v>
                </c:pt>
                <c:pt idx="153" formatCode="[$-411]m\.d\.ge">
                  <c:v>41143</c:v>
                </c:pt>
                <c:pt idx="154" formatCode="[$-411]m\.d\.ge">
                  <c:v>41242</c:v>
                </c:pt>
                <c:pt idx="155" formatCode="[$-411]m\.d\.ge">
                  <c:v>41331</c:v>
                </c:pt>
                <c:pt idx="156" formatCode="[$-411]m\.d\.ge">
                  <c:v>41409</c:v>
                </c:pt>
                <c:pt idx="157" formatCode="[$-411]m\.d\.ge">
                  <c:v>41507</c:v>
                </c:pt>
                <c:pt idx="158" formatCode="[$-411]m\.d\.ge">
                  <c:v>41603</c:v>
                </c:pt>
                <c:pt idx="159" formatCode="[$-411]m\.d\.ge">
                  <c:v>41694</c:v>
                </c:pt>
                <c:pt idx="160" formatCode="[$-411]m\.d\.ge">
                  <c:v>41779</c:v>
                </c:pt>
                <c:pt idx="161" formatCode="[$-411]m\.d\.ge">
                  <c:v>41871</c:v>
                </c:pt>
                <c:pt idx="162" formatCode="[$-411]m\.d\.ge">
                  <c:v>41954</c:v>
                </c:pt>
                <c:pt idx="163" formatCode="[$-411]m\.d\.ge">
                  <c:v>42069</c:v>
                </c:pt>
                <c:pt idx="164" formatCode="[$-411]m\.d\.ge">
                  <c:v>42146</c:v>
                </c:pt>
                <c:pt idx="165" formatCode="[$-411]m\.d\.ge">
                  <c:v>42275</c:v>
                </c:pt>
                <c:pt idx="166" formatCode="[$-411]m\.d\.ge">
                  <c:v>42348</c:v>
                </c:pt>
                <c:pt idx="167" formatCode="[$-411]m\.d\.ge">
                  <c:v>42409</c:v>
                </c:pt>
                <c:pt idx="168" formatCode="[$-411]m\.d\.ge">
                  <c:v>42500</c:v>
                </c:pt>
                <c:pt idx="169" formatCode="[$-411]m\.d\.ge">
                  <c:v>42586</c:v>
                </c:pt>
                <c:pt idx="170" formatCode="[$-411]m\.d\.ge">
                  <c:v>42712</c:v>
                </c:pt>
                <c:pt idx="171" formatCode="[$-411]m\.d\.ge">
                  <c:v>42794</c:v>
                </c:pt>
                <c:pt idx="172" formatCode="[$-411]m\.d\.ge">
                  <c:v>42895</c:v>
                </c:pt>
                <c:pt idx="173" formatCode="[$-411]m\.d\.ge">
                  <c:v>43054</c:v>
                </c:pt>
              </c:numCache>
            </c:numRef>
          </c:cat>
          <c:val>
            <c:numRef>
              <c:f>あらめ!$Y$197:$Y$383</c:f>
              <c:numCache>
                <c:formatCode>0.000</c:formatCode>
                <c:ptCount val="187"/>
                <c:pt idx="8">
                  <c:v>1.0191715006744003E-2</c:v>
                </c:pt>
                <c:pt idx="10">
                  <c:v>9.4074845549530946E-3</c:v>
                </c:pt>
                <c:pt idx="11">
                  <c:v>8.5409304757678248E-3</c:v>
                </c:pt>
                <c:pt idx="12">
                  <c:v>8.0301821555324258E-3</c:v>
                </c:pt>
                <c:pt idx="13">
                  <c:v>7.3714589234114081E-3</c:v>
                </c:pt>
                <c:pt idx="15">
                  <c:v>6.7109533141360622E-3</c:v>
                </c:pt>
                <c:pt idx="16">
                  <c:v>6.1491186613345924E-3</c:v>
                </c:pt>
                <c:pt idx="18">
                  <c:v>5.7073868076211749E-3</c:v>
                </c:pt>
                <c:pt idx="19">
                  <c:v>5.2295697918614183E-3</c:v>
                </c:pt>
                <c:pt idx="20">
                  <c:v>4.7260590562518325E-3</c:v>
                </c:pt>
                <c:pt idx="22">
                  <c:v>4.4108447046720357E-3</c:v>
                </c:pt>
                <c:pt idx="25">
                  <c:v>1.8182664960665264E-2</c:v>
                </c:pt>
                <c:pt idx="27">
                  <c:v>1.6507800399359358E-2</c:v>
                </c:pt>
                <c:pt idx="29">
                  <c:v>1.5209539161662265E-2</c:v>
                </c:pt>
                <c:pt idx="31">
                  <c:v>1.4195107270818911E-2</c:v>
                </c:pt>
                <c:pt idx="33">
                  <c:v>1.2958912026880468E-2</c:v>
                </c:pt>
                <c:pt idx="35">
                  <c:v>1.1797753269463276E-2</c:v>
                </c:pt>
                <c:pt idx="36">
                  <c:v>1.0889941643009183E-2</c:v>
                </c:pt>
                <c:pt idx="37">
                  <c:v>1.0061239656258844E-2</c:v>
                </c:pt>
                <c:pt idx="39">
                  <c:v>9.201968737001574E-3</c:v>
                </c:pt>
                <c:pt idx="40">
                  <c:v>8.4160830603095139E-3</c:v>
                </c:pt>
                <c:pt idx="41">
                  <c:v>7.7899622149521499E-3</c:v>
                </c:pt>
                <c:pt idx="42">
                  <c:v>7.1641191600207458E-3</c:v>
                </c:pt>
                <c:pt idx="44">
                  <c:v>6.5824952157048731E-3</c:v>
                </c:pt>
                <c:pt idx="45">
                  <c:v>6.0203232659007807E-3</c:v>
                </c:pt>
                <c:pt idx="46">
                  <c:v>5.6032930946194699E-3</c:v>
                </c:pt>
                <c:pt idx="47">
                  <c:v>5.0312816809058424E-3</c:v>
                </c:pt>
                <c:pt idx="48">
                  <c:v>4.7653678382924307E-3</c:v>
                </c:pt>
                <c:pt idx="49">
                  <c:v>4.2749596852381796E-3</c:v>
                </c:pt>
                <c:pt idx="50">
                  <c:v>3.9642109641736091E-3</c:v>
                </c:pt>
                <c:pt idx="51">
                  <c:v>3.6457275323221725E-3</c:v>
                </c:pt>
                <c:pt idx="52">
                  <c:v>3.3869465233729982E-3</c:v>
                </c:pt>
                <c:pt idx="53">
                  <c:v>3.0834655977859927E-3</c:v>
                </c:pt>
                <c:pt idx="54">
                  <c:v>2.8305260771914077E-3</c:v>
                </c:pt>
                <c:pt idx="55">
                  <c:v>2.6031225239607778E-3</c:v>
                </c:pt>
                <c:pt idx="56">
                  <c:v>2.4295018457791092E-3</c:v>
                </c:pt>
                <c:pt idx="57">
                  <c:v>2.185505594235962E-3</c:v>
                </c:pt>
                <c:pt idx="58">
                  <c:v>2.0025371366627614E-3</c:v>
                </c:pt>
                <c:pt idx="59">
                  <c:v>1.853556876382311E-3</c:v>
                </c:pt>
                <c:pt idx="60">
                  <c:v>1.7363102685273508E-3</c:v>
                </c:pt>
                <c:pt idx="61">
                  <c:v>1.5953467244572499E-3</c:v>
                </c:pt>
                <c:pt idx="62">
                  <c:v>1.423287020666934E-3</c:v>
                </c:pt>
                <c:pt idx="63">
                  <c:v>1.3308052607473764E-3</c:v>
                </c:pt>
                <c:pt idx="64">
                  <c:v>1.2182697673932287E-3</c:v>
                </c:pt>
                <c:pt idx="65">
                  <c:v>1.1349237739058547E-3</c:v>
                </c:pt>
                <c:pt idx="66">
                  <c:v>1.0171911881191402E-3</c:v>
                </c:pt>
                <c:pt idx="67">
                  <c:v>9.5109655654732745E-4</c:v>
                </c:pt>
                <c:pt idx="68">
                  <c:v>8.7147165400138643E-4</c:v>
                </c:pt>
                <c:pt idx="69">
                  <c:v>8.0589582402432062E-4</c:v>
                </c:pt>
                <c:pt idx="70">
                  <c:v>7.3774769835663865E-4</c:v>
                </c:pt>
                <c:pt idx="71">
                  <c:v>6.7722957573640484E-4</c:v>
                </c:pt>
                <c:pt idx="72">
                  <c:v>6.1882161856408892E-4</c:v>
                </c:pt>
                <c:pt idx="73">
                  <c:v>5.7754802191251878E-4</c:v>
                </c:pt>
                <c:pt idx="74">
                  <c:v>5.0772708416745276E-4</c:v>
                </c:pt>
                <c:pt idx="75" formatCode=".00000">
                  <c:v>4.8802638397679564E-4</c:v>
                </c:pt>
                <c:pt idx="76" formatCode=".00000">
                  <c:v>4.4881850149837719E-4</c:v>
                </c:pt>
                <c:pt idx="77" formatCode=".00000">
                  <c:v>4.1276056766805202E-4</c:v>
                </c:pt>
                <c:pt idx="78" formatCode=".00000">
                  <c:v>3.7473984581087313E-4</c:v>
                </c:pt>
                <c:pt idx="79" formatCode=".00000">
                  <c:v>3.4053459988392728E-4</c:v>
                </c:pt>
                <c:pt idx="80" formatCode=".00000">
                  <c:v>3.1694563360346679E-4</c:v>
                </c:pt>
                <c:pt idx="81" formatCode=".00000">
                  <c:v>2.9717063222933033E-4</c:v>
                </c:pt>
                <c:pt idx="82" formatCode=".00000">
                  <c:v>2.6634330465311366E-4</c:v>
                </c:pt>
                <c:pt idx="83" formatCode=".00000">
                  <c:v>2.4314852914452179E-4</c:v>
                </c:pt>
                <c:pt idx="84" formatCode=".00000">
                  <c:v>2.2797790684161957E-4</c:v>
                </c:pt>
                <c:pt idx="85" formatCode=".00000">
                  <c:v>2.0985528449880158E-4</c:v>
                </c:pt>
                <c:pt idx="86" formatCode=".00000">
                  <c:v>1.9157982523925352E-4</c:v>
                </c:pt>
                <c:pt idx="87" formatCode=".00000">
                  <c:v>1.7393278281458444E-4</c:v>
                </c:pt>
                <c:pt idx="88" formatCode=".00000">
                  <c:v>1.6413471638823698E-4</c:v>
                </c:pt>
                <c:pt idx="89" formatCode=".00000">
                  <c:v>1.5025516403741442E-4</c:v>
                </c:pt>
                <c:pt idx="90" formatCode=".00000">
                  <c:v>1.3780271100302218E-4</c:v>
                </c:pt>
                <c:pt idx="91" formatCode=".00000">
                  <c:v>1.2614984448252532E-4</c:v>
                </c:pt>
                <c:pt idx="92" formatCode=".00000">
                  <c:v>1.1762771061875822E-4</c:v>
                </c:pt>
                <c:pt idx="93" formatCode=".00000">
                  <c:v>1.0738398271673676E-4</c:v>
                </c:pt>
                <c:pt idx="94" formatCode=".00000">
                  <c:v>9.6777320416130476E-5</c:v>
                </c:pt>
                <c:pt idx="95" formatCode=".00000">
                  <c:v>9.0822699591430365E-5</c:v>
                </c:pt>
                <c:pt idx="96" formatCode=".00000">
                  <c:v>8.3449196221390041E-5</c:v>
                </c:pt>
                <c:pt idx="97" formatCode=".00000">
                  <c:v>7.5762418638289545E-5</c:v>
                </c:pt>
                <c:pt idx="98" formatCode=".00000">
                  <c:v>6.9291998955166306E-5</c:v>
                </c:pt>
                <c:pt idx="99" formatCode=".00000">
                  <c:v>6.4908938509328109E-5</c:v>
                </c:pt>
                <c:pt idx="100" formatCode=".00000">
                  <c:v>5.8659409642282208E-5</c:v>
                </c:pt>
                <c:pt idx="101" formatCode=".00000">
                  <c:v>5.4596049159807956E-5</c:v>
                </c:pt>
                <c:pt idx="102" formatCode=".00000">
                  <c:v>4.9795647119155306E-5</c:v>
                </c:pt>
                <c:pt idx="103" formatCode=".00000">
                  <c:v>4.6431670157288078E-5</c:v>
                </c:pt>
                <c:pt idx="104" formatCode=".00000">
                  <c:v>4.219351210101774E-5</c:v>
                </c:pt>
                <c:pt idx="105" formatCode=".00000">
                  <c:v>3.8803698930820163E-5</c:v>
                </c:pt>
                <c:pt idx="106" formatCode=".00000">
                  <c:v>3.5424439644480758E-5</c:v>
                </c:pt>
                <c:pt idx="107" formatCode=".00000">
                  <c:v>3.2849421369580182E-5</c:v>
                </c:pt>
                <c:pt idx="108" formatCode=".00000">
                  <c:v>3.0349648492464213E-5</c:v>
                </c:pt>
                <c:pt idx="109" formatCode=".00000">
                  <c:v>2.7732129953916756E-5</c:v>
                </c:pt>
                <c:pt idx="110" formatCode=".00000">
                  <c:v>2.5387046854100399E-5</c:v>
                </c:pt>
                <c:pt idx="111" formatCode=".00000">
                  <c:v>2.3433568444347604E-5</c:v>
                </c:pt>
                <c:pt idx="112" formatCode=".00000">
                  <c:v>2.1850498659302075E-5</c:v>
                </c:pt>
                <c:pt idx="113" formatCode=".00000">
                  <c:v>1.9692254435948778E-5</c:v>
                </c:pt>
                <c:pt idx="114" formatCode=".00000">
                  <c:v>1.8260815701688911E-5</c:v>
                </c:pt>
                <c:pt idx="115" formatCode=".00000">
                  <c:v>1.6762864184873662E-5</c:v>
                </c:pt>
                <c:pt idx="116" formatCode=".00000">
                  <c:v>1.5218782102848536E-5</c:v>
                </c:pt>
                <c:pt idx="117" formatCode=".00000">
                  <c:v>1.4361470240421919E-5</c:v>
                </c:pt>
                <c:pt idx="118" formatCode=".00000">
                  <c:v>1.3050593836597858E-5</c:v>
                </c:pt>
                <c:pt idx="119" formatCode=".00000">
                  <c:v>1.1947010119817713E-5</c:v>
                </c:pt>
                <c:pt idx="135">
                  <c:v>1.0551153799524615E-5</c:v>
                </c:pt>
                <c:pt idx="136">
                  <c:v>9.784185736578976E-6</c:v>
                </c:pt>
                <c:pt idx="137">
                  <c:v>9.1737268254216057E-6</c:v>
                </c:pt>
                <c:pt idx="138">
                  <c:v>8.3671194307318986E-6</c:v>
                </c:pt>
                <c:pt idx="139">
                  <c:v>7.6807569238543877E-6</c:v>
                </c:pt>
                <c:pt idx="140">
                  <c:v>7.1289973659797955E-6</c:v>
                </c:pt>
                <c:pt idx="141">
                  <c:v>6.556256014095066E-6</c:v>
                </c:pt>
                <c:pt idx="142">
                  <c:v>5.9963249991715642E-6</c:v>
                </c:pt>
                <c:pt idx="143">
                  <c:v>5.5451181391119781E-6</c:v>
                </c:pt>
                <c:pt idx="145">
                  <c:v>4.694241201606538E-6</c:v>
                </c:pt>
                <c:pt idx="148" formatCode="0.00">
                  <c:v>11.05</c:v>
                </c:pt>
                <c:pt idx="149" formatCode="0.00">
                  <c:v>3.95</c:v>
                </c:pt>
                <c:pt idx="150" formatCode="0.00">
                  <c:v>6.42</c:v>
                </c:pt>
                <c:pt idx="151" formatCode="0.00">
                  <c:v>4.5199999999999996</c:v>
                </c:pt>
                <c:pt idx="152" formatCode="0.00">
                  <c:v>2.56</c:v>
                </c:pt>
                <c:pt idx="153" formatCode="0.00">
                  <c:v>0.81</c:v>
                </c:pt>
                <c:pt idx="154" formatCode="0.00">
                  <c:v>0.37</c:v>
                </c:pt>
                <c:pt idx="155" formatCode="&quot;(&quot;0.00&quot;)&quot;">
                  <c:v>6.8000000000000005E-2</c:v>
                </c:pt>
                <c:pt idx="156" formatCode="0.00">
                  <c:v>0.46</c:v>
                </c:pt>
                <c:pt idx="157" formatCode="0.00">
                  <c:v>0.2</c:v>
                </c:pt>
                <c:pt idx="158" formatCode="0.00">
                  <c:v>0.17</c:v>
                </c:pt>
                <c:pt idx="159" formatCode="&quot;(&quot;0.00&quot;)&quot;">
                  <c:v>6.0999999999999999E-2</c:v>
                </c:pt>
                <c:pt idx="160" formatCode="&quot;(&quot;0.00&quot;)&quot;">
                  <c:v>0.05</c:v>
                </c:pt>
                <c:pt idx="161" formatCode="&quot;(&quot;0.00&quot;)&quot;">
                  <c:v>5.3999999999999999E-2</c:v>
                </c:pt>
                <c:pt idx="162">
                  <c:v>5.6759572647783387E-3</c:v>
                </c:pt>
                <c:pt idx="163">
                  <c:v>5.1059176498955243E-3</c:v>
                </c:pt>
                <c:pt idx="164" formatCode="&quot;(&quot;0.00&quot;)&quot;">
                  <c:v>5.0999999999999997E-2</c:v>
                </c:pt>
                <c:pt idx="165">
                  <c:v>4.2241170588719883E-3</c:v>
                </c:pt>
                <c:pt idx="166">
                  <c:v>3.9496441141755262E-3</c:v>
                </c:pt>
                <c:pt idx="167">
                  <c:v>3.7340176398613922E-3</c:v>
                </c:pt>
                <c:pt idx="168">
                  <c:v>3.434027865531921E-3</c:v>
                </c:pt>
                <c:pt idx="169">
                  <c:v>3.1727054628954299E-3</c:v>
                </c:pt>
                <c:pt idx="170">
                  <c:v>2.8253207795366662E-3</c:v>
                </c:pt>
                <c:pt idx="171">
                  <c:v>2.6199469553413479E-3</c:v>
                </c:pt>
                <c:pt idx="172">
                  <c:v>2.3873877691518298E-3</c:v>
                </c:pt>
                <c:pt idx="173">
                  <c:v>2.0623906262525809E-3</c:v>
                </c:pt>
              </c:numCache>
            </c:numRef>
          </c:val>
          <c:smooth val="0"/>
        </c:ser>
        <c:ser>
          <c:idx val="4"/>
          <c:order val="4"/>
          <c:tx>
            <c:strRef>
              <c:f>あらめ!$AA$196</c:f>
              <c:strCache>
                <c:ptCount val="1"/>
                <c:pt idx="0">
                  <c:v>I-131</c:v>
                </c:pt>
              </c:strCache>
            </c:strRef>
          </c:tx>
          <c:spPr>
            <a:ln w="0">
              <a:solidFill>
                <a:srgbClr val="FF00FF"/>
              </a:solidFill>
            </a:ln>
          </c:spPr>
          <c:marker>
            <c:symbol val="star"/>
            <c:size val="5"/>
            <c:spPr>
              <a:ln w="0">
                <a:solidFill>
                  <a:srgbClr val="FF00FF"/>
                </a:solidFill>
              </a:ln>
            </c:spPr>
          </c:marker>
          <c:cat>
            <c:numRef>
              <c:f>あらめ!$V$197:$V$383</c:f>
              <c:numCache>
                <c:formatCode>0.000000000000000000000000000000E+00</c:formatCode>
                <c:ptCount val="187"/>
                <c:pt idx="5" formatCode="[$-411]m\.d\.ge">
                  <c:v>30252</c:v>
                </c:pt>
                <c:pt idx="7" formatCode="[$-411]m\.d\.ge">
                  <c:v>30340</c:v>
                </c:pt>
                <c:pt idx="8" formatCode="[$-411]m\.d\.ge">
                  <c:v>30607</c:v>
                </c:pt>
                <c:pt idx="10" formatCode="[$-411]m\.d\.ge">
                  <c:v>30694</c:v>
                </c:pt>
                <c:pt idx="11" formatCode="[$-411]m\.d\.ge">
                  <c:v>30799</c:v>
                </c:pt>
                <c:pt idx="12" formatCode="[$-411]m\.d\.ge">
                  <c:v>30866</c:v>
                </c:pt>
                <c:pt idx="13" formatCode="[$-411]m\.d\.ge">
                  <c:v>30959</c:v>
                </c:pt>
                <c:pt idx="15" formatCode="[$-411]m\.d\.ge">
                  <c:v>31061</c:v>
                </c:pt>
                <c:pt idx="16" formatCode="[$-411]m\.d\.ge">
                  <c:v>31156</c:v>
                </c:pt>
                <c:pt idx="18" formatCode="[$-411]m\.d\.ge">
                  <c:v>31237</c:v>
                </c:pt>
                <c:pt idx="19" formatCode="[$-411]m\.d\.ge">
                  <c:v>31332</c:v>
                </c:pt>
                <c:pt idx="20" formatCode="[$-411]m\.d\.ge">
                  <c:v>31442</c:v>
                </c:pt>
                <c:pt idx="22" formatCode="[$-411]m\.d\.ge">
                  <c:v>31517</c:v>
                </c:pt>
                <c:pt idx="24" formatCode="[$-411]m\.d\.ge">
                  <c:v>31528</c:v>
                </c:pt>
                <c:pt idx="25" formatCode="[$-411]m\.d\.ge">
                  <c:v>31604</c:v>
                </c:pt>
                <c:pt idx="27" formatCode="[$-411]m\.d\.ge">
                  <c:v>31709</c:v>
                </c:pt>
                <c:pt idx="29" formatCode="[$-411]m\.d\.ge">
                  <c:v>31798</c:v>
                </c:pt>
                <c:pt idx="31" formatCode="[$-411]m\.d\.ge">
                  <c:v>31873</c:v>
                </c:pt>
                <c:pt idx="33" formatCode="[$-411]m\.d\.ge">
                  <c:v>31972</c:v>
                </c:pt>
                <c:pt idx="35" formatCode="[$-411]m\.d\.ge">
                  <c:v>32074</c:v>
                </c:pt>
                <c:pt idx="36" formatCode="[$-411]m\.d\.ge">
                  <c:v>32161</c:v>
                </c:pt>
                <c:pt idx="37" formatCode="[$-411]m\.d\.ge">
                  <c:v>32247</c:v>
                </c:pt>
                <c:pt idx="39" formatCode="[$-411]m\.d\.ge">
                  <c:v>32344</c:v>
                </c:pt>
                <c:pt idx="40" formatCode="[$-411]m\.d\.ge">
                  <c:v>32441</c:v>
                </c:pt>
                <c:pt idx="41" formatCode="[$-411]m\.d\.ge">
                  <c:v>32525</c:v>
                </c:pt>
                <c:pt idx="42" formatCode="[$-411]m\.d\.ge">
                  <c:v>32616</c:v>
                </c:pt>
                <c:pt idx="44" formatCode="[$-411]m\.d\.ge">
                  <c:v>32708</c:v>
                </c:pt>
                <c:pt idx="45" formatCode="[$-411]m\.d\.ge">
                  <c:v>32805</c:v>
                </c:pt>
                <c:pt idx="46" formatCode="[$-411]m\.d\.ge">
                  <c:v>32883</c:v>
                </c:pt>
                <c:pt idx="47" formatCode="[$-411]m\.d\.ge">
                  <c:v>33000</c:v>
                </c:pt>
                <c:pt idx="48" formatCode="[$-411]m\.d\.ge">
                  <c:v>33059</c:v>
                </c:pt>
                <c:pt idx="49" formatCode="[$-411]m\.d\.ge">
                  <c:v>33177</c:v>
                </c:pt>
                <c:pt idx="50" formatCode="[$-411]m\.d\.ge">
                  <c:v>33259</c:v>
                </c:pt>
                <c:pt idx="51" formatCode="[$-411]m\.d\.ge">
                  <c:v>33350</c:v>
                </c:pt>
                <c:pt idx="52" formatCode="[$-411]m\.d\.ge">
                  <c:v>33430</c:v>
                </c:pt>
                <c:pt idx="53" formatCode="[$-411]m\.d\.ge">
                  <c:v>33532</c:v>
                </c:pt>
                <c:pt idx="54" formatCode="[$-411]m\.d\.ge">
                  <c:v>33625</c:v>
                </c:pt>
                <c:pt idx="55" formatCode="[$-411]m\.d\.ge">
                  <c:v>33716</c:v>
                </c:pt>
                <c:pt idx="56" formatCode="[$-411]m\.d\.ge">
                  <c:v>33791</c:v>
                </c:pt>
                <c:pt idx="57" formatCode="[$-411]m\.d\.ge">
                  <c:v>33906</c:v>
                </c:pt>
                <c:pt idx="58" formatCode="[$-411]m\.d\.ge">
                  <c:v>34001</c:v>
                </c:pt>
                <c:pt idx="59" formatCode="[$-411]m\.d\.ge">
                  <c:v>34085</c:v>
                </c:pt>
                <c:pt idx="60" formatCode="[$-411]m\.d\.ge">
                  <c:v>34156</c:v>
                </c:pt>
                <c:pt idx="61" formatCode="[$-411]m\.d\.ge">
                  <c:v>34248</c:v>
                </c:pt>
                <c:pt idx="62" formatCode="[$-411]m\.d\.ge">
                  <c:v>34372</c:v>
                </c:pt>
                <c:pt idx="63" formatCode="[$-411]m\.d\.ge">
                  <c:v>34445</c:v>
                </c:pt>
                <c:pt idx="64" formatCode="[$-411]m\.d\.ge">
                  <c:v>34541</c:v>
                </c:pt>
                <c:pt idx="65" formatCode="[$-411]m\.d\.ge">
                  <c:v>34618</c:v>
                </c:pt>
                <c:pt idx="66" formatCode="[$-411]m\.d\.ge">
                  <c:v>34737</c:v>
                </c:pt>
                <c:pt idx="67" formatCode="[$-411]m\.d\.ge">
                  <c:v>34810</c:v>
                </c:pt>
                <c:pt idx="68" formatCode="[$-411]m\.d\.ge">
                  <c:v>34905</c:v>
                </c:pt>
                <c:pt idx="69" formatCode="[$-411]m\.d\.ge">
                  <c:v>34990</c:v>
                </c:pt>
                <c:pt idx="70" formatCode="[$-411]m\.d\.ge">
                  <c:v>35086</c:v>
                </c:pt>
                <c:pt idx="71" formatCode="[$-411]m\.d\.ge">
                  <c:v>35179</c:v>
                </c:pt>
                <c:pt idx="72" formatCode="[$-411]m\.d\.ge">
                  <c:v>35277</c:v>
                </c:pt>
                <c:pt idx="73" formatCode="[$-411]m\.d\.ge">
                  <c:v>35352</c:v>
                </c:pt>
                <c:pt idx="74" formatCode="[$-411]m\.d\.ge">
                  <c:v>35492</c:v>
                </c:pt>
                <c:pt idx="75" formatCode="[$-411]m\.d\.ge">
                  <c:v>35535</c:v>
                </c:pt>
                <c:pt idx="76" formatCode="[$-411]m\.d\.ge">
                  <c:v>35626</c:v>
                </c:pt>
                <c:pt idx="77" formatCode="[$-411]m\.d\.ge">
                  <c:v>35717</c:v>
                </c:pt>
                <c:pt idx="78" formatCode="[$-411]m\.d\.ge">
                  <c:v>35822</c:v>
                </c:pt>
                <c:pt idx="79" formatCode="[$-411]m\.d\.ge">
                  <c:v>35926</c:v>
                </c:pt>
                <c:pt idx="80" formatCode="[$-411]m\.d\.ge">
                  <c:v>36004</c:v>
                </c:pt>
                <c:pt idx="81" formatCode="[$-411]m\.d\.ge">
                  <c:v>36074</c:v>
                </c:pt>
                <c:pt idx="82" formatCode="[$-411]m\.d\.ge">
                  <c:v>36193</c:v>
                </c:pt>
                <c:pt idx="83" formatCode="[$-411]m\.d\.ge">
                  <c:v>36292</c:v>
                </c:pt>
                <c:pt idx="84" formatCode="[$-411]m\.d\.ge">
                  <c:v>36362</c:v>
                </c:pt>
                <c:pt idx="85" formatCode="[$-411]m\.d\.ge">
                  <c:v>36452</c:v>
                </c:pt>
                <c:pt idx="86" formatCode="[$-411]m\.d\.ge">
                  <c:v>36551</c:v>
                </c:pt>
                <c:pt idx="87" formatCode="[$-411]m\.d\.ge">
                  <c:v>36656</c:v>
                </c:pt>
                <c:pt idx="88" formatCode="[$-411]m\.d\.ge">
                  <c:v>36719</c:v>
                </c:pt>
                <c:pt idx="89" formatCode="[$-411]m\.d\.ge">
                  <c:v>36815</c:v>
                </c:pt>
                <c:pt idx="90" formatCode="[$-411]m\.d\.ge">
                  <c:v>36909</c:v>
                </c:pt>
                <c:pt idx="91" formatCode="[$-411]m\.d\.ge">
                  <c:v>37005</c:v>
                </c:pt>
                <c:pt idx="92" formatCode="[$-411]m\.d\.ge">
                  <c:v>37081</c:v>
                </c:pt>
                <c:pt idx="93" formatCode="[$-411]m\.d\.ge">
                  <c:v>37180</c:v>
                </c:pt>
                <c:pt idx="94" formatCode="[$-411]m\.d\.ge">
                  <c:v>37293</c:v>
                </c:pt>
                <c:pt idx="95" formatCode="[$-411]m\.d\.ge">
                  <c:v>37362</c:v>
                </c:pt>
                <c:pt idx="96" formatCode="[$-411]m\.d\.ge">
                  <c:v>37454</c:v>
                </c:pt>
                <c:pt idx="97" formatCode="[$-411]m\.d\.ge">
                  <c:v>37559</c:v>
                </c:pt>
                <c:pt idx="98" formatCode="[$-411]m\.d\.ge">
                  <c:v>37656</c:v>
                </c:pt>
                <c:pt idx="99" formatCode="[$-411]m\.d\.ge">
                  <c:v>37727</c:v>
                </c:pt>
                <c:pt idx="100" formatCode="[$-411]m\.d\.ge">
                  <c:v>37837</c:v>
                </c:pt>
                <c:pt idx="101" formatCode="[$-411]m\.d\.ge">
                  <c:v>37915</c:v>
                </c:pt>
                <c:pt idx="102" formatCode="[$-411]m\.d\.ge">
                  <c:v>38015</c:v>
                </c:pt>
                <c:pt idx="103" formatCode="[$-411]m\.d\.ge">
                  <c:v>38091</c:v>
                </c:pt>
                <c:pt idx="104" formatCode="[$-411]m\.d\.ge">
                  <c:v>38195</c:v>
                </c:pt>
                <c:pt idx="105" formatCode="[$-411]m\.d\.ge">
                  <c:v>38286</c:v>
                </c:pt>
                <c:pt idx="106" formatCode="[$-411]m\.d\.ge">
                  <c:v>38385</c:v>
                </c:pt>
                <c:pt idx="107" formatCode="[$-411]m\.d\.ge">
                  <c:v>38467</c:v>
                </c:pt>
                <c:pt idx="108" formatCode="[$-411]m\.d\.ge">
                  <c:v>38553</c:v>
                </c:pt>
                <c:pt idx="109" formatCode="[$-411]m\.d\.ge">
                  <c:v>38651</c:v>
                </c:pt>
                <c:pt idx="110" formatCode="[$-411]m\.d\.ge">
                  <c:v>38747</c:v>
                </c:pt>
                <c:pt idx="111" formatCode="[$-411]m\.d\.ge">
                  <c:v>38834</c:v>
                </c:pt>
                <c:pt idx="112" formatCode="[$-411]m\.d\.ge">
                  <c:v>38910</c:v>
                </c:pt>
                <c:pt idx="113" formatCode="[$-411]m\.d\.ge">
                  <c:v>39023</c:v>
                </c:pt>
                <c:pt idx="114" formatCode="[$-411]m\.d\.ge">
                  <c:v>39105</c:v>
                </c:pt>
                <c:pt idx="115" formatCode="[$-411]m\.d\.ge">
                  <c:v>39198</c:v>
                </c:pt>
                <c:pt idx="116" formatCode="[$-411]m\.d\.ge">
                  <c:v>39303</c:v>
                </c:pt>
                <c:pt idx="117" formatCode="[$-411]m\.d\.ge">
                  <c:v>39366</c:v>
                </c:pt>
                <c:pt idx="118" formatCode="[$-411]m\.d\.ge">
                  <c:v>39470</c:v>
                </c:pt>
                <c:pt idx="119" formatCode="[$-411]m\.d\.ge">
                  <c:v>39566</c:v>
                </c:pt>
                <c:pt idx="121" formatCode="0.E+00">
                  <c:v>3.8530217851091534E-308</c:v>
                </c:pt>
                <c:pt idx="122" formatCode="0.E+00">
                  <c:v>3.5370225297279948E-308</c:v>
                </c:pt>
                <c:pt idx="123" formatCode="0.E+00">
                  <c:v>3.2469394344345388E-308</c:v>
                </c:pt>
                <c:pt idx="124" formatCode="0.E+00">
                  <c:v>2.9806470279101202E-308</c:v>
                </c:pt>
                <c:pt idx="125" formatCode="0.E+00">
                  <c:v>2.7361941558776368E-308</c:v>
                </c:pt>
                <c:pt idx="126" formatCode="0.E+00">
                  <c:v>2.5117896847749598E-308</c:v>
                </c:pt>
                <c:pt idx="127" formatCode="0.E+00">
                  <c:v>2.305789377917244E-308</c:v>
                </c:pt>
                <c:pt idx="128" formatCode="0.E+00">
                  <c:v>0</c:v>
                </c:pt>
                <c:pt idx="129" formatCode="0.E+00">
                  <c:v>0</c:v>
                </c:pt>
                <c:pt idx="130" formatCode="0.E+00">
                  <c:v>0</c:v>
                </c:pt>
                <c:pt idx="135" formatCode="[$-411]m\.d\.ge">
                  <c:v>39701</c:v>
                </c:pt>
                <c:pt idx="136" formatCode="[$-411]m\.d\.ge">
                  <c:v>39783</c:v>
                </c:pt>
                <c:pt idx="137" formatCode="[$-411]m\.d\.ge">
                  <c:v>39853</c:v>
                </c:pt>
                <c:pt idx="138" formatCode="[$-411]m\.d\.ge">
                  <c:v>39953</c:v>
                </c:pt>
                <c:pt idx="139" formatCode="[$-411]m\.d\.ge">
                  <c:v>40046</c:v>
                </c:pt>
                <c:pt idx="140" formatCode="[$-411]m\.d\.ge">
                  <c:v>40127</c:v>
                </c:pt>
                <c:pt idx="141" formatCode="[$-411]m\.d\.ge">
                  <c:v>40218</c:v>
                </c:pt>
                <c:pt idx="142" formatCode="[$-411]m\.d\.ge">
                  <c:v>40315</c:v>
                </c:pt>
                <c:pt idx="143" formatCode="[$-411]m\.d\.ge">
                  <c:v>40400</c:v>
                </c:pt>
                <c:pt idx="144" formatCode="[$-411]m\.d\.ge">
                  <c:v>40493</c:v>
                </c:pt>
                <c:pt idx="145" formatCode="[$-411]m\.d\.ge">
                  <c:v>40581</c:v>
                </c:pt>
                <c:pt idx="146" formatCode="[$-411]m\.d\.ge">
                  <c:v>40612</c:v>
                </c:pt>
                <c:pt idx="147" formatCode="[$-411]m\.d\.ge">
                  <c:v>40613</c:v>
                </c:pt>
                <c:pt idx="148" formatCode="[$-411]m\.d\.ge">
                  <c:v>40737</c:v>
                </c:pt>
                <c:pt idx="149" formatCode="[$-411]m\.d\.ge">
                  <c:v>40784</c:v>
                </c:pt>
                <c:pt idx="150" formatCode="[$-411]m\.d\.ge">
                  <c:v>40858</c:v>
                </c:pt>
                <c:pt idx="151" formatCode="[$-411]m\.d\.ge">
                  <c:v>40948</c:v>
                </c:pt>
                <c:pt idx="152" formatCode="[$-411]m\.d\.ge">
                  <c:v>41044</c:v>
                </c:pt>
                <c:pt idx="153" formatCode="[$-411]m\.d\.ge">
                  <c:v>41143</c:v>
                </c:pt>
                <c:pt idx="154" formatCode="[$-411]m\.d\.ge">
                  <c:v>41242</c:v>
                </c:pt>
                <c:pt idx="155" formatCode="[$-411]m\.d\.ge">
                  <c:v>41331</c:v>
                </c:pt>
                <c:pt idx="156" formatCode="[$-411]m\.d\.ge">
                  <c:v>41409</c:v>
                </c:pt>
                <c:pt idx="157" formatCode="[$-411]m\.d\.ge">
                  <c:v>41507</c:v>
                </c:pt>
                <c:pt idx="158" formatCode="[$-411]m\.d\.ge">
                  <c:v>41603</c:v>
                </c:pt>
                <c:pt idx="159" formatCode="[$-411]m\.d\.ge">
                  <c:v>41694</c:v>
                </c:pt>
                <c:pt idx="160" formatCode="[$-411]m\.d\.ge">
                  <c:v>41779</c:v>
                </c:pt>
                <c:pt idx="161" formatCode="[$-411]m\.d\.ge">
                  <c:v>41871</c:v>
                </c:pt>
                <c:pt idx="162" formatCode="[$-411]m\.d\.ge">
                  <c:v>41954</c:v>
                </c:pt>
                <c:pt idx="163" formatCode="[$-411]m\.d\.ge">
                  <c:v>42069</c:v>
                </c:pt>
                <c:pt idx="164" formatCode="[$-411]m\.d\.ge">
                  <c:v>42146</c:v>
                </c:pt>
                <c:pt idx="165" formatCode="[$-411]m\.d\.ge">
                  <c:v>42275</c:v>
                </c:pt>
                <c:pt idx="166" formatCode="[$-411]m\.d\.ge">
                  <c:v>42348</c:v>
                </c:pt>
                <c:pt idx="167" formatCode="[$-411]m\.d\.ge">
                  <c:v>42409</c:v>
                </c:pt>
                <c:pt idx="168" formatCode="[$-411]m\.d\.ge">
                  <c:v>42500</c:v>
                </c:pt>
                <c:pt idx="169" formatCode="[$-411]m\.d\.ge">
                  <c:v>42586</c:v>
                </c:pt>
                <c:pt idx="170" formatCode="[$-411]m\.d\.ge">
                  <c:v>42712</c:v>
                </c:pt>
                <c:pt idx="171" formatCode="[$-411]m\.d\.ge">
                  <c:v>42794</c:v>
                </c:pt>
                <c:pt idx="172" formatCode="[$-411]m\.d\.ge">
                  <c:v>42895</c:v>
                </c:pt>
                <c:pt idx="173" formatCode="[$-411]m\.d\.ge">
                  <c:v>43054</c:v>
                </c:pt>
              </c:numCache>
            </c:numRef>
          </c:cat>
          <c:val>
            <c:numRef>
              <c:f>あらめ!$AA$197:$AA$383</c:f>
              <c:numCache>
                <c:formatCode>0.000</c:formatCode>
                <c:ptCount val="187"/>
                <c:pt idx="135" formatCode="0.000;&quot;△ &quot;0.000">
                  <c:v>0.13</c:v>
                </c:pt>
                <c:pt idx="139" formatCode="0.000;&quot;△ &quot;0.000">
                  <c:v>0.11</c:v>
                </c:pt>
                <c:pt idx="148" formatCode="0.000;&quot;△ &quot;0.000">
                  <c:v>1.34</c:v>
                </c:pt>
                <c:pt idx="149" formatCode=".00000">
                  <c:v>9.9357430866970312E-9</c:v>
                </c:pt>
                <c:pt idx="150" formatCode=".00000">
                  <c:v>1.7664083632456107E-11</c:v>
                </c:pt>
                <c:pt idx="151" formatCode=".00000">
                  <c:v>7.9866316901218915E-15</c:v>
                </c:pt>
                <c:pt idx="152" formatCode="0.000;&quot;△ &quot;0.000">
                  <c:v>0.13</c:v>
                </c:pt>
                <c:pt idx="153" formatCode=".00000">
                  <c:v>4.5232872751166693E-22</c:v>
                </c:pt>
                <c:pt idx="154" formatCode=".00000">
                  <c:v>9.4679067098888327E-26</c:v>
                </c:pt>
                <c:pt idx="155" formatCode=".00000">
                  <c:v>4.6632656159073613E-29</c:v>
                </c:pt>
                <c:pt idx="156" formatCode=".00000">
                  <c:v>5.8874381635342488E-32</c:v>
                </c:pt>
                <c:pt idx="157" formatCode=".00000">
                  <c:v>1.3424242734308087E-35</c:v>
                </c:pt>
                <c:pt idx="158" formatCode=".00000">
                  <c:v>3.632289964531781E-39</c:v>
                </c:pt>
                <c:pt idx="159" formatCode=".00000">
                  <c:v>1.507611415472413E-42</c:v>
                </c:pt>
                <c:pt idx="160" formatCode=".00000">
                  <c:v>1.0456351016964319E-45</c:v>
                </c:pt>
                <c:pt idx="161" formatCode="0.000;&quot;△ &quot;0.000">
                  <c:v>9.2999999999999999E-2</c:v>
                </c:pt>
                <c:pt idx="162" formatCode=".00000">
                  <c:v>3.2790152426290146E-52</c:v>
                </c:pt>
                <c:pt idx="163" formatCode=".00000">
                  <c:v>1.7455207686230873E-56</c:v>
                </c:pt>
                <c:pt idx="164" formatCode=".00000">
                  <c:v>2.4006279843133733E-59</c:v>
                </c:pt>
                <c:pt idx="165" formatCode=".00000">
                  <c:v>3.8566969282001154E-64</c:v>
                </c:pt>
                <c:pt idx="166" formatCode=".00000">
                  <c:v>7.4691281251616903E-67</c:v>
                </c:pt>
                <c:pt idx="167" formatCode=".00000">
                  <c:v>4.0391312675024837E-69</c:v>
                </c:pt>
                <c:pt idx="168" formatCode="&quot;(&quot;0.00&quot;)&quot;">
                  <c:v>7.8E-2</c:v>
                </c:pt>
                <c:pt idx="169" formatCode="0.000;&quot;△ &quot;0.000">
                  <c:v>0.1</c:v>
                </c:pt>
                <c:pt idx="170" formatCode=".00000">
                  <c:v>2.2166929241351132E-80</c:v>
                </c:pt>
                <c:pt idx="171" formatCode=".00000">
                  <c:v>1.9874087011914433E-83</c:v>
                </c:pt>
                <c:pt idx="172" formatCode=".00000">
                  <c:v>3.5055786027224938E-87</c:v>
                </c:pt>
                <c:pt idx="173" formatCode=".00000">
                  <c:v>4.3225617408171108E-93</c:v>
                </c:pt>
              </c:numCache>
            </c:numRef>
          </c:val>
          <c:smooth val="0"/>
        </c:ser>
        <c:ser>
          <c:idx val="5"/>
          <c:order val="5"/>
          <c:tx>
            <c:strRef>
              <c:f>あらめ!$AB$196</c:f>
              <c:strCache>
                <c:ptCount val="1"/>
                <c:pt idx="0">
                  <c:v>Sr-90</c:v>
                </c:pt>
              </c:strCache>
            </c:strRef>
          </c:tx>
          <c:spPr>
            <a:ln w="0">
              <a:solidFill>
                <a:srgbClr val="7030A0"/>
              </a:solidFill>
            </a:ln>
          </c:spPr>
          <c:marker>
            <c:symbol val="circle"/>
            <c:size val="4"/>
            <c:spPr>
              <a:solidFill>
                <a:srgbClr val="7030A0"/>
              </a:solidFill>
              <a:ln>
                <a:solidFill>
                  <a:srgbClr val="7030A0"/>
                </a:solidFill>
              </a:ln>
            </c:spPr>
          </c:marker>
          <c:cat>
            <c:numRef>
              <c:f>あらめ!$V$197:$V$383</c:f>
              <c:numCache>
                <c:formatCode>0.000000000000000000000000000000E+00</c:formatCode>
                <c:ptCount val="187"/>
                <c:pt idx="5" formatCode="[$-411]m\.d\.ge">
                  <c:v>30252</c:v>
                </c:pt>
                <c:pt idx="7" formatCode="[$-411]m\.d\.ge">
                  <c:v>30340</c:v>
                </c:pt>
                <c:pt idx="8" formatCode="[$-411]m\.d\.ge">
                  <c:v>30607</c:v>
                </c:pt>
                <c:pt idx="10" formatCode="[$-411]m\.d\.ge">
                  <c:v>30694</c:v>
                </c:pt>
                <c:pt idx="11" formatCode="[$-411]m\.d\.ge">
                  <c:v>30799</c:v>
                </c:pt>
                <c:pt idx="12" formatCode="[$-411]m\.d\.ge">
                  <c:v>30866</c:v>
                </c:pt>
                <c:pt idx="13" formatCode="[$-411]m\.d\.ge">
                  <c:v>30959</c:v>
                </c:pt>
                <c:pt idx="15" formatCode="[$-411]m\.d\.ge">
                  <c:v>31061</c:v>
                </c:pt>
                <c:pt idx="16" formatCode="[$-411]m\.d\.ge">
                  <c:v>31156</c:v>
                </c:pt>
                <c:pt idx="18" formatCode="[$-411]m\.d\.ge">
                  <c:v>31237</c:v>
                </c:pt>
                <c:pt idx="19" formatCode="[$-411]m\.d\.ge">
                  <c:v>31332</c:v>
                </c:pt>
                <c:pt idx="20" formatCode="[$-411]m\.d\.ge">
                  <c:v>31442</c:v>
                </c:pt>
                <c:pt idx="22" formatCode="[$-411]m\.d\.ge">
                  <c:v>31517</c:v>
                </c:pt>
                <c:pt idx="24" formatCode="[$-411]m\.d\.ge">
                  <c:v>31528</c:v>
                </c:pt>
                <c:pt idx="25" formatCode="[$-411]m\.d\.ge">
                  <c:v>31604</c:v>
                </c:pt>
                <c:pt idx="27" formatCode="[$-411]m\.d\.ge">
                  <c:v>31709</c:v>
                </c:pt>
                <c:pt idx="29" formatCode="[$-411]m\.d\.ge">
                  <c:v>31798</c:v>
                </c:pt>
                <c:pt idx="31" formatCode="[$-411]m\.d\.ge">
                  <c:v>31873</c:v>
                </c:pt>
                <c:pt idx="33" formatCode="[$-411]m\.d\.ge">
                  <c:v>31972</c:v>
                </c:pt>
                <c:pt idx="35" formatCode="[$-411]m\.d\.ge">
                  <c:v>32074</c:v>
                </c:pt>
                <c:pt idx="36" formatCode="[$-411]m\.d\.ge">
                  <c:v>32161</c:v>
                </c:pt>
                <c:pt idx="37" formatCode="[$-411]m\.d\.ge">
                  <c:v>32247</c:v>
                </c:pt>
                <c:pt idx="39" formatCode="[$-411]m\.d\.ge">
                  <c:v>32344</c:v>
                </c:pt>
                <c:pt idx="40" formatCode="[$-411]m\.d\.ge">
                  <c:v>32441</c:v>
                </c:pt>
                <c:pt idx="41" formatCode="[$-411]m\.d\.ge">
                  <c:v>32525</c:v>
                </c:pt>
                <c:pt idx="42" formatCode="[$-411]m\.d\.ge">
                  <c:v>32616</c:v>
                </c:pt>
                <c:pt idx="44" formatCode="[$-411]m\.d\.ge">
                  <c:v>32708</c:v>
                </c:pt>
                <c:pt idx="45" formatCode="[$-411]m\.d\.ge">
                  <c:v>32805</c:v>
                </c:pt>
                <c:pt idx="46" formatCode="[$-411]m\.d\.ge">
                  <c:v>32883</c:v>
                </c:pt>
                <c:pt idx="47" formatCode="[$-411]m\.d\.ge">
                  <c:v>33000</c:v>
                </c:pt>
                <c:pt idx="48" formatCode="[$-411]m\.d\.ge">
                  <c:v>33059</c:v>
                </c:pt>
                <c:pt idx="49" formatCode="[$-411]m\.d\.ge">
                  <c:v>33177</c:v>
                </c:pt>
                <c:pt idx="50" formatCode="[$-411]m\.d\.ge">
                  <c:v>33259</c:v>
                </c:pt>
                <c:pt idx="51" formatCode="[$-411]m\.d\.ge">
                  <c:v>33350</c:v>
                </c:pt>
                <c:pt idx="52" formatCode="[$-411]m\.d\.ge">
                  <c:v>33430</c:v>
                </c:pt>
                <c:pt idx="53" formatCode="[$-411]m\.d\.ge">
                  <c:v>33532</c:v>
                </c:pt>
                <c:pt idx="54" formatCode="[$-411]m\.d\.ge">
                  <c:v>33625</c:v>
                </c:pt>
                <c:pt idx="55" formatCode="[$-411]m\.d\.ge">
                  <c:v>33716</c:v>
                </c:pt>
                <c:pt idx="56" formatCode="[$-411]m\.d\.ge">
                  <c:v>33791</c:v>
                </c:pt>
                <c:pt idx="57" formatCode="[$-411]m\.d\.ge">
                  <c:v>33906</c:v>
                </c:pt>
                <c:pt idx="58" formatCode="[$-411]m\.d\.ge">
                  <c:v>34001</c:v>
                </c:pt>
                <c:pt idx="59" formatCode="[$-411]m\.d\.ge">
                  <c:v>34085</c:v>
                </c:pt>
                <c:pt idx="60" formatCode="[$-411]m\.d\.ge">
                  <c:v>34156</c:v>
                </c:pt>
                <c:pt idx="61" formatCode="[$-411]m\.d\.ge">
                  <c:v>34248</c:v>
                </c:pt>
                <c:pt idx="62" formatCode="[$-411]m\.d\.ge">
                  <c:v>34372</c:v>
                </c:pt>
                <c:pt idx="63" formatCode="[$-411]m\.d\.ge">
                  <c:v>34445</c:v>
                </c:pt>
                <c:pt idx="64" formatCode="[$-411]m\.d\.ge">
                  <c:v>34541</c:v>
                </c:pt>
                <c:pt idx="65" formatCode="[$-411]m\.d\.ge">
                  <c:v>34618</c:v>
                </c:pt>
                <c:pt idx="66" formatCode="[$-411]m\.d\.ge">
                  <c:v>34737</c:v>
                </c:pt>
                <c:pt idx="67" formatCode="[$-411]m\.d\.ge">
                  <c:v>34810</c:v>
                </c:pt>
                <c:pt idx="68" formatCode="[$-411]m\.d\.ge">
                  <c:v>34905</c:v>
                </c:pt>
                <c:pt idx="69" formatCode="[$-411]m\.d\.ge">
                  <c:v>34990</c:v>
                </c:pt>
                <c:pt idx="70" formatCode="[$-411]m\.d\.ge">
                  <c:v>35086</c:v>
                </c:pt>
                <c:pt idx="71" formatCode="[$-411]m\.d\.ge">
                  <c:v>35179</c:v>
                </c:pt>
                <c:pt idx="72" formatCode="[$-411]m\.d\.ge">
                  <c:v>35277</c:v>
                </c:pt>
                <c:pt idx="73" formatCode="[$-411]m\.d\.ge">
                  <c:v>35352</c:v>
                </c:pt>
                <c:pt idx="74" formatCode="[$-411]m\.d\.ge">
                  <c:v>35492</c:v>
                </c:pt>
                <c:pt idx="75" formatCode="[$-411]m\.d\.ge">
                  <c:v>35535</c:v>
                </c:pt>
                <c:pt idx="76" formatCode="[$-411]m\.d\.ge">
                  <c:v>35626</c:v>
                </c:pt>
                <c:pt idx="77" formatCode="[$-411]m\.d\.ge">
                  <c:v>35717</c:v>
                </c:pt>
                <c:pt idx="78" formatCode="[$-411]m\.d\.ge">
                  <c:v>35822</c:v>
                </c:pt>
                <c:pt idx="79" formatCode="[$-411]m\.d\.ge">
                  <c:v>35926</c:v>
                </c:pt>
                <c:pt idx="80" formatCode="[$-411]m\.d\.ge">
                  <c:v>36004</c:v>
                </c:pt>
                <c:pt idx="81" formatCode="[$-411]m\.d\.ge">
                  <c:v>36074</c:v>
                </c:pt>
                <c:pt idx="82" formatCode="[$-411]m\.d\.ge">
                  <c:v>36193</c:v>
                </c:pt>
                <c:pt idx="83" formatCode="[$-411]m\.d\.ge">
                  <c:v>36292</c:v>
                </c:pt>
                <c:pt idx="84" formatCode="[$-411]m\.d\.ge">
                  <c:v>36362</c:v>
                </c:pt>
                <c:pt idx="85" formatCode="[$-411]m\.d\.ge">
                  <c:v>36452</c:v>
                </c:pt>
                <c:pt idx="86" formatCode="[$-411]m\.d\.ge">
                  <c:v>36551</c:v>
                </c:pt>
                <c:pt idx="87" formatCode="[$-411]m\.d\.ge">
                  <c:v>36656</c:v>
                </c:pt>
                <c:pt idx="88" formatCode="[$-411]m\.d\.ge">
                  <c:v>36719</c:v>
                </c:pt>
                <c:pt idx="89" formatCode="[$-411]m\.d\.ge">
                  <c:v>36815</c:v>
                </c:pt>
                <c:pt idx="90" formatCode="[$-411]m\.d\.ge">
                  <c:v>36909</c:v>
                </c:pt>
                <c:pt idx="91" formatCode="[$-411]m\.d\.ge">
                  <c:v>37005</c:v>
                </c:pt>
                <c:pt idx="92" formatCode="[$-411]m\.d\.ge">
                  <c:v>37081</c:v>
                </c:pt>
                <c:pt idx="93" formatCode="[$-411]m\.d\.ge">
                  <c:v>37180</c:v>
                </c:pt>
                <c:pt idx="94" formatCode="[$-411]m\.d\.ge">
                  <c:v>37293</c:v>
                </c:pt>
                <c:pt idx="95" formatCode="[$-411]m\.d\.ge">
                  <c:v>37362</c:v>
                </c:pt>
                <c:pt idx="96" formatCode="[$-411]m\.d\.ge">
                  <c:v>37454</c:v>
                </c:pt>
                <c:pt idx="97" formatCode="[$-411]m\.d\.ge">
                  <c:v>37559</c:v>
                </c:pt>
                <c:pt idx="98" formatCode="[$-411]m\.d\.ge">
                  <c:v>37656</c:v>
                </c:pt>
                <c:pt idx="99" formatCode="[$-411]m\.d\.ge">
                  <c:v>37727</c:v>
                </c:pt>
                <c:pt idx="100" formatCode="[$-411]m\.d\.ge">
                  <c:v>37837</c:v>
                </c:pt>
                <c:pt idx="101" formatCode="[$-411]m\.d\.ge">
                  <c:v>37915</c:v>
                </c:pt>
                <c:pt idx="102" formatCode="[$-411]m\.d\.ge">
                  <c:v>38015</c:v>
                </c:pt>
                <c:pt idx="103" formatCode="[$-411]m\.d\.ge">
                  <c:v>38091</c:v>
                </c:pt>
                <c:pt idx="104" formatCode="[$-411]m\.d\.ge">
                  <c:v>38195</c:v>
                </c:pt>
                <c:pt idx="105" formatCode="[$-411]m\.d\.ge">
                  <c:v>38286</c:v>
                </c:pt>
                <c:pt idx="106" formatCode="[$-411]m\.d\.ge">
                  <c:v>38385</c:v>
                </c:pt>
                <c:pt idx="107" formatCode="[$-411]m\.d\.ge">
                  <c:v>38467</c:v>
                </c:pt>
                <c:pt idx="108" formatCode="[$-411]m\.d\.ge">
                  <c:v>38553</c:v>
                </c:pt>
                <c:pt idx="109" formatCode="[$-411]m\.d\.ge">
                  <c:v>38651</c:v>
                </c:pt>
                <c:pt idx="110" formatCode="[$-411]m\.d\.ge">
                  <c:v>38747</c:v>
                </c:pt>
                <c:pt idx="111" formatCode="[$-411]m\.d\.ge">
                  <c:v>38834</c:v>
                </c:pt>
                <c:pt idx="112" formatCode="[$-411]m\.d\.ge">
                  <c:v>38910</c:v>
                </c:pt>
                <c:pt idx="113" formatCode="[$-411]m\.d\.ge">
                  <c:v>39023</c:v>
                </c:pt>
                <c:pt idx="114" formatCode="[$-411]m\.d\.ge">
                  <c:v>39105</c:v>
                </c:pt>
                <c:pt idx="115" formatCode="[$-411]m\.d\.ge">
                  <c:v>39198</c:v>
                </c:pt>
                <c:pt idx="116" formatCode="[$-411]m\.d\.ge">
                  <c:v>39303</c:v>
                </c:pt>
                <c:pt idx="117" formatCode="[$-411]m\.d\.ge">
                  <c:v>39366</c:v>
                </c:pt>
                <c:pt idx="118" formatCode="[$-411]m\.d\.ge">
                  <c:v>39470</c:v>
                </c:pt>
                <c:pt idx="119" formatCode="[$-411]m\.d\.ge">
                  <c:v>39566</c:v>
                </c:pt>
                <c:pt idx="121" formatCode="0.E+00">
                  <c:v>3.8530217851091534E-308</c:v>
                </c:pt>
                <c:pt idx="122" formatCode="0.E+00">
                  <c:v>3.5370225297279948E-308</c:v>
                </c:pt>
                <c:pt idx="123" formatCode="0.E+00">
                  <c:v>3.2469394344345388E-308</c:v>
                </c:pt>
                <c:pt idx="124" formatCode="0.E+00">
                  <c:v>2.9806470279101202E-308</c:v>
                </c:pt>
                <c:pt idx="125" formatCode="0.E+00">
                  <c:v>2.7361941558776368E-308</c:v>
                </c:pt>
                <c:pt idx="126" formatCode="0.E+00">
                  <c:v>2.5117896847749598E-308</c:v>
                </c:pt>
                <c:pt idx="127" formatCode="0.E+00">
                  <c:v>2.305789377917244E-308</c:v>
                </c:pt>
                <c:pt idx="128" formatCode="0.E+00">
                  <c:v>0</c:v>
                </c:pt>
                <c:pt idx="129" formatCode="0.E+00">
                  <c:v>0</c:v>
                </c:pt>
                <c:pt idx="130" formatCode="0.E+00">
                  <c:v>0</c:v>
                </c:pt>
                <c:pt idx="135" formatCode="[$-411]m\.d\.ge">
                  <c:v>39701</c:v>
                </c:pt>
                <c:pt idx="136" formatCode="[$-411]m\.d\.ge">
                  <c:v>39783</c:v>
                </c:pt>
                <c:pt idx="137" formatCode="[$-411]m\.d\.ge">
                  <c:v>39853</c:v>
                </c:pt>
                <c:pt idx="138" formatCode="[$-411]m\.d\.ge">
                  <c:v>39953</c:v>
                </c:pt>
                <c:pt idx="139" formatCode="[$-411]m\.d\.ge">
                  <c:v>40046</c:v>
                </c:pt>
                <c:pt idx="140" formatCode="[$-411]m\.d\.ge">
                  <c:v>40127</c:v>
                </c:pt>
                <c:pt idx="141" formatCode="[$-411]m\.d\.ge">
                  <c:v>40218</c:v>
                </c:pt>
                <c:pt idx="142" formatCode="[$-411]m\.d\.ge">
                  <c:v>40315</c:v>
                </c:pt>
                <c:pt idx="143" formatCode="[$-411]m\.d\.ge">
                  <c:v>40400</c:v>
                </c:pt>
                <c:pt idx="144" formatCode="[$-411]m\.d\.ge">
                  <c:v>40493</c:v>
                </c:pt>
                <c:pt idx="145" formatCode="[$-411]m\.d\.ge">
                  <c:v>40581</c:v>
                </c:pt>
                <c:pt idx="146" formatCode="[$-411]m\.d\.ge">
                  <c:v>40612</c:v>
                </c:pt>
                <c:pt idx="147" formatCode="[$-411]m\.d\.ge">
                  <c:v>40613</c:v>
                </c:pt>
                <c:pt idx="148" formatCode="[$-411]m\.d\.ge">
                  <c:v>40737</c:v>
                </c:pt>
                <c:pt idx="149" formatCode="[$-411]m\.d\.ge">
                  <c:v>40784</c:v>
                </c:pt>
                <c:pt idx="150" formatCode="[$-411]m\.d\.ge">
                  <c:v>40858</c:v>
                </c:pt>
                <c:pt idx="151" formatCode="[$-411]m\.d\.ge">
                  <c:v>40948</c:v>
                </c:pt>
                <c:pt idx="152" formatCode="[$-411]m\.d\.ge">
                  <c:v>41044</c:v>
                </c:pt>
                <c:pt idx="153" formatCode="[$-411]m\.d\.ge">
                  <c:v>41143</c:v>
                </c:pt>
                <c:pt idx="154" formatCode="[$-411]m\.d\.ge">
                  <c:v>41242</c:v>
                </c:pt>
                <c:pt idx="155" formatCode="[$-411]m\.d\.ge">
                  <c:v>41331</c:v>
                </c:pt>
                <c:pt idx="156" formatCode="[$-411]m\.d\.ge">
                  <c:v>41409</c:v>
                </c:pt>
                <c:pt idx="157" formatCode="[$-411]m\.d\.ge">
                  <c:v>41507</c:v>
                </c:pt>
                <c:pt idx="158" formatCode="[$-411]m\.d\.ge">
                  <c:v>41603</c:v>
                </c:pt>
                <c:pt idx="159" formatCode="[$-411]m\.d\.ge">
                  <c:v>41694</c:v>
                </c:pt>
                <c:pt idx="160" formatCode="[$-411]m\.d\.ge">
                  <c:v>41779</c:v>
                </c:pt>
                <c:pt idx="161" formatCode="[$-411]m\.d\.ge">
                  <c:v>41871</c:v>
                </c:pt>
                <c:pt idx="162" formatCode="[$-411]m\.d\.ge">
                  <c:v>41954</c:v>
                </c:pt>
                <c:pt idx="163" formatCode="[$-411]m\.d\.ge">
                  <c:v>42069</c:v>
                </c:pt>
                <c:pt idx="164" formatCode="[$-411]m\.d\.ge">
                  <c:v>42146</c:v>
                </c:pt>
                <c:pt idx="165" formatCode="[$-411]m\.d\.ge">
                  <c:v>42275</c:v>
                </c:pt>
                <c:pt idx="166" formatCode="[$-411]m\.d\.ge">
                  <c:v>42348</c:v>
                </c:pt>
                <c:pt idx="167" formatCode="[$-411]m\.d\.ge">
                  <c:v>42409</c:v>
                </c:pt>
                <c:pt idx="168" formatCode="[$-411]m\.d\.ge">
                  <c:v>42500</c:v>
                </c:pt>
                <c:pt idx="169" formatCode="[$-411]m\.d\.ge">
                  <c:v>42586</c:v>
                </c:pt>
                <c:pt idx="170" formatCode="[$-411]m\.d\.ge">
                  <c:v>42712</c:v>
                </c:pt>
                <c:pt idx="171" formatCode="[$-411]m\.d\.ge">
                  <c:v>42794</c:v>
                </c:pt>
                <c:pt idx="172" formatCode="[$-411]m\.d\.ge">
                  <c:v>42895</c:v>
                </c:pt>
                <c:pt idx="173" formatCode="[$-411]m\.d\.ge">
                  <c:v>43054</c:v>
                </c:pt>
              </c:numCache>
            </c:numRef>
          </c:cat>
          <c:val>
            <c:numRef>
              <c:f>あらめ!$AB$197:$AB$383</c:f>
              <c:numCache>
                <c:formatCode>0.000;"△ "0.000</c:formatCode>
                <c:ptCount val="187"/>
                <c:pt idx="11" formatCode="0.000">
                  <c:v>8.4834383320072752E-3</c:v>
                </c:pt>
                <c:pt idx="16">
                  <c:v>9.6296296296296297E-2</c:v>
                </c:pt>
                <c:pt idx="22">
                  <c:v>6.6666666666666666E-2</c:v>
                </c:pt>
                <c:pt idx="31">
                  <c:v>6.2962962962962957E-2</c:v>
                </c:pt>
                <c:pt idx="37">
                  <c:v>4.9000000000000002E-2</c:v>
                </c:pt>
                <c:pt idx="42" formatCode="0.000">
                  <c:v>7.5261432828641044E-3</c:v>
                </c:pt>
                <c:pt idx="47">
                  <c:v>4.9000000000000002E-2</c:v>
                </c:pt>
                <c:pt idx="51">
                  <c:v>4.1000000000000002E-2</c:v>
                </c:pt>
                <c:pt idx="55">
                  <c:v>4.9000000000000002E-2</c:v>
                </c:pt>
                <c:pt idx="59">
                  <c:v>0.04</c:v>
                </c:pt>
                <c:pt idx="63">
                  <c:v>1.7999999999999999E-2</c:v>
                </c:pt>
                <c:pt idx="67">
                  <c:v>0.04</c:v>
                </c:pt>
                <c:pt idx="71">
                  <c:v>4.4999999999999998E-2</c:v>
                </c:pt>
                <c:pt idx="75" formatCode="0.000">
                  <c:v>6.2092008224748033E-3</c:v>
                </c:pt>
                <c:pt idx="79">
                  <c:v>3.3000000000000002E-2</c:v>
                </c:pt>
                <c:pt idx="83" formatCode="0.000">
                  <c:v>5.9070638348517421E-3</c:v>
                </c:pt>
                <c:pt idx="87" formatCode="0.000">
                  <c:v>5.7670618368097313E-3</c:v>
                </c:pt>
                <c:pt idx="91" formatCode="0.000">
                  <c:v>5.6359460402099866E-3</c:v>
                </c:pt>
                <c:pt idx="95" formatCode="0.000">
                  <c:v>5.504908420370257E-3</c:v>
                </c:pt>
                <c:pt idx="99">
                  <c:v>3.5000000000000003E-2</c:v>
                </c:pt>
                <c:pt idx="103">
                  <c:v>2.4E-2</c:v>
                </c:pt>
                <c:pt idx="107">
                  <c:v>4.3999999999999997E-2</c:v>
                </c:pt>
                <c:pt idx="111">
                  <c:v>0.03</c:v>
                </c:pt>
                <c:pt idx="115" formatCode="0.000">
                  <c:v>8.9999999999999993E-3</c:v>
                </c:pt>
                <c:pt idx="119" formatCode="0.000">
                  <c:v>4.7607502277803807E-3</c:v>
                </c:pt>
                <c:pt idx="138">
                  <c:v>2.4E-2</c:v>
                </c:pt>
                <c:pt idx="139">
                  <c:v>0.03</c:v>
                </c:pt>
                <c:pt idx="143" formatCode="0.000">
                  <c:v>4.5061718127830507E-3</c:v>
                </c:pt>
                <c:pt idx="149">
                  <c:v>4.2000000000000003E-2</c:v>
                </c:pt>
                <c:pt idx="153">
                  <c:v>3.7999999999999999E-2</c:v>
                </c:pt>
                <c:pt idx="157">
                  <c:v>3.9E-2</c:v>
                </c:pt>
                <c:pt idx="161">
                  <c:v>3.6999999999999998E-2</c:v>
                </c:pt>
                <c:pt idx="165" formatCode="0.000">
                  <c:v>3.9824328441699138E-3</c:v>
                </c:pt>
                <c:pt idx="169">
                  <c:v>0.04</c:v>
                </c:pt>
                <c:pt idx="173">
                  <c:v>4.4999999999999998E-2</c:v>
                </c:pt>
              </c:numCache>
            </c:numRef>
          </c:val>
          <c:smooth val="0"/>
        </c:ser>
        <c:dLbls>
          <c:showLegendKey val="0"/>
          <c:showVal val="0"/>
          <c:showCatName val="0"/>
          <c:showSerName val="0"/>
          <c:showPercent val="0"/>
          <c:showBubbleSize val="0"/>
        </c:dLbls>
        <c:marker val="1"/>
        <c:smooth val="0"/>
        <c:axId val="232146816"/>
        <c:axId val="232189952"/>
      </c:lineChart>
      <c:dateAx>
        <c:axId val="232146816"/>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2189952"/>
        <c:crossesAt val="1.0000000000000003E-4"/>
        <c:auto val="0"/>
        <c:lblOffset val="100"/>
        <c:baseTimeUnit val="days"/>
        <c:majorUnit val="24"/>
        <c:majorTimeUnit val="months"/>
      </c:dateAx>
      <c:valAx>
        <c:axId val="232189952"/>
        <c:scaling>
          <c:logBase val="10"/>
          <c:orientation val="minMax"/>
          <c:min val="1.0000000000000003E-4"/>
        </c:scaling>
        <c:delete val="0"/>
        <c:axPos val="l"/>
        <c:majorGridlines>
          <c:spPr>
            <a:ln w="3175">
              <a:solidFill>
                <a:schemeClr val="bg1">
                  <a:lumMod val="85000"/>
                </a:schemeClr>
              </a:solidFill>
              <a:prstDash val="solid"/>
            </a:ln>
          </c:spPr>
        </c:majorGridlines>
        <c:minorGridlines>
          <c:spPr>
            <a:ln>
              <a:solidFill>
                <a:schemeClr val="bg1">
                  <a:lumMod val="85000"/>
                </a:schemeClr>
              </a:solidFill>
            </a:ln>
          </c:spPr>
        </c:minorGridlines>
        <c:title>
          <c:tx>
            <c:rich>
              <a:bodyPr/>
              <a:lstStyle/>
              <a:p>
                <a:pPr>
                  <a:defRPr sz="1000" b="0" i="0" u="none" strike="noStrike" baseline="0">
                    <a:solidFill>
                      <a:srgbClr val="000000"/>
                    </a:solidFill>
                    <a:latin typeface="Meiryo UI"/>
                    <a:ea typeface="Meiryo UI"/>
                    <a:cs typeface="Meiryo UI"/>
                  </a:defRPr>
                </a:pPr>
                <a:r>
                  <a:rPr lang="ja-JP" altLang="en-US" sz="1000" b="0" i="0" u="none" strike="noStrike" baseline="0">
                    <a:solidFill>
                      <a:srgbClr val="000000"/>
                    </a:solidFill>
                    <a:latin typeface="Meiryo UI"/>
                    <a:ea typeface="Meiryo UI"/>
                  </a:rPr>
                  <a:t>Bq/kg生</a:t>
                </a:r>
              </a:p>
            </c:rich>
          </c:tx>
          <c:layout>
            <c:manualLayout>
              <c:xMode val="edge"/>
              <c:yMode val="edge"/>
              <c:x val="3.099710474335039E-3"/>
              <c:y val="0.43106571138067201"/>
            </c:manualLayout>
          </c:layout>
          <c:overlay val="0"/>
          <c:spPr>
            <a:solidFill>
              <a:sysClr val="window" lastClr="FFFFFF"/>
            </a:solid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2146816"/>
        <c:crosses val="autoZero"/>
        <c:crossBetween val="between"/>
        <c:minorUnit val="10"/>
      </c:valAx>
      <c:spPr>
        <a:noFill/>
        <a:ln w="12700">
          <a:solidFill>
            <a:srgbClr val="808080"/>
          </a:solidFill>
          <a:prstDash val="solid"/>
        </a:ln>
      </c:spPr>
    </c:plotArea>
    <c:legend>
      <c:legendPos val="r"/>
      <c:layout>
        <c:manualLayout>
          <c:xMode val="edge"/>
          <c:yMode val="edge"/>
          <c:x val="0.40339835040333544"/>
          <c:y val="0.17109593067269926"/>
          <c:w val="0.3909085787659029"/>
          <c:h val="0.17044355809235634"/>
        </c:manualLayout>
      </c:layout>
      <c:overlay val="0"/>
      <c:spPr>
        <a:solidFill>
          <a:schemeClr val="bg1"/>
        </a:solidFill>
        <a:ln w="25400">
          <a:noFill/>
        </a:ln>
      </c:spPr>
      <c:txPr>
        <a:bodyPr/>
        <a:lstStyle/>
        <a:p>
          <a:pPr>
            <a:defRPr sz="10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9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あらめ (東防波堤/電力)</a:t>
            </a:r>
          </a:p>
        </c:rich>
      </c:tx>
      <c:layout>
        <c:manualLayout>
          <c:xMode val="edge"/>
          <c:yMode val="edge"/>
          <c:x val="0.11673651029111812"/>
          <c:y val="0.16822187500000002"/>
        </c:manualLayout>
      </c:layout>
      <c:overlay val="0"/>
      <c:spPr>
        <a:solidFill>
          <a:srgbClr val="FFFFFF"/>
        </a:solidFill>
        <a:ln w="25400">
          <a:noFill/>
        </a:ln>
      </c:spPr>
    </c:title>
    <c:autoTitleDeleted val="0"/>
    <c:plotArea>
      <c:layout>
        <c:manualLayout>
          <c:layoutTarget val="inner"/>
          <c:xMode val="edge"/>
          <c:yMode val="edge"/>
          <c:x val="9.8106426212852427E-2"/>
          <c:y val="2.189655172413793E-2"/>
          <c:w val="0.85350791119833191"/>
          <c:h val="0.85617635080097743"/>
        </c:manualLayout>
      </c:layout>
      <c:lineChart>
        <c:grouping val="standard"/>
        <c:varyColors val="0"/>
        <c:ser>
          <c:idx val="1"/>
          <c:order val="0"/>
          <c:tx>
            <c:strRef>
              <c:f>あらめ!$AG$196</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あらめ!$V$197:$V$316</c:f>
              <c:numCache>
                <c:formatCode>0.000000000000000000000000000000E+00</c:formatCode>
                <c:ptCount val="120"/>
                <c:pt idx="5" formatCode="[$-411]m\.d\.ge">
                  <c:v>30252</c:v>
                </c:pt>
                <c:pt idx="7" formatCode="[$-411]m\.d\.ge">
                  <c:v>30340</c:v>
                </c:pt>
                <c:pt idx="8" formatCode="[$-411]m\.d\.ge">
                  <c:v>30607</c:v>
                </c:pt>
                <c:pt idx="10" formatCode="[$-411]m\.d\.ge">
                  <c:v>30694</c:v>
                </c:pt>
                <c:pt idx="11" formatCode="[$-411]m\.d\.ge">
                  <c:v>30799</c:v>
                </c:pt>
                <c:pt idx="12" formatCode="[$-411]m\.d\.ge">
                  <c:v>30866</c:v>
                </c:pt>
                <c:pt idx="13" formatCode="[$-411]m\.d\.ge">
                  <c:v>30959</c:v>
                </c:pt>
                <c:pt idx="15" formatCode="[$-411]m\.d\.ge">
                  <c:v>31061</c:v>
                </c:pt>
                <c:pt idx="16" formatCode="[$-411]m\.d\.ge">
                  <c:v>31156</c:v>
                </c:pt>
                <c:pt idx="18" formatCode="[$-411]m\.d\.ge">
                  <c:v>31237</c:v>
                </c:pt>
                <c:pt idx="19" formatCode="[$-411]m\.d\.ge">
                  <c:v>31332</c:v>
                </c:pt>
                <c:pt idx="20" formatCode="[$-411]m\.d\.ge">
                  <c:v>31442</c:v>
                </c:pt>
                <c:pt idx="22" formatCode="[$-411]m\.d\.ge">
                  <c:v>31517</c:v>
                </c:pt>
                <c:pt idx="24" formatCode="[$-411]m\.d\.ge">
                  <c:v>31528</c:v>
                </c:pt>
                <c:pt idx="25" formatCode="[$-411]m\.d\.ge">
                  <c:v>31604</c:v>
                </c:pt>
                <c:pt idx="27" formatCode="[$-411]m\.d\.ge">
                  <c:v>31709</c:v>
                </c:pt>
                <c:pt idx="29" formatCode="[$-411]m\.d\.ge">
                  <c:v>31798</c:v>
                </c:pt>
                <c:pt idx="31" formatCode="[$-411]m\.d\.ge">
                  <c:v>31873</c:v>
                </c:pt>
                <c:pt idx="33" formatCode="[$-411]m\.d\.ge">
                  <c:v>31972</c:v>
                </c:pt>
                <c:pt idx="35" formatCode="[$-411]m\.d\.ge">
                  <c:v>32074</c:v>
                </c:pt>
                <c:pt idx="36" formatCode="[$-411]m\.d\.ge">
                  <c:v>32161</c:v>
                </c:pt>
                <c:pt idx="37" formatCode="[$-411]m\.d\.ge">
                  <c:v>32247</c:v>
                </c:pt>
                <c:pt idx="39" formatCode="[$-411]m\.d\.ge">
                  <c:v>32344</c:v>
                </c:pt>
                <c:pt idx="40" formatCode="[$-411]m\.d\.ge">
                  <c:v>32441</c:v>
                </c:pt>
                <c:pt idx="41" formatCode="[$-411]m\.d\.ge">
                  <c:v>32525</c:v>
                </c:pt>
                <c:pt idx="42" formatCode="[$-411]m\.d\.ge">
                  <c:v>32616</c:v>
                </c:pt>
                <c:pt idx="44" formatCode="[$-411]m\.d\.ge">
                  <c:v>32708</c:v>
                </c:pt>
                <c:pt idx="45" formatCode="[$-411]m\.d\.ge">
                  <c:v>32805</c:v>
                </c:pt>
                <c:pt idx="46" formatCode="[$-411]m\.d\.ge">
                  <c:v>32883</c:v>
                </c:pt>
                <c:pt idx="47" formatCode="[$-411]m\.d\.ge">
                  <c:v>33000</c:v>
                </c:pt>
                <c:pt idx="48" formatCode="[$-411]m\.d\.ge">
                  <c:v>33059</c:v>
                </c:pt>
                <c:pt idx="49" formatCode="[$-411]m\.d\.ge">
                  <c:v>33177</c:v>
                </c:pt>
                <c:pt idx="50" formatCode="[$-411]m\.d\.ge">
                  <c:v>33259</c:v>
                </c:pt>
                <c:pt idx="51" formatCode="[$-411]m\.d\.ge">
                  <c:v>33350</c:v>
                </c:pt>
                <c:pt idx="52" formatCode="[$-411]m\.d\.ge">
                  <c:v>33430</c:v>
                </c:pt>
                <c:pt idx="53" formatCode="[$-411]m\.d\.ge">
                  <c:v>33532</c:v>
                </c:pt>
                <c:pt idx="54" formatCode="[$-411]m\.d\.ge">
                  <c:v>33625</c:v>
                </c:pt>
                <c:pt idx="55" formatCode="[$-411]m\.d\.ge">
                  <c:v>33716</c:v>
                </c:pt>
                <c:pt idx="56" formatCode="[$-411]m\.d\.ge">
                  <c:v>33791</c:v>
                </c:pt>
                <c:pt idx="57" formatCode="[$-411]m\.d\.ge">
                  <c:v>33906</c:v>
                </c:pt>
                <c:pt idx="58" formatCode="[$-411]m\.d\.ge">
                  <c:v>34001</c:v>
                </c:pt>
                <c:pt idx="59" formatCode="[$-411]m\.d\.ge">
                  <c:v>34085</c:v>
                </c:pt>
                <c:pt idx="60" formatCode="[$-411]m\.d\.ge">
                  <c:v>34156</c:v>
                </c:pt>
                <c:pt idx="61" formatCode="[$-411]m\.d\.ge">
                  <c:v>34248</c:v>
                </c:pt>
                <c:pt idx="62" formatCode="[$-411]m\.d\.ge">
                  <c:v>34372</c:v>
                </c:pt>
                <c:pt idx="63" formatCode="[$-411]m\.d\.ge">
                  <c:v>34445</c:v>
                </c:pt>
                <c:pt idx="64" formatCode="[$-411]m\.d\.ge">
                  <c:v>34541</c:v>
                </c:pt>
                <c:pt idx="65" formatCode="[$-411]m\.d\.ge">
                  <c:v>34618</c:v>
                </c:pt>
                <c:pt idx="66" formatCode="[$-411]m\.d\.ge">
                  <c:v>34737</c:v>
                </c:pt>
                <c:pt idx="67" formatCode="[$-411]m\.d\.ge">
                  <c:v>34810</c:v>
                </c:pt>
                <c:pt idx="68" formatCode="[$-411]m\.d\.ge">
                  <c:v>34905</c:v>
                </c:pt>
                <c:pt idx="69" formatCode="[$-411]m\.d\.ge">
                  <c:v>34990</c:v>
                </c:pt>
                <c:pt idx="70" formatCode="[$-411]m\.d\.ge">
                  <c:v>35086</c:v>
                </c:pt>
                <c:pt idx="71" formatCode="[$-411]m\.d\.ge">
                  <c:v>35179</c:v>
                </c:pt>
                <c:pt idx="72" formatCode="[$-411]m\.d\.ge">
                  <c:v>35277</c:v>
                </c:pt>
                <c:pt idx="73" formatCode="[$-411]m\.d\.ge">
                  <c:v>35352</c:v>
                </c:pt>
                <c:pt idx="74" formatCode="[$-411]m\.d\.ge">
                  <c:v>35492</c:v>
                </c:pt>
                <c:pt idx="75" formatCode="[$-411]m\.d\.ge">
                  <c:v>35535</c:v>
                </c:pt>
                <c:pt idx="76" formatCode="[$-411]m\.d\.ge">
                  <c:v>35626</c:v>
                </c:pt>
                <c:pt idx="77" formatCode="[$-411]m\.d\.ge">
                  <c:v>35717</c:v>
                </c:pt>
                <c:pt idx="78" formatCode="[$-411]m\.d\.ge">
                  <c:v>35822</c:v>
                </c:pt>
                <c:pt idx="79" formatCode="[$-411]m\.d\.ge">
                  <c:v>35926</c:v>
                </c:pt>
                <c:pt idx="80" formatCode="[$-411]m\.d\.ge">
                  <c:v>36004</c:v>
                </c:pt>
                <c:pt idx="81" formatCode="[$-411]m\.d\.ge">
                  <c:v>36074</c:v>
                </c:pt>
                <c:pt idx="82" formatCode="[$-411]m\.d\.ge">
                  <c:v>36193</c:v>
                </c:pt>
                <c:pt idx="83" formatCode="[$-411]m\.d\.ge">
                  <c:v>36292</c:v>
                </c:pt>
                <c:pt idx="84" formatCode="[$-411]m\.d\.ge">
                  <c:v>36362</c:v>
                </c:pt>
                <c:pt idx="85" formatCode="[$-411]m\.d\.ge">
                  <c:v>36452</c:v>
                </c:pt>
                <c:pt idx="86" formatCode="[$-411]m\.d\.ge">
                  <c:v>36551</c:v>
                </c:pt>
                <c:pt idx="87" formatCode="[$-411]m\.d\.ge">
                  <c:v>36656</c:v>
                </c:pt>
                <c:pt idx="88" formatCode="[$-411]m\.d\.ge">
                  <c:v>36719</c:v>
                </c:pt>
                <c:pt idx="89" formatCode="[$-411]m\.d\.ge">
                  <c:v>36815</c:v>
                </c:pt>
                <c:pt idx="90" formatCode="[$-411]m\.d\.ge">
                  <c:v>36909</c:v>
                </c:pt>
                <c:pt idx="91" formatCode="[$-411]m\.d\.ge">
                  <c:v>37005</c:v>
                </c:pt>
                <c:pt idx="92" formatCode="[$-411]m\.d\.ge">
                  <c:v>37081</c:v>
                </c:pt>
                <c:pt idx="93" formatCode="[$-411]m\.d\.ge">
                  <c:v>37180</c:v>
                </c:pt>
                <c:pt idx="94" formatCode="[$-411]m\.d\.ge">
                  <c:v>37293</c:v>
                </c:pt>
                <c:pt idx="95" formatCode="[$-411]m\.d\.ge">
                  <c:v>37362</c:v>
                </c:pt>
                <c:pt idx="96" formatCode="[$-411]m\.d\.ge">
                  <c:v>37454</c:v>
                </c:pt>
                <c:pt idx="97" formatCode="[$-411]m\.d\.ge">
                  <c:v>37559</c:v>
                </c:pt>
                <c:pt idx="98" formatCode="[$-411]m\.d\.ge">
                  <c:v>37656</c:v>
                </c:pt>
                <c:pt idx="99" formatCode="[$-411]m\.d\.ge">
                  <c:v>37727</c:v>
                </c:pt>
                <c:pt idx="100" formatCode="[$-411]m\.d\.ge">
                  <c:v>37837</c:v>
                </c:pt>
                <c:pt idx="101" formatCode="[$-411]m\.d\.ge">
                  <c:v>37915</c:v>
                </c:pt>
                <c:pt idx="102" formatCode="[$-411]m\.d\.ge">
                  <c:v>38015</c:v>
                </c:pt>
                <c:pt idx="103" formatCode="[$-411]m\.d\.ge">
                  <c:v>38091</c:v>
                </c:pt>
                <c:pt idx="104" formatCode="[$-411]m\.d\.ge">
                  <c:v>38195</c:v>
                </c:pt>
                <c:pt idx="105" formatCode="[$-411]m\.d\.ge">
                  <c:v>38286</c:v>
                </c:pt>
                <c:pt idx="106" formatCode="[$-411]m\.d\.ge">
                  <c:v>38385</c:v>
                </c:pt>
                <c:pt idx="107" formatCode="[$-411]m\.d\.ge">
                  <c:v>38467</c:v>
                </c:pt>
                <c:pt idx="108" formatCode="[$-411]m\.d\.ge">
                  <c:v>38553</c:v>
                </c:pt>
                <c:pt idx="109" formatCode="[$-411]m\.d\.ge">
                  <c:v>38651</c:v>
                </c:pt>
                <c:pt idx="110" formatCode="[$-411]m\.d\.ge">
                  <c:v>38747</c:v>
                </c:pt>
                <c:pt idx="111" formatCode="[$-411]m\.d\.ge">
                  <c:v>38834</c:v>
                </c:pt>
                <c:pt idx="112" formatCode="[$-411]m\.d\.ge">
                  <c:v>38910</c:v>
                </c:pt>
                <c:pt idx="113" formatCode="[$-411]m\.d\.ge">
                  <c:v>39023</c:v>
                </c:pt>
                <c:pt idx="114" formatCode="[$-411]m\.d\.ge">
                  <c:v>39105</c:v>
                </c:pt>
                <c:pt idx="115" formatCode="[$-411]m\.d\.ge">
                  <c:v>39198</c:v>
                </c:pt>
                <c:pt idx="116" formatCode="[$-411]m\.d\.ge">
                  <c:v>39303</c:v>
                </c:pt>
                <c:pt idx="117" formatCode="[$-411]m\.d\.ge">
                  <c:v>39366</c:v>
                </c:pt>
                <c:pt idx="118" formatCode="[$-411]m\.d\.ge">
                  <c:v>39470</c:v>
                </c:pt>
                <c:pt idx="119" formatCode="[$-411]m\.d\.ge">
                  <c:v>39566</c:v>
                </c:pt>
              </c:numCache>
            </c:numRef>
          </c:cat>
          <c:val>
            <c:numRef>
              <c:f>あらめ!$AG$197:$AG$316</c:f>
              <c:numCache>
                <c:formatCode>0_);[Red]\(0\)</c:formatCode>
                <c:ptCount val="120"/>
                <c:pt idx="5">
                  <c:v>351.11111111111109</c:v>
                </c:pt>
                <c:pt idx="7">
                  <c:v>350.37037037037038</c:v>
                </c:pt>
                <c:pt idx="8">
                  <c:v>333.33333333333331</c:v>
                </c:pt>
                <c:pt idx="10">
                  <c:v>451.85185185185185</c:v>
                </c:pt>
                <c:pt idx="11">
                  <c:v>314.81481481481484</c:v>
                </c:pt>
                <c:pt idx="12">
                  <c:v>364.07407407407408</c:v>
                </c:pt>
                <c:pt idx="13">
                  <c:v>324.81481481481484</c:v>
                </c:pt>
                <c:pt idx="15">
                  <c:v>477.77777777777777</c:v>
                </c:pt>
                <c:pt idx="16">
                  <c:v>297.03703703703701</c:v>
                </c:pt>
                <c:pt idx="18">
                  <c:v>313.33333333333331</c:v>
                </c:pt>
                <c:pt idx="19">
                  <c:v>322.22222222222223</c:v>
                </c:pt>
                <c:pt idx="20">
                  <c:v>425.92592592592592</c:v>
                </c:pt>
                <c:pt idx="22">
                  <c:v>377.77777777777777</c:v>
                </c:pt>
                <c:pt idx="25">
                  <c:v>321.48148148148147</c:v>
                </c:pt>
                <c:pt idx="27">
                  <c:v>357.77777777777777</c:v>
                </c:pt>
                <c:pt idx="29">
                  <c:v>444.44444444444446</c:v>
                </c:pt>
                <c:pt idx="31">
                  <c:v>288.51851851851853</c:v>
                </c:pt>
                <c:pt idx="33">
                  <c:v>263.7037037037037</c:v>
                </c:pt>
                <c:pt idx="35">
                  <c:v>339.25925925925924</c:v>
                </c:pt>
                <c:pt idx="36">
                  <c:v>425.92592592592592</c:v>
                </c:pt>
                <c:pt idx="37">
                  <c:v>338</c:v>
                </c:pt>
                <c:pt idx="39">
                  <c:v>318</c:v>
                </c:pt>
                <c:pt idx="40">
                  <c:v>355</c:v>
                </c:pt>
                <c:pt idx="41">
                  <c:v>459</c:v>
                </c:pt>
                <c:pt idx="42">
                  <c:v>404</c:v>
                </c:pt>
                <c:pt idx="44">
                  <c:v>329</c:v>
                </c:pt>
                <c:pt idx="45">
                  <c:v>390</c:v>
                </c:pt>
                <c:pt idx="46">
                  <c:v>428</c:v>
                </c:pt>
                <c:pt idx="47">
                  <c:v>415</c:v>
                </c:pt>
                <c:pt idx="48">
                  <c:v>297</c:v>
                </c:pt>
                <c:pt idx="49">
                  <c:v>358</c:v>
                </c:pt>
                <c:pt idx="50">
                  <c:v>432</c:v>
                </c:pt>
                <c:pt idx="51">
                  <c:v>325</c:v>
                </c:pt>
                <c:pt idx="52">
                  <c:v>307</c:v>
                </c:pt>
                <c:pt idx="53">
                  <c:v>372</c:v>
                </c:pt>
                <c:pt idx="54">
                  <c:v>446</c:v>
                </c:pt>
                <c:pt idx="55">
                  <c:v>377</c:v>
                </c:pt>
                <c:pt idx="56">
                  <c:v>378</c:v>
                </c:pt>
                <c:pt idx="57">
                  <c:v>376</c:v>
                </c:pt>
                <c:pt idx="58">
                  <c:v>441</c:v>
                </c:pt>
                <c:pt idx="59">
                  <c:v>271</c:v>
                </c:pt>
                <c:pt idx="60">
                  <c:v>309</c:v>
                </c:pt>
                <c:pt idx="61">
                  <c:v>295</c:v>
                </c:pt>
                <c:pt idx="62">
                  <c:v>380</c:v>
                </c:pt>
                <c:pt idx="63">
                  <c:v>313</c:v>
                </c:pt>
                <c:pt idx="64">
                  <c:v>324</c:v>
                </c:pt>
                <c:pt idx="65">
                  <c:v>281</c:v>
                </c:pt>
                <c:pt idx="66">
                  <c:v>432</c:v>
                </c:pt>
                <c:pt idx="67">
                  <c:v>380</c:v>
                </c:pt>
                <c:pt idx="68">
                  <c:v>346</c:v>
                </c:pt>
                <c:pt idx="69">
                  <c:v>335</c:v>
                </c:pt>
                <c:pt idx="70">
                  <c:v>420</c:v>
                </c:pt>
                <c:pt idx="71">
                  <c:v>362</c:v>
                </c:pt>
                <c:pt idx="72">
                  <c:v>286</c:v>
                </c:pt>
                <c:pt idx="73">
                  <c:v>370</c:v>
                </c:pt>
                <c:pt idx="74">
                  <c:v>394</c:v>
                </c:pt>
                <c:pt idx="75">
                  <c:v>319</c:v>
                </c:pt>
                <c:pt idx="76">
                  <c:v>310</c:v>
                </c:pt>
                <c:pt idx="77">
                  <c:v>350</c:v>
                </c:pt>
                <c:pt idx="78">
                  <c:v>445</c:v>
                </c:pt>
                <c:pt idx="79">
                  <c:v>302</c:v>
                </c:pt>
                <c:pt idx="80">
                  <c:v>313</c:v>
                </c:pt>
                <c:pt idx="81">
                  <c:v>288</c:v>
                </c:pt>
                <c:pt idx="82">
                  <c:v>424</c:v>
                </c:pt>
                <c:pt idx="83">
                  <c:v>354</c:v>
                </c:pt>
                <c:pt idx="84">
                  <c:v>327</c:v>
                </c:pt>
                <c:pt idx="85">
                  <c:v>315</c:v>
                </c:pt>
                <c:pt idx="86">
                  <c:v>441</c:v>
                </c:pt>
                <c:pt idx="87">
                  <c:v>280</c:v>
                </c:pt>
                <c:pt idx="88">
                  <c:v>348</c:v>
                </c:pt>
                <c:pt idx="89">
                  <c:v>327</c:v>
                </c:pt>
                <c:pt idx="90">
                  <c:v>417</c:v>
                </c:pt>
                <c:pt idx="91">
                  <c:v>319</c:v>
                </c:pt>
                <c:pt idx="92">
                  <c:v>343</c:v>
                </c:pt>
                <c:pt idx="93">
                  <c:v>366</c:v>
                </c:pt>
                <c:pt idx="94">
                  <c:v>465</c:v>
                </c:pt>
                <c:pt idx="95">
                  <c:v>393</c:v>
                </c:pt>
                <c:pt idx="96">
                  <c:v>300</c:v>
                </c:pt>
                <c:pt idx="97">
                  <c:v>404</c:v>
                </c:pt>
                <c:pt idx="98">
                  <c:v>454</c:v>
                </c:pt>
                <c:pt idx="99">
                  <c:v>342</c:v>
                </c:pt>
                <c:pt idx="100">
                  <c:v>357</c:v>
                </c:pt>
                <c:pt idx="101">
                  <c:v>406</c:v>
                </c:pt>
                <c:pt idx="102">
                  <c:v>460</c:v>
                </c:pt>
                <c:pt idx="103">
                  <c:v>368</c:v>
                </c:pt>
                <c:pt idx="104">
                  <c:v>281</c:v>
                </c:pt>
                <c:pt idx="105">
                  <c:v>419</c:v>
                </c:pt>
                <c:pt idx="106">
                  <c:v>447</c:v>
                </c:pt>
                <c:pt idx="107">
                  <c:v>368</c:v>
                </c:pt>
                <c:pt idx="108">
                  <c:v>334</c:v>
                </c:pt>
                <c:pt idx="109">
                  <c:v>382</c:v>
                </c:pt>
                <c:pt idx="110">
                  <c:v>399</c:v>
                </c:pt>
                <c:pt idx="111">
                  <c:v>331</c:v>
                </c:pt>
                <c:pt idx="112">
                  <c:v>312</c:v>
                </c:pt>
                <c:pt idx="113">
                  <c:v>402</c:v>
                </c:pt>
                <c:pt idx="114">
                  <c:v>398</c:v>
                </c:pt>
                <c:pt idx="115">
                  <c:v>351</c:v>
                </c:pt>
                <c:pt idx="116">
                  <c:v>256</c:v>
                </c:pt>
                <c:pt idx="117">
                  <c:v>290</c:v>
                </c:pt>
                <c:pt idx="118">
                  <c:v>442</c:v>
                </c:pt>
                <c:pt idx="119">
                  <c:v>356</c:v>
                </c:pt>
              </c:numCache>
            </c:numRef>
          </c:val>
          <c:smooth val="0"/>
        </c:ser>
        <c:ser>
          <c:idx val="0"/>
          <c:order val="1"/>
          <c:tx>
            <c:strRef>
              <c:f>あらめ!$AF$196</c:f>
              <c:strCache>
                <c:ptCount val="1"/>
                <c:pt idx="0">
                  <c:v>Be-7</c:v>
                </c:pt>
              </c:strCache>
            </c:strRef>
          </c:tx>
          <c:spPr>
            <a:ln w="12700">
              <a:solidFill>
                <a:srgbClr val="0066FF"/>
              </a:solidFill>
              <a:prstDash val="sysDash"/>
            </a:ln>
          </c:spPr>
          <c:marker>
            <c:symbol val="circle"/>
            <c:size val="5"/>
            <c:spPr>
              <a:solidFill>
                <a:srgbClr val="FFFFFF"/>
              </a:solidFill>
              <a:ln>
                <a:solidFill>
                  <a:srgbClr val="0066FF"/>
                </a:solidFill>
                <a:prstDash val="solid"/>
              </a:ln>
            </c:spPr>
          </c:marker>
          <c:cat>
            <c:numRef>
              <c:f>あらめ!$V$197:$V$316</c:f>
              <c:numCache>
                <c:formatCode>0.000000000000000000000000000000E+00</c:formatCode>
                <c:ptCount val="120"/>
                <c:pt idx="5" formatCode="[$-411]m\.d\.ge">
                  <c:v>30252</c:v>
                </c:pt>
                <c:pt idx="7" formatCode="[$-411]m\.d\.ge">
                  <c:v>30340</c:v>
                </c:pt>
                <c:pt idx="8" formatCode="[$-411]m\.d\.ge">
                  <c:v>30607</c:v>
                </c:pt>
                <c:pt idx="10" formatCode="[$-411]m\.d\.ge">
                  <c:v>30694</c:v>
                </c:pt>
                <c:pt idx="11" formatCode="[$-411]m\.d\.ge">
                  <c:v>30799</c:v>
                </c:pt>
                <c:pt idx="12" formatCode="[$-411]m\.d\.ge">
                  <c:v>30866</c:v>
                </c:pt>
                <c:pt idx="13" formatCode="[$-411]m\.d\.ge">
                  <c:v>30959</c:v>
                </c:pt>
                <c:pt idx="15" formatCode="[$-411]m\.d\.ge">
                  <c:v>31061</c:v>
                </c:pt>
                <c:pt idx="16" formatCode="[$-411]m\.d\.ge">
                  <c:v>31156</c:v>
                </c:pt>
                <c:pt idx="18" formatCode="[$-411]m\.d\.ge">
                  <c:v>31237</c:v>
                </c:pt>
                <c:pt idx="19" formatCode="[$-411]m\.d\.ge">
                  <c:v>31332</c:v>
                </c:pt>
                <c:pt idx="20" formatCode="[$-411]m\.d\.ge">
                  <c:v>31442</c:v>
                </c:pt>
                <c:pt idx="22" formatCode="[$-411]m\.d\.ge">
                  <c:v>31517</c:v>
                </c:pt>
                <c:pt idx="24" formatCode="[$-411]m\.d\.ge">
                  <c:v>31528</c:v>
                </c:pt>
                <c:pt idx="25" formatCode="[$-411]m\.d\.ge">
                  <c:v>31604</c:v>
                </c:pt>
                <c:pt idx="27" formatCode="[$-411]m\.d\.ge">
                  <c:v>31709</c:v>
                </c:pt>
                <c:pt idx="29" formatCode="[$-411]m\.d\.ge">
                  <c:v>31798</c:v>
                </c:pt>
                <c:pt idx="31" formatCode="[$-411]m\.d\.ge">
                  <c:v>31873</c:v>
                </c:pt>
                <c:pt idx="33" formatCode="[$-411]m\.d\.ge">
                  <c:v>31972</c:v>
                </c:pt>
                <c:pt idx="35" formatCode="[$-411]m\.d\.ge">
                  <c:v>32074</c:v>
                </c:pt>
                <c:pt idx="36" formatCode="[$-411]m\.d\.ge">
                  <c:v>32161</c:v>
                </c:pt>
                <c:pt idx="37" formatCode="[$-411]m\.d\.ge">
                  <c:v>32247</c:v>
                </c:pt>
                <c:pt idx="39" formatCode="[$-411]m\.d\.ge">
                  <c:v>32344</c:v>
                </c:pt>
                <c:pt idx="40" formatCode="[$-411]m\.d\.ge">
                  <c:v>32441</c:v>
                </c:pt>
                <c:pt idx="41" formatCode="[$-411]m\.d\.ge">
                  <c:v>32525</c:v>
                </c:pt>
                <c:pt idx="42" formatCode="[$-411]m\.d\.ge">
                  <c:v>32616</c:v>
                </c:pt>
                <c:pt idx="44" formatCode="[$-411]m\.d\.ge">
                  <c:v>32708</c:v>
                </c:pt>
                <c:pt idx="45" formatCode="[$-411]m\.d\.ge">
                  <c:v>32805</c:v>
                </c:pt>
                <c:pt idx="46" formatCode="[$-411]m\.d\.ge">
                  <c:v>32883</c:v>
                </c:pt>
                <c:pt idx="47" formatCode="[$-411]m\.d\.ge">
                  <c:v>33000</c:v>
                </c:pt>
                <c:pt idx="48" formatCode="[$-411]m\.d\.ge">
                  <c:v>33059</c:v>
                </c:pt>
                <c:pt idx="49" formatCode="[$-411]m\.d\.ge">
                  <c:v>33177</c:v>
                </c:pt>
                <c:pt idx="50" formatCode="[$-411]m\.d\.ge">
                  <c:v>33259</c:v>
                </c:pt>
                <c:pt idx="51" formatCode="[$-411]m\.d\.ge">
                  <c:v>33350</c:v>
                </c:pt>
                <c:pt idx="52" formatCode="[$-411]m\.d\.ge">
                  <c:v>33430</c:v>
                </c:pt>
                <c:pt idx="53" formatCode="[$-411]m\.d\.ge">
                  <c:v>33532</c:v>
                </c:pt>
                <c:pt idx="54" formatCode="[$-411]m\.d\.ge">
                  <c:v>33625</c:v>
                </c:pt>
                <c:pt idx="55" formatCode="[$-411]m\.d\.ge">
                  <c:v>33716</c:v>
                </c:pt>
                <c:pt idx="56" formatCode="[$-411]m\.d\.ge">
                  <c:v>33791</c:v>
                </c:pt>
                <c:pt idx="57" formatCode="[$-411]m\.d\.ge">
                  <c:v>33906</c:v>
                </c:pt>
                <c:pt idx="58" formatCode="[$-411]m\.d\.ge">
                  <c:v>34001</c:v>
                </c:pt>
                <c:pt idx="59" formatCode="[$-411]m\.d\.ge">
                  <c:v>34085</c:v>
                </c:pt>
                <c:pt idx="60" formatCode="[$-411]m\.d\.ge">
                  <c:v>34156</c:v>
                </c:pt>
                <c:pt idx="61" formatCode="[$-411]m\.d\.ge">
                  <c:v>34248</c:v>
                </c:pt>
                <c:pt idx="62" formatCode="[$-411]m\.d\.ge">
                  <c:v>34372</c:v>
                </c:pt>
                <c:pt idx="63" formatCode="[$-411]m\.d\.ge">
                  <c:v>34445</c:v>
                </c:pt>
                <c:pt idx="64" formatCode="[$-411]m\.d\.ge">
                  <c:v>34541</c:v>
                </c:pt>
                <c:pt idx="65" formatCode="[$-411]m\.d\.ge">
                  <c:v>34618</c:v>
                </c:pt>
                <c:pt idx="66" formatCode="[$-411]m\.d\.ge">
                  <c:v>34737</c:v>
                </c:pt>
                <c:pt idx="67" formatCode="[$-411]m\.d\.ge">
                  <c:v>34810</c:v>
                </c:pt>
                <c:pt idx="68" formatCode="[$-411]m\.d\.ge">
                  <c:v>34905</c:v>
                </c:pt>
                <c:pt idx="69" formatCode="[$-411]m\.d\.ge">
                  <c:v>34990</c:v>
                </c:pt>
                <c:pt idx="70" formatCode="[$-411]m\.d\.ge">
                  <c:v>35086</c:v>
                </c:pt>
                <c:pt idx="71" formatCode="[$-411]m\.d\.ge">
                  <c:v>35179</c:v>
                </c:pt>
                <c:pt idx="72" formatCode="[$-411]m\.d\.ge">
                  <c:v>35277</c:v>
                </c:pt>
                <c:pt idx="73" formatCode="[$-411]m\.d\.ge">
                  <c:v>35352</c:v>
                </c:pt>
                <c:pt idx="74" formatCode="[$-411]m\.d\.ge">
                  <c:v>35492</c:v>
                </c:pt>
                <c:pt idx="75" formatCode="[$-411]m\.d\.ge">
                  <c:v>35535</c:v>
                </c:pt>
                <c:pt idx="76" formatCode="[$-411]m\.d\.ge">
                  <c:v>35626</c:v>
                </c:pt>
                <c:pt idx="77" formatCode="[$-411]m\.d\.ge">
                  <c:v>35717</c:v>
                </c:pt>
                <c:pt idx="78" formatCode="[$-411]m\.d\.ge">
                  <c:v>35822</c:v>
                </c:pt>
                <c:pt idx="79" formatCode="[$-411]m\.d\.ge">
                  <c:v>35926</c:v>
                </c:pt>
                <c:pt idx="80" formatCode="[$-411]m\.d\.ge">
                  <c:v>36004</c:v>
                </c:pt>
                <c:pt idx="81" formatCode="[$-411]m\.d\.ge">
                  <c:v>36074</c:v>
                </c:pt>
                <c:pt idx="82" formatCode="[$-411]m\.d\.ge">
                  <c:v>36193</c:v>
                </c:pt>
                <c:pt idx="83" formatCode="[$-411]m\.d\.ge">
                  <c:v>36292</c:v>
                </c:pt>
                <c:pt idx="84" formatCode="[$-411]m\.d\.ge">
                  <c:v>36362</c:v>
                </c:pt>
                <c:pt idx="85" formatCode="[$-411]m\.d\.ge">
                  <c:v>36452</c:v>
                </c:pt>
                <c:pt idx="86" formatCode="[$-411]m\.d\.ge">
                  <c:v>36551</c:v>
                </c:pt>
                <c:pt idx="87" formatCode="[$-411]m\.d\.ge">
                  <c:v>36656</c:v>
                </c:pt>
                <c:pt idx="88" formatCode="[$-411]m\.d\.ge">
                  <c:v>36719</c:v>
                </c:pt>
                <c:pt idx="89" formatCode="[$-411]m\.d\.ge">
                  <c:v>36815</c:v>
                </c:pt>
                <c:pt idx="90" formatCode="[$-411]m\.d\.ge">
                  <c:v>36909</c:v>
                </c:pt>
                <c:pt idx="91" formatCode="[$-411]m\.d\.ge">
                  <c:v>37005</c:v>
                </c:pt>
                <c:pt idx="92" formatCode="[$-411]m\.d\.ge">
                  <c:v>37081</c:v>
                </c:pt>
                <c:pt idx="93" formatCode="[$-411]m\.d\.ge">
                  <c:v>37180</c:v>
                </c:pt>
                <c:pt idx="94" formatCode="[$-411]m\.d\.ge">
                  <c:v>37293</c:v>
                </c:pt>
                <c:pt idx="95" formatCode="[$-411]m\.d\.ge">
                  <c:v>37362</c:v>
                </c:pt>
                <c:pt idx="96" formatCode="[$-411]m\.d\.ge">
                  <c:v>37454</c:v>
                </c:pt>
                <c:pt idx="97" formatCode="[$-411]m\.d\.ge">
                  <c:v>37559</c:v>
                </c:pt>
                <c:pt idx="98" formatCode="[$-411]m\.d\.ge">
                  <c:v>37656</c:v>
                </c:pt>
                <c:pt idx="99" formatCode="[$-411]m\.d\.ge">
                  <c:v>37727</c:v>
                </c:pt>
                <c:pt idx="100" formatCode="[$-411]m\.d\.ge">
                  <c:v>37837</c:v>
                </c:pt>
                <c:pt idx="101" formatCode="[$-411]m\.d\.ge">
                  <c:v>37915</c:v>
                </c:pt>
                <c:pt idx="102" formatCode="[$-411]m\.d\.ge">
                  <c:v>38015</c:v>
                </c:pt>
                <c:pt idx="103" formatCode="[$-411]m\.d\.ge">
                  <c:v>38091</c:v>
                </c:pt>
                <c:pt idx="104" formatCode="[$-411]m\.d\.ge">
                  <c:v>38195</c:v>
                </c:pt>
                <c:pt idx="105" formatCode="[$-411]m\.d\.ge">
                  <c:v>38286</c:v>
                </c:pt>
                <c:pt idx="106" formatCode="[$-411]m\.d\.ge">
                  <c:v>38385</c:v>
                </c:pt>
                <c:pt idx="107" formatCode="[$-411]m\.d\.ge">
                  <c:v>38467</c:v>
                </c:pt>
                <c:pt idx="108" formatCode="[$-411]m\.d\.ge">
                  <c:v>38553</c:v>
                </c:pt>
                <c:pt idx="109" formatCode="[$-411]m\.d\.ge">
                  <c:v>38651</c:v>
                </c:pt>
                <c:pt idx="110" formatCode="[$-411]m\.d\.ge">
                  <c:v>38747</c:v>
                </c:pt>
                <c:pt idx="111" formatCode="[$-411]m\.d\.ge">
                  <c:v>38834</c:v>
                </c:pt>
                <c:pt idx="112" formatCode="[$-411]m\.d\.ge">
                  <c:v>38910</c:v>
                </c:pt>
                <c:pt idx="113" formatCode="[$-411]m\.d\.ge">
                  <c:v>39023</c:v>
                </c:pt>
                <c:pt idx="114" formatCode="[$-411]m\.d\.ge">
                  <c:v>39105</c:v>
                </c:pt>
                <c:pt idx="115" formatCode="[$-411]m\.d\.ge">
                  <c:v>39198</c:v>
                </c:pt>
                <c:pt idx="116" formatCode="[$-411]m\.d\.ge">
                  <c:v>39303</c:v>
                </c:pt>
                <c:pt idx="117" formatCode="[$-411]m\.d\.ge">
                  <c:v>39366</c:v>
                </c:pt>
                <c:pt idx="118" formatCode="[$-411]m\.d\.ge">
                  <c:v>39470</c:v>
                </c:pt>
                <c:pt idx="119" formatCode="[$-411]m\.d\.ge">
                  <c:v>39566</c:v>
                </c:pt>
              </c:numCache>
            </c:numRef>
          </c:cat>
          <c:val>
            <c:numRef>
              <c:f>あらめ!$AF$197:$AF$316</c:f>
              <c:numCache>
                <c:formatCode>General</c:formatCode>
                <c:ptCount val="120"/>
                <c:pt idx="5" formatCode="0.000">
                  <c:v>0.17499999999999999</c:v>
                </c:pt>
                <c:pt idx="7" formatCode="0.000">
                  <c:v>0.17499999999999999</c:v>
                </c:pt>
                <c:pt idx="8" formatCode="0.000">
                  <c:v>0.17499999999999999</c:v>
                </c:pt>
                <c:pt idx="10" formatCode="0.000">
                  <c:v>0.17499999999999999</c:v>
                </c:pt>
                <c:pt idx="11" formatCode="0.000">
                  <c:v>0.17499999999999999</c:v>
                </c:pt>
                <c:pt idx="12" formatCode="0.000">
                  <c:v>0.17499999999999999</c:v>
                </c:pt>
                <c:pt idx="13" formatCode="0.000">
                  <c:v>0.17499999999999999</c:v>
                </c:pt>
                <c:pt idx="15" formatCode="0.000">
                  <c:v>0.17499999999999999</c:v>
                </c:pt>
                <c:pt idx="16" formatCode="&quot;(&quot;0.00&quot;)&quot;">
                  <c:v>0.62962962962962965</c:v>
                </c:pt>
                <c:pt idx="18" formatCode="0.000">
                  <c:v>0.17499999999999999</c:v>
                </c:pt>
                <c:pt idx="19" formatCode="&quot;(&quot;0.00&quot;)&quot;">
                  <c:v>0.7407407407407407</c:v>
                </c:pt>
                <c:pt idx="20" formatCode="0.000">
                  <c:v>0.17499999999999999</c:v>
                </c:pt>
                <c:pt idx="22" formatCode="0.000">
                  <c:v>0.17499999999999999</c:v>
                </c:pt>
                <c:pt idx="25" formatCode="0.000">
                  <c:v>0.17499999999999999</c:v>
                </c:pt>
                <c:pt idx="27" formatCode="0.000">
                  <c:v>0.17499999999999999</c:v>
                </c:pt>
                <c:pt idx="29" formatCode="0.000">
                  <c:v>0.17499999999999999</c:v>
                </c:pt>
                <c:pt idx="31" formatCode="0.000">
                  <c:v>0.17499999999999999</c:v>
                </c:pt>
                <c:pt idx="33" formatCode="0.000">
                  <c:v>0.26</c:v>
                </c:pt>
                <c:pt idx="35" formatCode="&quot;(&quot;0.00&quot;)&quot;">
                  <c:v>0.66666666666666663</c:v>
                </c:pt>
                <c:pt idx="36" formatCode="0.000">
                  <c:v>0.17499999999999999</c:v>
                </c:pt>
                <c:pt idx="37" formatCode="0.000">
                  <c:v>0.17499999999999999</c:v>
                </c:pt>
                <c:pt idx="39">
                  <c:v>0.78</c:v>
                </c:pt>
                <c:pt idx="40" formatCode="0.000">
                  <c:v>0.17499999999999999</c:v>
                </c:pt>
                <c:pt idx="41" formatCode="0.000">
                  <c:v>0.17499999999999999</c:v>
                </c:pt>
                <c:pt idx="42" formatCode="0.000">
                  <c:v>0.17499999999999999</c:v>
                </c:pt>
                <c:pt idx="44" formatCode="0.000">
                  <c:v>0.17499999999999999</c:v>
                </c:pt>
                <c:pt idx="45" formatCode="0.000">
                  <c:v>0.17499999999999999</c:v>
                </c:pt>
                <c:pt idx="46" formatCode="0.000">
                  <c:v>0.17499999999999999</c:v>
                </c:pt>
                <c:pt idx="47" formatCode="0.000">
                  <c:v>0.17499999999999999</c:v>
                </c:pt>
                <c:pt idx="48" formatCode="0.000">
                  <c:v>0.17499999999999999</c:v>
                </c:pt>
                <c:pt idx="49" formatCode="&quot;(&quot;0.00&quot;)&quot;">
                  <c:v>0.85</c:v>
                </c:pt>
                <c:pt idx="51" formatCode="0.000">
                  <c:v>0.17499999999999999</c:v>
                </c:pt>
                <c:pt idx="52" formatCode="0.000">
                  <c:v>0.17499999999999999</c:v>
                </c:pt>
                <c:pt idx="53" formatCode="0.000">
                  <c:v>0.17499999999999999</c:v>
                </c:pt>
                <c:pt idx="54" formatCode="0.000">
                  <c:v>0.17499999999999999</c:v>
                </c:pt>
                <c:pt idx="55" formatCode="0.000">
                  <c:v>0.17499999999999999</c:v>
                </c:pt>
                <c:pt idx="56" formatCode="0.000">
                  <c:v>0.17499999999999999</c:v>
                </c:pt>
                <c:pt idx="57" formatCode="0.00">
                  <c:v>0.9</c:v>
                </c:pt>
                <c:pt idx="58" formatCode="0.000">
                  <c:v>0.17499999999999999</c:v>
                </c:pt>
                <c:pt idx="59" formatCode="&quot;(&quot;0.00&quot;)&quot;">
                  <c:v>0.35</c:v>
                </c:pt>
                <c:pt idx="60" formatCode="0.000">
                  <c:v>0.17499999999999999</c:v>
                </c:pt>
                <c:pt idx="61" formatCode="0.00">
                  <c:v>0.54</c:v>
                </c:pt>
                <c:pt idx="62" formatCode="0.000">
                  <c:v>0.17499999999999999</c:v>
                </c:pt>
                <c:pt idx="63" formatCode="0.000">
                  <c:v>0.17499999999999999</c:v>
                </c:pt>
                <c:pt idx="64" formatCode="&quot;(&quot;0.00&quot;)&quot;">
                  <c:v>0.39</c:v>
                </c:pt>
                <c:pt idx="65" formatCode="0.00">
                  <c:v>0.98</c:v>
                </c:pt>
                <c:pt idx="66" formatCode="0.000">
                  <c:v>0.17499999999999999</c:v>
                </c:pt>
                <c:pt idx="67" formatCode="0.000">
                  <c:v>0.17499999999999999</c:v>
                </c:pt>
                <c:pt idx="68" formatCode="0.00">
                  <c:v>0.57999999999999996</c:v>
                </c:pt>
                <c:pt idx="69" formatCode="0.00">
                  <c:v>0.97</c:v>
                </c:pt>
                <c:pt idx="70" formatCode="0.000">
                  <c:v>0.17499999999999999</c:v>
                </c:pt>
                <c:pt idx="71" formatCode="0.000">
                  <c:v>0.17499999999999999</c:v>
                </c:pt>
                <c:pt idx="72" formatCode="0.00">
                  <c:v>0.42</c:v>
                </c:pt>
                <c:pt idx="73" formatCode="0.00">
                  <c:v>0.88</c:v>
                </c:pt>
                <c:pt idx="74" formatCode="0.000">
                  <c:v>0.17499999999999999</c:v>
                </c:pt>
                <c:pt idx="75" formatCode="0.000">
                  <c:v>0.17499999999999999</c:v>
                </c:pt>
                <c:pt idx="76" formatCode="0.00">
                  <c:v>0.51</c:v>
                </c:pt>
                <c:pt idx="77">
                  <c:v>0.81</c:v>
                </c:pt>
                <c:pt idx="78" formatCode="0.000">
                  <c:v>0.17499999999999999</c:v>
                </c:pt>
                <c:pt idx="79" formatCode="0.000">
                  <c:v>0.17499999999999999</c:v>
                </c:pt>
                <c:pt idx="80" formatCode="&quot;(&quot;0.00&quot;)&quot;">
                  <c:v>0.36</c:v>
                </c:pt>
                <c:pt idx="81">
                  <c:v>1.2</c:v>
                </c:pt>
                <c:pt idx="82" formatCode="0.000">
                  <c:v>0.17499999999999999</c:v>
                </c:pt>
                <c:pt idx="83" formatCode="0.000">
                  <c:v>0.17499999999999999</c:v>
                </c:pt>
                <c:pt idx="84" formatCode="0.00_);[Red]\(0.00\)">
                  <c:v>0.76</c:v>
                </c:pt>
                <c:pt idx="85">
                  <c:v>1.1000000000000001</c:v>
                </c:pt>
                <c:pt idx="86" formatCode="0.000">
                  <c:v>0.17499999999999999</c:v>
                </c:pt>
                <c:pt idx="87" formatCode="0.000">
                  <c:v>0.17499999999999999</c:v>
                </c:pt>
                <c:pt idx="88" formatCode="&quot;(&quot;0.00&quot;)&quot;">
                  <c:v>0.36</c:v>
                </c:pt>
                <c:pt idx="89" formatCode="0.00">
                  <c:v>0.64</c:v>
                </c:pt>
                <c:pt idx="90" formatCode="0.000">
                  <c:v>0.17499999999999999</c:v>
                </c:pt>
                <c:pt idx="91" formatCode="0.000">
                  <c:v>0.17499999999999999</c:v>
                </c:pt>
                <c:pt idx="92" formatCode="&quot;(&quot;0.00&quot;)&quot;">
                  <c:v>0.57999999999999996</c:v>
                </c:pt>
                <c:pt idx="93" formatCode="&quot;(&quot;0.00&quot;)&quot;">
                  <c:v>0.68</c:v>
                </c:pt>
                <c:pt idx="94" formatCode="0.000">
                  <c:v>0.17499999999999999</c:v>
                </c:pt>
                <c:pt idx="95" formatCode="0.000">
                  <c:v>0.17499999999999999</c:v>
                </c:pt>
                <c:pt idx="96">
                  <c:v>0.75</c:v>
                </c:pt>
                <c:pt idx="97">
                  <c:v>0.95</c:v>
                </c:pt>
                <c:pt idx="98" formatCode="0.000">
                  <c:v>0.17499999999999999</c:v>
                </c:pt>
                <c:pt idx="99" formatCode="0.000">
                  <c:v>0.17499999999999999</c:v>
                </c:pt>
                <c:pt idx="100" formatCode="0.000">
                  <c:v>0.17499999999999999</c:v>
                </c:pt>
                <c:pt idx="101" formatCode="0.00">
                  <c:v>0.79</c:v>
                </c:pt>
                <c:pt idx="102" formatCode="&quot;(&quot;0.00&quot;)&quot;">
                  <c:v>0.53</c:v>
                </c:pt>
                <c:pt idx="103" formatCode="0.000">
                  <c:v>0.17499999999999999</c:v>
                </c:pt>
                <c:pt idx="104" formatCode="0.000">
                  <c:v>0.17499999999999999</c:v>
                </c:pt>
                <c:pt idx="105" formatCode="0.00">
                  <c:v>1.5</c:v>
                </c:pt>
                <c:pt idx="106" formatCode="0.000">
                  <c:v>0.17499999999999999</c:v>
                </c:pt>
                <c:pt idx="107" formatCode="0.000">
                  <c:v>0.17499999999999999</c:v>
                </c:pt>
                <c:pt idx="108" formatCode="0.000">
                  <c:v>0.17499999999999999</c:v>
                </c:pt>
                <c:pt idx="109">
                  <c:v>1.3</c:v>
                </c:pt>
                <c:pt idx="110" formatCode="0.000">
                  <c:v>0.17499999999999999</c:v>
                </c:pt>
                <c:pt idx="111">
                  <c:v>0.56999999999999995</c:v>
                </c:pt>
                <c:pt idx="112">
                  <c:v>0.88</c:v>
                </c:pt>
                <c:pt idx="113">
                  <c:v>0.85</c:v>
                </c:pt>
                <c:pt idx="114" formatCode="0.000">
                  <c:v>0.17499999999999999</c:v>
                </c:pt>
                <c:pt idx="115">
                  <c:v>0.86</c:v>
                </c:pt>
                <c:pt idx="116">
                  <c:v>0.72</c:v>
                </c:pt>
                <c:pt idx="117">
                  <c:v>0.77</c:v>
                </c:pt>
                <c:pt idx="118" formatCode="0.000">
                  <c:v>0.17499999999999999</c:v>
                </c:pt>
                <c:pt idx="119" formatCode="0.000">
                  <c:v>0.17499999999999999</c:v>
                </c:pt>
              </c:numCache>
            </c:numRef>
          </c:val>
          <c:smooth val="0"/>
        </c:ser>
        <c:ser>
          <c:idx val="2"/>
          <c:order val="2"/>
          <c:tx>
            <c:strRef>
              <c:f>あらめ!$AI$196</c:f>
              <c:strCache>
                <c:ptCount val="1"/>
                <c:pt idx="0">
                  <c:v>Cs-137</c:v>
                </c:pt>
              </c:strCache>
            </c:strRef>
          </c:tx>
          <c:spPr>
            <a:ln w="12700">
              <a:solidFill>
                <a:srgbClr val="FF0000"/>
              </a:solidFill>
              <a:prstDash val="sysDash"/>
            </a:ln>
          </c:spPr>
          <c:marker>
            <c:symbol val="triangle"/>
            <c:size val="5"/>
            <c:spPr>
              <a:solidFill>
                <a:srgbClr val="FF0000"/>
              </a:solidFill>
              <a:ln>
                <a:solidFill>
                  <a:srgbClr val="FF0000"/>
                </a:solidFill>
                <a:prstDash val="solid"/>
              </a:ln>
            </c:spPr>
          </c:marker>
          <c:cat>
            <c:numRef>
              <c:f>あらめ!$V$197:$V$316</c:f>
              <c:numCache>
                <c:formatCode>0.000000000000000000000000000000E+00</c:formatCode>
                <c:ptCount val="120"/>
                <c:pt idx="5" formatCode="[$-411]m\.d\.ge">
                  <c:v>30252</c:v>
                </c:pt>
                <c:pt idx="7" formatCode="[$-411]m\.d\.ge">
                  <c:v>30340</c:v>
                </c:pt>
                <c:pt idx="8" formatCode="[$-411]m\.d\.ge">
                  <c:v>30607</c:v>
                </c:pt>
                <c:pt idx="10" formatCode="[$-411]m\.d\.ge">
                  <c:v>30694</c:v>
                </c:pt>
                <c:pt idx="11" formatCode="[$-411]m\.d\.ge">
                  <c:v>30799</c:v>
                </c:pt>
                <c:pt idx="12" formatCode="[$-411]m\.d\.ge">
                  <c:v>30866</c:v>
                </c:pt>
                <c:pt idx="13" formatCode="[$-411]m\.d\.ge">
                  <c:v>30959</c:v>
                </c:pt>
                <c:pt idx="15" formatCode="[$-411]m\.d\.ge">
                  <c:v>31061</c:v>
                </c:pt>
                <c:pt idx="16" formatCode="[$-411]m\.d\.ge">
                  <c:v>31156</c:v>
                </c:pt>
                <c:pt idx="18" formatCode="[$-411]m\.d\.ge">
                  <c:v>31237</c:v>
                </c:pt>
                <c:pt idx="19" formatCode="[$-411]m\.d\.ge">
                  <c:v>31332</c:v>
                </c:pt>
                <c:pt idx="20" formatCode="[$-411]m\.d\.ge">
                  <c:v>31442</c:v>
                </c:pt>
                <c:pt idx="22" formatCode="[$-411]m\.d\.ge">
                  <c:v>31517</c:v>
                </c:pt>
                <c:pt idx="24" formatCode="[$-411]m\.d\.ge">
                  <c:v>31528</c:v>
                </c:pt>
                <c:pt idx="25" formatCode="[$-411]m\.d\.ge">
                  <c:v>31604</c:v>
                </c:pt>
                <c:pt idx="27" formatCode="[$-411]m\.d\.ge">
                  <c:v>31709</c:v>
                </c:pt>
                <c:pt idx="29" formatCode="[$-411]m\.d\.ge">
                  <c:v>31798</c:v>
                </c:pt>
                <c:pt idx="31" formatCode="[$-411]m\.d\.ge">
                  <c:v>31873</c:v>
                </c:pt>
                <c:pt idx="33" formatCode="[$-411]m\.d\.ge">
                  <c:v>31972</c:v>
                </c:pt>
                <c:pt idx="35" formatCode="[$-411]m\.d\.ge">
                  <c:v>32074</c:v>
                </c:pt>
                <c:pt idx="36" formatCode="[$-411]m\.d\.ge">
                  <c:v>32161</c:v>
                </c:pt>
                <c:pt idx="37" formatCode="[$-411]m\.d\.ge">
                  <c:v>32247</c:v>
                </c:pt>
                <c:pt idx="39" formatCode="[$-411]m\.d\.ge">
                  <c:v>32344</c:v>
                </c:pt>
                <c:pt idx="40" formatCode="[$-411]m\.d\.ge">
                  <c:v>32441</c:v>
                </c:pt>
                <c:pt idx="41" formatCode="[$-411]m\.d\.ge">
                  <c:v>32525</c:v>
                </c:pt>
                <c:pt idx="42" formatCode="[$-411]m\.d\.ge">
                  <c:v>32616</c:v>
                </c:pt>
                <c:pt idx="44" formatCode="[$-411]m\.d\.ge">
                  <c:v>32708</c:v>
                </c:pt>
                <c:pt idx="45" formatCode="[$-411]m\.d\.ge">
                  <c:v>32805</c:v>
                </c:pt>
                <c:pt idx="46" formatCode="[$-411]m\.d\.ge">
                  <c:v>32883</c:v>
                </c:pt>
                <c:pt idx="47" formatCode="[$-411]m\.d\.ge">
                  <c:v>33000</c:v>
                </c:pt>
                <c:pt idx="48" formatCode="[$-411]m\.d\.ge">
                  <c:v>33059</c:v>
                </c:pt>
                <c:pt idx="49" formatCode="[$-411]m\.d\.ge">
                  <c:v>33177</c:v>
                </c:pt>
                <c:pt idx="50" formatCode="[$-411]m\.d\.ge">
                  <c:v>33259</c:v>
                </c:pt>
                <c:pt idx="51" formatCode="[$-411]m\.d\.ge">
                  <c:v>33350</c:v>
                </c:pt>
                <c:pt idx="52" formatCode="[$-411]m\.d\.ge">
                  <c:v>33430</c:v>
                </c:pt>
                <c:pt idx="53" formatCode="[$-411]m\.d\.ge">
                  <c:v>33532</c:v>
                </c:pt>
                <c:pt idx="54" formatCode="[$-411]m\.d\.ge">
                  <c:v>33625</c:v>
                </c:pt>
                <c:pt idx="55" formatCode="[$-411]m\.d\.ge">
                  <c:v>33716</c:v>
                </c:pt>
                <c:pt idx="56" formatCode="[$-411]m\.d\.ge">
                  <c:v>33791</c:v>
                </c:pt>
                <c:pt idx="57" formatCode="[$-411]m\.d\.ge">
                  <c:v>33906</c:v>
                </c:pt>
                <c:pt idx="58" formatCode="[$-411]m\.d\.ge">
                  <c:v>34001</c:v>
                </c:pt>
                <c:pt idx="59" formatCode="[$-411]m\.d\.ge">
                  <c:v>34085</c:v>
                </c:pt>
                <c:pt idx="60" formatCode="[$-411]m\.d\.ge">
                  <c:v>34156</c:v>
                </c:pt>
                <c:pt idx="61" formatCode="[$-411]m\.d\.ge">
                  <c:v>34248</c:v>
                </c:pt>
                <c:pt idx="62" formatCode="[$-411]m\.d\.ge">
                  <c:v>34372</c:v>
                </c:pt>
                <c:pt idx="63" formatCode="[$-411]m\.d\.ge">
                  <c:v>34445</c:v>
                </c:pt>
                <c:pt idx="64" formatCode="[$-411]m\.d\.ge">
                  <c:v>34541</c:v>
                </c:pt>
                <c:pt idx="65" formatCode="[$-411]m\.d\.ge">
                  <c:v>34618</c:v>
                </c:pt>
                <c:pt idx="66" formatCode="[$-411]m\.d\.ge">
                  <c:v>34737</c:v>
                </c:pt>
                <c:pt idx="67" formatCode="[$-411]m\.d\.ge">
                  <c:v>34810</c:v>
                </c:pt>
                <c:pt idx="68" formatCode="[$-411]m\.d\.ge">
                  <c:v>34905</c:v>
                </c:pt>
                <c:pt idx="69" formatCode="[$-411]m\.d\.ge">
                  <c:v>34990</c:v>
                </c:pt>
                <c:pt idx="70" formatCode="[$-411]m\.d\.ge">
                  <c:v>35086</c:v>
                </c:pt>
                <c:pt idx="71" formatCode="[$-411]m\.d\.ge">
                  <c:v>35179</c:v>
                </c:pt>
                <c:pt idx="72" formatCode="[$-411]m\.d\.ge">
                  <c:v>35277</c:v>
                </c:pt>
                <c:pt idx="73" formatCode="[$-411]m\.d\.ge">
                  <c:v>35352</c:v>
                </c:pt>
                <c:pt idx="74" formatCode="[$-411]m\.d\.ge">
                  <c:v>35492</c:v>
                </c:pt>
                <c:pt idx="75" formatCode="[$-411]m\.d\.ge">
                  <c:v>35535</c:v>
                </c:pt>
                <c:pt idx="76" formatCode="[$-411]m\.d\.ge">
                  <c:v>35626</c:v>
                </c:pt>
                <c:pt idx="77" formatCode="[$-411]m\.d\.ge">
                  <c:v>35717</c:v>
                </c:pt>
                <c:pt idx="78" formatCode="[$-411]m\.d\.ge">
                  <c:v>35822</c:v>
                </c:pt>
                <c:pt idx="79" formatCode="[$-411]m\.d\.ge">
                  <c:v>35926</c:v>
                </c:pt>
                <c:pt idx="80" formatCode="[$-411]m\.d\.ge">
                  <c:v>36004</c:v>
                </c:pt>
                <c:pt idx="81" formatCode="[$-411]m\.d\.ge">
                  <c:v>36074</c:v>
                </c:pt>
                <c:pt idx="82" formatCode="[$-411]m\.d\.ge">
                  <c:v>36193</c:v>
                </c:pt>
                <c:pt idx="83" formatCode="[$-411]m\.d\.ge">
                  <c:v>36292</c:v>
                </c:pt>
                <c:pt idx="84" formatCode="[$-411]m\.d\.ge">
                  <c:v>36362</c:v>
                </c:pt>
                <c:pt idx="85" formatCode="[$-411]m\.d\.ge">
                  <c:v>36452</c:v>
                </c:pt>
                <c:pt idx="86" formatCode="[$-411]m\.d\.ge">
                  <c:v>36551</c:v>
                </c:pt>
                <c:pt idx="87" formatCode="[$-411]m\.d\.ge">
                  <c:v>36656</c:v>
                </c:pt>
                <c:pt idx="88" formatCode="[$-411]m\.d\.ge">
                  <c:v>36719</c:v>
                </c:pt>
                <c:pt idx="89" formatCode="[$-411]m\.d\.ge">
                  <c:v>36815</c:v>
                </c:pt>
                <c:pt idx="90" formatCode="[$-411]m\.d\.ge">
                  <c:v>36909</c:v>
                </c:pt>
                <c:pt idx="91" formatCode="[$-411]m\.d\.ge">
                  <c:v>37005</c:v>
                </c:pt>
                <c:pt idx="92" formatCode="[$-411]m\.d\.ge">
                  <c:v>37081</c:v>
                </c:pt>
                <c:pt idx="93" formatCode="[$-411]m\.d\.ge">
                  <c:v>37180</c:v>
                </c:pt>
                <c:pt idx="94" formatCode="[$-411]m\.d\.ge">
                  <c:v>37293</c:v>
                </c:pt>
                <c:pt idx="95" formatCode="[$-411]m\.d\.ge">
                  <c:v>37362</c:v>
                </c:pt>
                <c:pt idx="96" formatCode="[$-411]m\.d\.ge">
                  <c:v>37454</c:v>
                </c:pt>
                <c:pt idx="97" formatCode="[$-411]m\.d\.ge">
                  <c:v>37559</c:v>
                </c:pt>
                <c:pt idx="98" formatCode="[$-411]m\.d\.ge">
                  <c:v>37656</c:v>
                </c:pt>
                <c:pt idx="99" formatCode="[$-411]m\.d\.ge">
                  <c:v>37727</c:v>
                </c:pt>
                <c:pt idx="100" formatCode="[$-411]m\.d\.ge">
                  <c:v>37837</c:v>
                </c:pt>
                <c:pt idx="101" formatCode="[$-411]m\.d\.ge">
                  <c:v>37915</c:v>
                </c:pt>
                <c:pt idx="102" formatCode="[$-411]m\.d\.ge">
                  <c:v>38015</c:v>
                </c:pt>
                <c:pt idx="103" formatCode="[$-411]m\.d\.ge">
                  <c:v>38091</c:v>
                </c:pt>
                <c:pt idx="104" formatCode="[$-411]m\.d\.ge">
                  <c:v>38195</c:v>
                </c:pt>
                <c:pt idx="105" formatCode="[$-411]m\.d\.ge">
                  <c:v>38286</c:v>
                </c:pt>
                <c:pt idx="106" formatCode="[$-411]m\.d\.ge">
                  <c:v>38385</c:v>
                </c:pt>
                <c:pt idx="107" formatCode="[$-411]m\.d\.ge">
                  <c:v>38467</c:v>
                </c:pt>
                <c:pt idx="108" formatCode="[$-411]m\.d\.ge">
                  <c:v>38553</c:v>
                </c:pt>
                <c:pt idx="109" formatCode="[$-411]m\.d\.ge">
                  <c:v>38651</c:v>
                </c:pt>
                <c:pt idx="110" formatCode="[$-411]m\.d\.ge">
                  <c:v>38747</c:v>
                </c:pt>
                <c:pt idx="111" formatCode="[$-411]m\.d\.ge">
                  <c:v>38834</c:v>
                </c:pt>
                <c:pt idx="112" formatCode="[$-411]m\.d\.ge">
                  <c:v>38910</c:v>
                </c:pt>
                <c:pt idx="113" formatCode="[$-411]m\.d\.ge">
                  <c:v>39023</c:v>
                </c:pt>
                <c:pt idx="114" formatCode="[$-411]m\.d\.ge">
                  <c:v>39105</c:v>
                </c:pt>
                <c:pt idx="115" formatCode="[$-411]m\.d\.ge">
                  <c:v>39198</c:v>
                </c:pt>
                <c:pt idx="116" formatCode="[$-411]m\.d\.ge">
                  <c:v>39303</c:v>
                </c:pt>
                <c:pt idx="117" formatCode="[$-411]m\.d\.ge">
                  <c:v>39366</c:v>
                </c:pt>
                <c:pt idx="118" formatCode="[$-411]m\.d\.ge">
                  <c:v>39470</c:v>
                </c:pt>
                <c:pt idx="119" formatCode="[$-411]m\.d\.ge">
                  <c:v>39566</c:v>
                </c:pt>
              </c:numCache>
            </c:numRef>
          </c:cat>
          <c:val>
            <c:numRef>
              <c:f>あらめ!$AI$197:$AI$316</c:f>
              <c:numCache>
                <c:formatCode>0.000</c:formatCode>
                <c:ptCount val="120"/>
                <c:pt idx="5">
                  <c:v>0.27777777777777779</c:v>
                </c:pt>
                <c:pt idx="7">
                  <c:v>4.7177698577594913E-2</c:v>
                </c:pt>
                <c:pt idx="8">
                  <c:v>0.22962962962962963</c:v>
                </c:pt>
                <c:pt idx="10">
                  <c:v>0.21481481481481482</c:v>
                </c:pt>
                <c:pt idx="11">
                  <c:v>4.5830667487032482E-2</c:v>
                </c:pt>
                <c:pt idx="12">
                  <c:v>4.5637285329285647E-2</c:v>
                </c:pt>
                <c:pt idx="13">
                  <c:v>4.5370210994287952E-2</c:v>
                </c:pt>
                <c:pt idx="15">
                  <c:v>0.25925925925925924</c:v>
                </c:pt>
                <c:pt idx="16">
                  <c:v>0.1</c:v>
                </c:pt>
                <c:pt idx="18">
                  <c:v>8.8888888888888892E-2</c:v>
                </c:pt>
                <c:pt idx="19">
                  <c:v>0.12962962962962962</c:v>
                </c:pt>
                <c:pt idx="20">
                  <c:v>0.1111111111111111</c:v>
                </c:pt>
                <c:pt idx="22">
                  <c:v>4.3800268628676711E-2</c:v>
                </c:pt>
                <c:pt idx="25" formatCode="&quot;(&quot;0.00&quot;)&quot;">
                  <c:v>0.29259259259259263</c:v>
                </c:pt>
                <c:pt idx="27">
                  <c:v>0.21851851851851853</c:v>
                </c:pt>
                <c:pt idx="29" formatCode="&quot;(&quot;0.00&quot;)&quot;">
                  <c:v>0.10740740740740741</c:v>
                </c:pt>
                <c:pt idx="31" formatCode="&quot;(&quot;0.00&quot;)&quot;">
                  <c:v>8.1481481481481502E-2</c:v>
                </c:pt>
                <c:pt idx="33">
                  <c:v>8.1481481481481502E-2</c:v>
                </c:pt>
                <c:pt idx="35">
                  <c:v>0.162962962962963</c:v>
                </c:pt>
                <c:pt idx="36" formatCode="&quot;(&quot;0.00&quot;)&quot;">
                  <c:v>8.8888888888888892E-2</c:v>
                </c:pt>
                <c:pt idx="37">
                  <c:v>0.08</c:v>
                </c:pt>
                <c:pt idx="39">
                  <c:v>9.1999999999999998E-2</c:v>
                </c:pt>
                <c:pt idx="40">
                  <c:v>0.14000000000000001</c:v>
                </c:pt>
                <c:pt idx="42">
                  <c:v>0.11</c:v>
                </c:pt>
                <c:pt idx="44">
                  <c:v>9.6000000000000002E-2</c:v>
                </c:pt>
                <c:pt idx="45">
                  <c:v>0.1</c:v>
                </c:pt>
                <c:pt idx="46">
                  <c:v>9.7000000000000003E-2</c:v>
                </c:pt>
                <c:pt idx="47">
                  <c:v>4.4197347964101887E-2</c:v>
                </c:pt>
                <c:pt idx="48">
                  <c:v>0.11</c:v>
                </c:pt>
                <c:pt idx="49">
                  <c:v>0.16</c:v>
                </c:pt>
                <c:pt idx="50">
                  <c:v>4.3480784480743662E-2</c:v>
                </c:pt>
                <c:pt idx="51">
                  <c:v>8.8999999999999996E-2</c:v>
                </c:pt>
                <c:pt idx="52">
                  <c:v>0.11</c:v>
                </c:pt>
                <c:pt idx="53">
                  <c:v>0.14000000000000001</c:v>
                </c:pt>
                <c:pt idx="54">
                  <c:v>0.13</c:v>
                </c:pt>
                <c:pt idx="55">
                  <c:v>4.2244640579391556E-2</c:v>
                </c:pt>
                <c:pt idx="56">
                  <c:v>0.12</c:v>
                </c:pt>
                <c:pt idx="57">
                  <c:v>0.12</c:v>
                </c:pt>
                <c:pt idx="58">
                  <c:v>0.12</c:v>
                </c:pt>
                <c:pt idx="59">
                  <c:v>5.3999999999999999E-2</c:v>
                </c:pt>
                <c:pt idx="60">
                  <c:v>5.6000000000000001E-2</c:v>
                </c:pt>
                <c:pt idx="61">
                  <c:v>0.12</c:v>
                </c:pt>
                <c:pt idx="62">
                  <c:v>5.6000000000000001E-2</c:v>
                </c:pt>
                <c:pt idx="63">
                  <c:v>5.5E-2</c:v>
                </c:pt>
                <c:pt idx="64">
                  <c:v>0.1</c:v>
                </c:pt>
                <c:pt idx="65">
                  <c:v>7.9000000000000001E-2</c:v>
                </c:pt>
                <c:pt idx="66">
                  <c:v>5.0999999999999997E-2</c:v>
                </c:pt>
                <c:pt idx="67">
                  <c:v>7.0000000000000007E-2</c:v>
                </c:pt>
                <c:pt idx="68">
                  <c:v>8.8999999999999996E-2</c:v>
                </c:pt>
                <c:pt idx="69">
                  <c:v>0.12</c:v>
                </c:pt>
                <c:pt idx="70">
                  <c:v>6.8000000000000005E-2</c:v>
                </c:pt>
                <c:pt idx="71">
                  <c:v>5.7000000000000002E-2</c:v>
                </c:pt>
                <c:pt idx="72">
                  <c:v>4.2999999999999997E-2</c:v>
                </c:pt>
                <c:pt idx="73">
                  <c:v>0.12</c:v>
                </c:pt>
                <c:pt idx="74">
                  <c:v>5.0999999999999997E-2</c:v>
                </c:pt>
                <c:pt idx="75">
                  <c:v>5.0999999999999997E-2</c:v>
                </c:pt>
                <c:pt idx="76">
                  <c:v>6.3E-2</c:v>
                </c:pt>
                <c:pt idx="77">
                  <c:v>5.7000000000000002E-2</c:v>
                </c:pt>
                <c:pt idx="78">
                  <c:v>3.6986991657004323E-2</c:v>
                </c:pt>
                <c:pt idx="79" formatCode="&quot;(&quot;0.00&quot;)&quot;">
                  <c:v>4.5999999999999999E-2</c:v>
                </c:pt>
                <c:pt idx="80">
                  <c:v>7.8E-2</c:v>
                </c:pt>
                <c:pt idx="81">
                  <c:v>7.3999999999999996E-2</c:v>
                </c:pt>
                <c:pt idx="82">
                  <c:v>3.6131034913033884E-2</c:v>
                </c:pt>
                <c:pt idx="83">
                  <c:v>5.5E-2</c:v>
                </c:pt>
                <c:pt idx="84">
                  <c:v>6.7000000000000004E-2</c:v>
                </c:pt>
                <c:pt idx="85">
                  <c:v>0.11</c:v>
                </c:pt>
                <c:pt idx="86">
                  <c:v>5.5E-2</c:v>
                </c:pt>
                <c:pt idx="87" formatCode="&quot;(&quot;0.00&quot;)&quot;">
                  <c:v>4.5999999999999999E-2</c:v>
                </c:pt>
                <c:pt idx="88">
                  <c:v>5.3999999999999999E-2</c:v>
                </c:pt>
                <c:pt idx="89">
                  <c:v>7.1999999999999995E-2</c:v>
                </c:pt>
                <c:pt idx="90">
                  <c:v>3.4534709750057735E-2</c:v>
                </c:pt>
                <c:pt idx="91" formatCode="&quot;(&quot;0.00&quot;)&quot;">
                  <c:v>5.8999999999999997E-2</c:v>
                </c:pt>
                <c:pt idx="92" formatCode="&quot;(&quot;0.00&quot;)&quot;">
                  <c:v>8.3000000000000004E-2</c:v>
                </c:pt>
                <c:pt idx="93" formatCode="&quot;(&quot;0.00&quot;)&quot;">
                  <c:v>8.4000000000000005E-2</c:v>
                </c:pt>
                <c:pt idx="94" formatCode="&quot;(&quot;0.00&quot;)&quot;">
                  <c:v>7.9000000000000001E-2</c:v>
                </c:pt>
                <c:pt idx="95">
                  <c:v>3.356137097066568E-2</c:v>
                </c:pt>
                <c:pt idx="96" formatCode="&quot;(&quot;0.00&quot;)&quot;">
                  <c:v>5.5E-2</c:v>
                </c:pt>
                <c:pt idx="97">
                  <c:v>0.1</c:v>
                </c:pt>
                <c:pt idx="98">
                  <c:v>3.2944396114853107E-2</c:v>
                </c:pt>
                <c:pt idx="99">
                  <c:v>3.2797107038416907E-2</c:v>
                </c:pt>
                <c:pt idx="100">
                  <c:v>3.2570212050933189E-2</c:v>
                </c:pt>
                <c:pt idx="101" formatCode="&quot;(&quot;0.00&quot;)&quot;">
                  <c:v>8.2000000000000003E-2</c:v>
                </c:pt>
                <c:pt idx="102">
                  <c:v>3.2206375115363138E-2</c:v>
                </c:pt>
                <c:pt idx="103">
                  <c:v>3.2052269803143491E-2</c:v>
                </c:pt>
                <c:pt idx="104" formatCode="&quot;(&quot;0.00&quot;)&quot;">
                  <c:v>0.08</c:v>
                </c:pt>
                <c:pt idx="105" formatCode="&quot;(&quot;0.00&quot;)&quot;">
                  <c:v>9.2999999999999999E-2</c:v>
                </c:pt>
                <c:pt idx="106">
                  <c:v>3.1463037481330863E-2</c:v>
                </c:pt>
                <c:pt idx="107">
                  <c:v>3.1300634307308471E-2</c:v>
                </c:pt>
                <c:pt idx="108">
                  <c:v>8.8999999999999996E-2</c:v>
                </c:pt>
                <c:pt idx="109" formatCode="&quot;(&quot;0.00&quot;)&quot;">
                  <c:v>7.6999999999999999E-2</c:v>
                </c:pt>
                <c:pt idx="110">
                  <c:v>3.0752378939092127E-2</c:v>
                </c:pt>
                <c:pt idx="111">
                  <c:v>7.6999999999999999E-2</c:v>
                </c:pt>
                <c:pt idx="112">
                  <c:v>5.3999999999999999E-2</c:v>
                </c:pt>
                <c:pt idx="113">
                  <c:v>7.0000000000000007E-2</c:v>
                </c:pt>
                <c:pt idx="114">
                  <c:v>3.0065360938154349E-2</c:v>
                </c:pt>
                <c:pt idx="115">
                  <c:v>5.5E-2</c:v>
                </c:pt>
                <c:pt idx="116">
                  <c:v>6.5000000000000002E-2</c:v>
                </c:pt>
                <c:pt idx="117">
                  <c:v>7.9000000000000001E-2</c:v>
                </c:pt>
                <c:pt idx="118">
                  <c:v>2.9380708603922938E-2</c:v>
                </c:pt>
                <c:pt idx="119">
                  <c:v>2.9203239878237305E-2</c:v>
                </c:pt>
              </c:numCache>
            </c:numRef>
          </c:val>
          <c:smooth val="0"/>
        </c:ser>
        <c:ser>
          <c:idx val="3"/>
          <c:order val="3"/>
          <c:tx>
            <c:strRef>
              <c:f>あらめ!$AH$196</c:f>
              <c:strCache>
                <c:ptCount val="1"/>
                <c:pt idx="0">
                  <c:v>Cs-134</c:v>
                </c:pt>
              </c:strCache>
            </c:strRef>
          </c:tx>
          <c:spPr>
            <a:ln w="0">
              <a:solidFill>
                <a:srgbClr val="FF0000"/>
              </a:solidFill>
              <a:prstDash val="sysDot"/>
            </a:ln>
          </c:spPr>
          <c:marker>
            <c:symbol val="triangle"/>
            <c:size val="5"/>
            <c:spPr>
              <a:noFill/>
              <a:ln>
                <a:solidFill>
                  <a:srgbClr val="FF0000"/>
                </a:solidFill>
              </a:ln>
            </c:spPr>
          </c:marker>
          <c:cat>
            <c:numRef>
              <c:f>あらめ!$V$197:$V$316</c:f>
              <c:numCache>
                <c:formatCode>0.000000000000000000000000000000E+00</c:formatCode>
                <c:ptCount val="120"/>
                <c:pt idx="5" formatCode="[$-411]m\.d\.ge">
                  <c:v>30252</c:v>
                </c:pt>
                <c:pt idx="7" formatCode="[$-411]m\.d\.ge">
                  <c:v>30340</c:v>
                </c:pt>
                <c:pt idx="8" formatCode="[$-411]m\.d\.ge">
                  <c:v>30607</c:v>
                </c:pt>
                <c:pt idx="10" formatCode="[$-411]m\.d\.ge">
                  <c:v>30694</c:v>
                </c:pt>
                <c:pt idx="11" formatCode="[$-411]m\.d\.ge">
                  <c:v>30799</c:v>
                </c:pt>
                <c:pt idx="12" formatCode="[$-411]m\.d\.ge">
                  <c:v>30866</c:v>
                </c:pt>
                <c:pt idx="13" formatCode="[$-411]m\.d\.ge">
                  <c:v>30959</c:v>
                </c:pt>
                <c:pt idx="15" formatCode="[$-411]m\.d\.ge">
                  <c:v>31061</c:v>
                </c:pt>
                <c:pt idx="16" formatCode="[$-411]m\.d\.ge">
                  <c:v>31156</c:v>
                </c:pt>
                <c:pt idx="18" formatCode="[$-411]m\.d\.ge">
                  <c:v>31237</c:v>
                </c:pt>
                <c:pt idx="19" formatCode="[$-411]m\.d\.ge">
                  <c:v>31332</c:v>
                </c:pt>
                <c:pt idx="20" formatCode="[$-411]m\.d\.ge">
                  <c:v>31442</c:v>
                </c:pt>
                <c:pt idx="22" formatCode="[$-411]m\.d\.ge">
                  <c:v>31517</c:v>
                </c:pt>
                <c:pt idx="24" formatCode="[$-411]m\.d\.ge">
                  <c:v>31528</c:v>
                </c:pt>
                <c:pt idx="25" formatCode="[$-411]m\.d\.ge">
                  <c:v>31604</c:v>
                </c:pt>
                <c:pt idx="27" formatCode="[$-411]m\.d\.ge">
                  <c:v>31709</c:v>
                </c:pt>
                <c:pt idx="29" formatCode="[$-411]m\.d\.ge">
                  <c:v>31798</c:v>
                </c:pt>
                <c:pt idx="31" formatCode="[$-411]m\.d\.ge">
                  <c:v>31873</c:v>
                </c:pt>
                <c:pt idx="33" formatCode="[$-411]m\.d\.ge">
                  <c:v>31972</c:v>
                </c:pt>
                <c:pt idx="35" formatCode="[$-411]m\.d\.ge">
                  <c:v>32074</c:v>
                </c:pt>
                <c:pt idx="36" formatCode="[$-411]m\.d\.ge">
                  <c:v>32161</c:v>
                </c:pt>
                <c:pt idx="37" formatCode="[$-411]m\.d\.ge">
                  <c:v>32247</c:v>
                </c:pt>
                <c:pt idx="39" formatCode="[$-411]m\.d\.ge">
                  <c:v>32344</c:v>
                </c:pt>
                <c:pt idx="40" formatCode="[$-411]m\.d\.ge">
                  <c:v>32441</c:v>
                </c:pt>
                <c:pt idx="41" formatCode="[$-411]m\.d\.ge">
                  <c:v>32525</c:v>
                </c:pt>
                <c:pt idx="42" formatCode="[$-411]m\.d\.ge">
                  <c:v>32616</c:v>
                </c:pt>
                <c:pt idx="44" formatCode="[$-411]m\.d\.ge">
                  <c:v>32708</c:v>
                </c:pt>
                <c:pt idx="45" formatCode="[$-411]m\.d\.ge">
                  <c:v>32805</c:v>
                </c:pt>
                <c:pt idx="46" formatCode="[$-411]m\.d\.ge">
                  <c:v>32883</c:v>
                </c:pt>
                <c:pt idx="47" formatCode="[$-411]m\.d\.ge">
                  <c:v>33000</c:v>
                </c:pt>
                <c:pt idx="48" formatCode="[$-411]m\.d\.ge">
                  <c:v>33059</c:v>
                </c:pt>
                <c:pt idx="49" formatCode="[$-411]m\.d\.ge">
                  <c:v>33177</c:v>
                </c:pt>
                <c:pt idx="50" formatCode="[$-411]m\.d\.ge">
                  <c:v>33259</c:v>
                </c:pt>
                <c:pt idx="51" formatCode="[$-411]m\.d\.ge">
                  <c:v>33350</c:v>
                </c:pt>
                <c:pt idx="52" formatCode="[$-411]m\.d\.ge">
                  <c:v>33430</c:v>
                </c:pt>
                <c:pt idx="53" formatCode="[$-411]m\.d\.ge">
                  <c:v>33532</c:v>
                </c:pt>
                <c:pt idx="54" formatCode="[$-411]m\.d\.ge">
                  <c:v>33625</c:v>
                </c:pt>
                <c:pt idx="55" formatCode="[$-411]m\.d\.ge">
                  <c:v>33716</c:v>
                </c:pt>
                <c:pt idx="56" formatCode="[$-411]m\.d\.ge">
                  <c:v>33791</c:v>
                </c:pt>
                <c:pt idx="57" formatCode="[$-411]m\.d\.ge">
                  <c:v>33906</c:v>
                </c:pt>
                <c:pt idx="58" formatCode="[$-411]m\.d\.ge">
                  <c:v>34001</c:v>
                </c:pt>
                <c:pt idx="59" formatCode="[$-411]m\.d\.ge">
                  <c:v>34085</c:v>
                </c:pt>
                <c:pt idx="60" formatCode="[$-411]m\.d\.ge">
                  <c:v>34156</c:v>
                </c:pt>
                <c:pt idx="61" formatCode="[$-411]m\.d\.ge">
                  <c:v>34248</c:v>
                </c:pt>
                <c:pt idx="62" formatCode="[$-411]m\.d\.ge">
                  <c:v>34372</c:v>
                </c:pt>
                <c:pt idx="63" formatCode="[$-411]m\.d\.ge">
                  <c:v>34445</c:v>
                </c:pt>
                <c:pt idx="64" formatCode="[$-411]m\.d\.ge">
                  <c:v>34541</c:v>
                </c:pt>
                <c:pt idx="65" formatCode="[$-411]m\.d\.ge">
                  <c:v>34618</c:v>
                </c:pt>
                <c:pt idx="66" formatCode="[$-411]m\.d\.ge">
                  <c:v>34737</c:v>
                </c:pt>
                <c:pt idx="67" formatCode="[$-411]m\.d\.ge">
                  <c:v>34810</c:v>
                </c:pt>
                <c:pt idx="68" formatCode="[$-411]m\.d\.ge">
                  <c:v>34905</c:v>
                </c:pt>
                <c:pt idx="69" formatCode="[$-411]m\.d\.ge">
                  <c:v>34990</c:v>
                </c:pt>
                <c:pt idx="70" formatCode="[$-411]m\.d\.ge">
                  <c:v>35086</c:v>
                </c:pt>
                <c:pt idx="71" formatCode="[$-411]m\.d\.ge">
                  <c:v>35179</c:v>
                </c:pt>
                <c:pt idx="72" formatCode="[$-411]m\.d\.ge">
                  <c:v>35277</c:v>
                </c:pt>
                <c:pt idx="73" formatCode="[$-411]m\.d\.ge">
                  <c:v>35352</c:v>
                </c:pt>
                <c:pt idx="74" formatCode="[$-411]m\.d\.ge">
                  <c:v>35492</c:v>
                </c:pt>
                <c:pt idx="75" formatCode="[$-411]m\.d\.ge">
                  <c:v>35535</c:v>
                </c:pt>
                <c:pt idx="76" formatCode="[$-411]m\.d\.ge">
                  <c:v>35626</c:v>
                </c:pt>
                <c:pt idx="77" formatCode="[$-411]m\.d\.ge">
                  <c:v>35717</c:v>
                </c:pt>
                <c:pt idx="78" formatCode="[$-411]m\.d\.ge">
                  <c:v>35822</c:v>
                </c:pt>
                <c:pt idx="79" formatCode="[$-411]m\.d\.ge">
                  <c:v>35926</c:v>
                </c:pt>
                <c:pt idx="80" formatCode="[$-411]m\.d\.ge">
                  <c:v>36004</c:v>
                </c:pt>
                <c:pt idx="81" formatCode="[$-411]m\.d\.ge">
                  <c:v>36074</c:v>
                </c:pt>
                <c:pt idx="82" formatCode="[$-411]m\.d\.ge">
                  <c:v>36193</c:v>
                </c:pt>
                <c:pt idx="83" formatCode="[$-411]m\.d\.ge">
                  <c:v>36292</c:v>
                </c:pt>
                <c:pt idx="84" formatCode="[$-411]m\.d\.ge">
                  <c:v>36362</c:v>
                </c:pt>
                <c:pt idx="85" formatCode="[$-411]m\.d\.ge">
                  <c:v>36452</c:v>
                </c:pt>
                <c:pt idx="86" formatCode="[$-411]m\.d\.ge">
                  <c:v>36551</c:v>
                </c:pt>
                <c:pt idx="87" formatCode="[$-411]m\.d\.ge">
                  <c:v>36656</c:v>
                </c:pt>
                <c:pt idx="88" formatCode="[$-411]m\.d\.ge">
                  <c:v>36719</c:v>
                </c:pt>
                <c:pt idx="89" formatCode="[$-411]m\.d\.ge">
                  <c:v>36815</c:v>
                </c:pt>
                <c:pt idx="90" formatCode="[$-411]m\.d\.ge">
                  <c:v>36909</c:v>
                </c:pt>
                <c:pt idx="91" formatCode="[$-411]m\.d\.ge">
                  <c:v>37005</c:v>
                </c:pt>
                <c:pt idx="92" formatCode="[$-411]m\.d\.ge">
                  <c:v>37081</c:v>
                </c:pt>
                <c:pt idx="93" formatCode="[$-411]m\.d\.ge">
                  <c:v>37180</c:v>
                </c:pt>
                <c:pt idx="94" formatCode="[$-411]m\.d\.ge">
                  <c:v>37293</c:v>
                </c:pt>
                <c:pt idx="95" formatCode="[$-411]m\.d\.ge">
                  <c:v>37362</c:v>
                </c:pt>
                <c:pt idx="96" formatCode="[$-411]m\.d\.ge">
                  <c:v>37454</c:v>
                </c:pt>
                <c:pt idx="97" formatCode="[$-411]m\.d\.ge">
                  <c:v>37559</c:v>
                </c:pt>
                <c:pt idx="98" formatCode="[$-411]m\.d\.ge">
                  <c:v>37656</c:v>
                </c:pt>
                <c:pt idx="99" formatCode="[$-411]m\.d\.ge">
                  <c:v>37727</c:v>
                </c:pt>
                <c:pt idx="100" formatCode="[$-411]m\.d\.ge">
                  <c:v>37837</c:v>
                </c:pt>
                <c:pt idx="101" formatCode="[$-411]m\.d\.ge">
                  <c:v>37915</c:v>
                </c:pt>
                <c:pt idx="102" formatCode="[$-411]m\.d\.ge">
                  <c:v>38015</c:v>
                </c:pt>
                <c:pt idx="103" formatCode="[$-411]m\.d\.ge">
                  <c:v>38091</c:v>
                </c:pt>
                <c:pt idx="104" formatCode="[$-411]m\.d\.ge">
                  <c:v>38195</c:v>
                </c:pt>
                <c:pt idx="105" formatCode="[$-411]m\.d\.ge">
                  <c:v>38286</c:v>
                </c:pt>
                <c:pt idx="106" formatCode="[$-411]m\.d\.ge">
                  <c:v>38385</c:v>
                </c:pt>
                <c:pt idx="107" formatCode="[$-411]m\.d\.ge">
                  <c:v>38467</c:v>
                </c:pt>
                <c:pt idx="108" formatCode="[$-411]m\.d\.ge">
                  <c:v>38553</c:v>
                </c:pt>
                <c:pt idx="109" formatCode="[$-411]m\.d\.ge">
                  <c:v>38651</c:v>
                </c:pt>
                <c:pt idx="110" formatCode="[$-411]m\.d\.ge">
                  <c:v>38747</c:v>
                </c:pt>
                <c:pt idx="111" formatCode="[$-411]m\.d\.ge">
                  <c:v>38834</c:v>
                </c:pt>
                <c:pt idx="112" formatCode="[$-411]m\.d\.ge">
                  <c:v>38910</c:v>
                </c:pt>
                <c:pt idx="113" formatCode="[$-411]m\.d\.ge">
                  <c:v>39023</c:v>
                </c:pt>
                <c:pt idx="114" formatCode="[$-411]m\.d\.ge">
                  <c:v>39105</c:v>
                </c:pt>
                <c:pt idx="115" formatCode="[$-411]m\.d\.ge">
                  <c:v>39198</c:v>
                </c:pt>
                <c:pt idx="116" formatCode="[$-411]m\.d\.ge">
                  <c:v>39303</c:v>
                </c:pt>
                <c:pt idx="117" formatCode="[$-411]m\.d\.ge">
                  <c:v>39366</c:v>
                </c:pt>
                <c:pt idx="118" formatCode="[$-411]m\.d\.ge">
                  <c:v>39470</c:v>
                </c:pt>
                <c:pt idx="119" formatCode="[$-411]m\.d\.ge">
                  <c:v>39566</c:v>
                </c:pt>
              </c:numCache>
            </c:numRef>
          </c:cat>
          <c:val>
            <c:numRef>
              <c:f>あらめ!$AH$197:$AH$316</c:f>
              <c:numCache>
                <c:formatCode>0.000</c:formatCode>
                <c:ptCount val="120"/>
                <c:pt idx="5">
                  <c:v>3.5143686347092133E-2</c:v>
                </c:pt>
                <c:pt idx="7">
                  <c:v>3.2409614029171932E-2</c:v>
                </c:pt>
                <c:pt idx="8">
                  <c:v>2.5348624503953036E-2</c:v>
                </c:pt>
                <c:pt idx="10">
                  <c:v>2.3398102611037187E-2</c:v>
                </c:pt>
                <c:pt idx="11">
                  <c:v>2.1242827080755873E-2</c:v>
                </c:pt>
                <c:pt idx="12">
                  <c:v>1.9972504335555006E-2</c:v>
                </c:pt>
                <c:pt idx="13">
                  <c:v>1.8334141424895041E-2</c:v>
                </c:pt>
                <c:pt idx="15">
                  <c:v>1.6691345422338411E-2</c:v>
                </c:pt>
                <c:pt idx="16">
                  <c:v>1.5293961798703987E-2</c:v>
                </c:pt>
                <c:pt idx="18">
                  <c:v>1.4195295393314204E-2</c:v>
                </c:pt>
                <c:pt idx="19">
                  <c:v>1.3006878713091219E-2</c:v>
                </c:pt>
                <c:pt idx="20">
                  <c:v>1.1754557139908405E-2</c:v>
                </c:pt>
                <c:pt idx="22">
                  <c:v>1.0970562470594551E-2</c:v>
                </c:pt>
                <c:pt idx="25">
                  <c:v>4.5223551312423858E-2</c:v>
                </c:pt>
                <c:pt idx="27">
                  <c:v>4.1057862531739944E-2</c:v>
                </c:pt>
                <c:pt idx="29">
                  <c:v>3.7828853812339483E-2</c:v>
                </c:pt>
                <c:pt idx="31">
                  <c:v>3.5305779622293192E-2</c:v>
                </c:pt>
                <c:pt idx="33">
                  <c:v>3.223114016942065E-2</c:v>
                </c:pt>
                <c:pt idx="35">
                  <c:v>2.9343129926613788E-2</c:v>
                </c:pt>
                <c:pt idx="36">
                  <c:v>2.7085239471074121E-2</c:v>
                </c:pt>
                <c:pt idx="37">
                  <c:v>2.5024108888643794E-2</c:v>
                </c:pt>
                <c:pt idx="39">
                  <c:v>2.288694788433725E-2</c:v>
                </c:pt>
                <c:pt idx="40">
                  <c:v>2.0932309150000585E-2</c:v>
                </c:pt>
                <c:pt idx="41">
                  <c:v>1.9375034226932271E-2</c:v>
                </c:pt>
                <c:pt idx="42">
                  <c:v>1.7818450218513138E-2</c:v>
                </c:pt>
                <c:pt idx="44">
                  <c:v>1.6371847074958274E-2</c:v>
                </c:pt>
                <c:pt idx="45">
                  <c:v>1.4973624533137839E-2</c:v>
                </c:pt>
                <c:pt idx="46">
                  <c:v>1.3936395645592015E-2</c:v>
                </c:pt>
                <c:pt idx="47">
                  <c:v>1.2513700590970943E-2</c:v>
                </c:pt>
                <c:pt idx="48">
                  <c:v>1.1852325136265789E-2</c:v>
                </c:pt>
                <c:pt idx="49">
                  <c:v>1.0632592037643678E-2</c:v>
                </c:pt>
                <c:pt idx="50">
                  <c:v>9.8597041929446173E-3</c:v>
                </c:pt>
                <c:pt idx="51">
                  <c:v>9.0675787342371986E-3</c:v>
                </c:pt>
                <c:pt idx="52">
                  <c:v>8.4239439171072007E-3</c:v>
                </c:pt>
                <c:pt idx="53">
                  <c:v>7.669132384236956E-3</c:v>
                </c:pt>
                <c:pt idx="54">
                  <c:v>7.0400263971170905E-3</c:v>
                </c:pt>
                <c:pt idx="55">
                  <c:v>6.4744329442101402E-3</c:v>
                </c:pt>
                <c:pt idx="56">
                  <c:v>6.0426071548865031E-3</c:v>
                </c:pt>
                <c:pt idx="57">
                  <c:v>5.4357446830997002E-3</c:v>
                </c:pt>
                <c:pt idx="58">
                  <c:v>4.9806692886227655E-3</c:v>
                </c:pt>
                <c:pt idx="59">
                  <c:v>4.6101286412585686E-3</c:v>
                </c:pt>
                <c:pt idx="60">
                  <c:v>4.3185152832603338E-3</c:v>
                </c:pt>
                <c:pt idx="61">
                  <c:v>3.9679136480090579E-3</c:v>
                </c:pt>
                <c:pt idx="62">
                  <c:v>3.539970282171605E-3</c:v>
                </c:pt>
                <c:pt idx="63">
                  <c:v>3.3099515459614234E-3</c:v>
                </c:pt>
                <c:pt idx="64">
                  <c:v>3.0300555753113635E-3</c:v>
                </c:pt>
                <c:pt idx="65">
                  <c:v>2.8227591299709721E-3</c:v>
                </c:pt>
                <c:pt idx="66">
                  <c:v>2.5299370576296566E-3</c:v>
                </c:pt>
                <c:pt idx="67">
                  <c:v>2.3655478457715582E-3</c:v>
                </c:pt>
                <c:pt idx="68">
                  <c:v>2.167506421490628E-3</c:v>
                </c:pt>
                <c:pt idx="69">
                  <c:v>2.0044075623169002E-3</c:v>
                </c:pt>
                <c:pt idx="70">
                  <c:v>1.8349109420665115E-3</c:v>
                </c:pt>
                <c:pt idx="71">
                  <c:v>1.6843915088828531E-3</c:v>
                </c:pt>
                <c:pt idx="72">
                  <c:v>1.539120435915811E-3</c:v>
                </c:pt>
                <c:pt idx="73">
                  <c:v>1.4364655929619058E-3</c:v>
                </c:pt>
                <c:pt idx="74">
                  <c:v>1.2628083888267415E-3</c:v>
                </c:pt>
                <c:pt idx="75">
                  <c:v>1.2138092114294661E-3</c:v>
                </c:pt>
                <c:pt idx="76">
                  <c:v>1.1162921703933998E-3</c:v>
                </c:pt>
                <c:pt idx="77">
                  <c:v>1.0266096170205396E-3</c:v>
                </c:pt>
                <c:pt idx="78">
                  <c:v>9.3204525752960761E-4</c:v>
                </c:pt>
                <c:pt idx="79">
                  <c:v>8.4697067150617809E-4</c:v>
                </c:pt>
                <c:pt idx="80">
                  <c:v>7.8830067844964827E-4</c:v>
                </c:pt>
                <c:pt idx="81">
                  <c:v>7.3911670067294984E-4</c:v>
                </c:pt>
                <c:pt idx="82">
                  <c:v>6.6244360388082119E-4</c:v>
                </c:pt>
                <c:pt idx="83">
                  <c:v>6.0475403402611828E-4</c:v>
                </c:pt>
                <c:pt idx="84">
                  <c:v>5.6702197342659228E-4</c:v>
                </c:pt>
                <c:pt idx="85">
                  <c:v>5.2194775888163476E-4</c:v>
                </c:pt>
                <c:pt idx="86" formatCode=".00000">
                  <c:v>4.7649341149250232E-4</c:v>
                </c:pt>
                <c:pt idx="87" formatCode=".00000">
                  <c:v>4.3260204956447923E-4</c:v>
                </c:pt>
                <c:pt idx="88" formatCode=".00000">
                  <c:v>4.0823249973484581E-4</c:v>
                </c:pt>
                <c:pt idx="89" formatCode=".00000">
                  <c:v>3.7371156183664615E-4</c:v>
                </c:pt>
                <c:pt idx="90" formatCode=".00000">
                  <c:v>3.4274007608443982E-4</c:v>
                </c:pt>
                <c:pt idx="91" formatCode=".00000">
                  <c:v>3.1375730550781941E-4</c:v>
                </c:pt>
                <c:pt idx="92" formatCode=".00000">
                  <c:v>2.9256122897486017E-4</c:v>
                </c:pt>
                <c:pt idx="93" formatCode=".00000">
                  <c:v>2.6708323906470428E-4</c:v>
                </c:pt>
                <c:pt idx="94" formatCode=".00000">
                  <c:v>2.4070256616319632E-4</c:v>
                </c:pt>
                <c:pt idx="95" formatCode=".00000">
                  <c:v>2.258923553940704E-4</c:v>
                </c:pt>
                <c:pt idx="96" formatCode=".00000">
                  <c:v>2.0755312906345729E-4</c:v>
                </c:pt>
                <c:pt idx="97" formatCode=".00000">
                  <c:v>1.8843473353625864E-4</c:v>
                </c:pt>
                <c:pt idx="98" formatCode=".00000">
                  <c:v>1.723416384269521E-4</c:v>
                </c:pt>
                <c:pt idx="99" formatCode=".00000">
                  <c:v>1.6144018039499557E-4</c:v>
                </c:pt>
                <c:pt idx="100" formatCode=".00000">
                  <c:v>1.4589648039234292E-4</c:v>
                </c:pt>
                <c:pt idx="101" formatCode=".00000">
                  <c:v>1.3579017355131722E-4</c:v>
                </c:pt>
                <c:pt idx="102" formatCode=".00000">
                  <c:v>1.2385071206559142E-4</c:v>
                </c:pt>
                <c:pt idx="103" formatCode=".00000">
                  <c:v>1.1548389757069086E-4</c:v>
                </c:pt>
                <c:pt idx="104" formatCode=".00000">
                  <c:v>1.0494283778971079E-4</c:v>
                </c:pt>
                <c:pt idx="105" formatCode=".00000">
                  <c:v>9.6511764007424503E-5</c:v>
                </c:pt>
                <c:pt idx="106" formatCode=".00000">
                  <c:v>8.8106939628580347E-5</c:v>
                </c:pt>
                <c:pt idx="107" formatCode=".00000">
                  <c:v>8.1702406996135332E-5</c:v>
                </c:pt>
                <c:pt idx="108" formatCode=".00000">
                  <c:v>7.5485023173564833E-5</c:v>
                </c:pt>
                <c:pt idx="109" formatCode=".00000">
                  <c:v>6.897478475717757E-5</c:v>
                </c:pt>
                <c:pt idx="110" formatCode=".00000">
                  <c:v>6.3142142175583047E-5</c:v>
                </c:pt>
                <c:pt idx="111" formatCode=".00000">
                  <c:v>5.8283490746197888E-5</c:v>
                </c:pt>
                <c:pt idx="112" formatCode=".00000">
                  <c:v>5.4346112050059008E-5</c:v>
                </c:pt>
                <c:pt idx="113" formatCode=".00000">
                  <c:v>4.8978171289411065E-5</c:v>
                </c:pt>
                <c:pt idx="114" formatCode=".00000">
                  <c:v>4.5417926232405758E-5</c:v>
                </c:pt>
                <c:pt idx="115" formatCode=".00000">
                  <c:v>4.1692251946993467E-5</c:v>
                </c:pt>
                <c:pt idx="116" formatCode=".00000">
                  <c:v>3.7851842666059178E-5</c:v>
                </c:pt>
                <c:pt idx="117" formatCode=".00000">
                  <c:v>3.5719554187716057E-5</c:v>
                </c:pt>
                <c:pt idx="118" formatCode=".00000">
                  <c:v>3.2459169285897239E-5</c:v>
                </c:pt>
                <c:pt idx="119" formatCode=".00000">
                  <c:v>2.9714358503136364E-5</c:v>
                </c:pt>
              </c:numCache>
            </c:numRef>
          </c:val>
          <c:smooth val="0"/>
        </c:ser>
        <c:dLbls>
          <c:showLegendKey val="0"/>
          <c:showVal val="0"/>
          <c:showCatName val="0"/>
          <c:showSerName val="0"/>
          <c:showPercent val="0"/>
          <c:showBubbleSize val="0"/>
        </c:dLbls>
        <c:marker val="1"/>
        <c:smooth val="0"/>
        <c:axId val="232212736"/>
        <c:axId val="232223104"/>
      </c:lineChart>
      <c:dateAx>
        <c:axId val="232212736"/>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2223104"/>
        <c:crossesAt val="1.0000000000000003E-4"/>
        <c:auto val="0"/>
        <c:lblOffset val="100"/>
        <c:baseTimeUnit val="days"/>
        <c:majorUnit val="24"/>
        <c:majorTimeUnit val="months"/>
      </c:dateAx>
      <c:valAx>
        <c:axId val="232223104"/>
        <c:scaling>
          <c:logBase val="10"/>
          <c:orientation val="minMax"/>
          <c:min val="1.0000000000000003E-4"/>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1000" b="0" i="0" u="none" strike="noStrike" baseline="0">
                    <a:solidFill>
                      <a:srgbClr val="000000"/>
                    </a:solidFill>
                    <a:latin typeface="Meiryo UI"/>
                    <a:ea typeface="Meiryo UI"/>
                    <a:cs typeface="Meiryo UI"/>
                  </a:defRPr>
                </a:pPr>
                <a:r>
                  <a:rPr lang="ja-JP" altLang="en-US" sz="1000" b="0" i="0" u="none" strike="noStrike" baseline="0">
                    <a:solidFill>
                      <a:srgbClr val="000000"/>
                    </a:solidFill>
                    <a:latin typeface="Meiryo UI"/>
                    <a:ea typeface="Meiryo UI"/>
                  </a:rPr>
                  <a:t>Bq/kg生</a:t>
                </a:r>
              </a:p>
            </c:rich>
          </c:tx>
          <c:layout>
            <c:manualLayout>
              <c:xMode val="edge"/>
              <c:yMode val="edge"/>
              <c:x val="9.0413597493861648E-3"/>
              <c:y val="0.33616272864612429"/>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2212736"/>
        <c:crosses val="autoZero"/>
        <c:crossBetween val="between"/>
        <c:minorUnit val="10"/>
      </c:valAx>
      <c:spPr>
        <a:noFill/>
        <a:ln w="12700">
          <a:solidFill>
            <a:srgbClr val="808080"/>
          </a:solidFill>
          <a:prstDash val="solid"/>
        </a:ln>
      </c:spPr>
    </c:plotArea>
    <c:legend>
      <c:legendPos val="r"/>
      <c:layout>
        <c:manualLayout>
          <c:xMode val="edge"/>
          <c:yMode val="edge"/>
          <c:x val="0.53455397646832015"/>
          <c:y val="0.16924756944444444"/>
          <c:w val="0.45743272144539698"/>
          <c:h val="0.12273125"/>
        </c:manualLayout>
      </c:layout>
      <c:overlay val="0"/>
      <c:spPr>
        <a:solidFill>
          <a:schemeClr val="bg1"/>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あらめ (小屋取山王島</a:t>
            </a:r>
            <a:r>
              <a:rPr lang="en-US" altLang="ja-JP" sz="1200" b="0" i="0" u="none" strike="noStrike" baseline="0">
                <a:solidFill>
                  <a:srgbClr val="000000"/>
                </a:solidFill>
                <a:latin typeface="Meiryo UI"/>
                <a:ea typeface="Meiryo UI"/>
              </a:rPr>
              <a:t>/</a:t>
            </a:r>
            <a:r>
              <a:rPr lang="ja-JP" altLang="en-US" sz="1200" b="0" i="0" u="none" strike="noStrike" baseline="0">
                <a:solidFill>
                  <a:srgbClr val="000000"/>
                </a:solidFill>
                <a:latin typeface="Meiryo UI"/>
                <a:ea typeface="Meiryo UI"/>
              </a:rPr>
              <a:t>県)</a:t>
            </a:r>
          </a:p>
        </c:rich>
      </c:tx>
      <c:layout>
        <c:manualLayout>
          <c:xMode val="edge"/>
          <c:yMode val="edge"/>
          <c:x val="0.14129613935969867"/>
          <c:y val="0.1953829861111111"/>
        </c:manualLayout>
      </c:layout>
      <c:overlay val="0"/>
      <c:spPr>
        <a:solidFill>
          <a:srgbClr val="FFFFFF"/>
        </a:solidFill>
        <a:ln w="25400">
          <a:noFill/>
        </a:ln>
      </c:spPr>
    </c:title>
    <c:autoTitleDeleted val="0"/>
    <c:plotArea>
      <c:layout>
        <c:manualLayout>
          <c:layoutTarget val="inner"/>
          <c:xMode val="edge"/>
          <c:yMode val="edge"/>
          <c:x val="7.8392543941485981E-2"/>
          <c:y val="3.8762185401671416E-2"/>
          <c:w val="0.8634324434838484"/>
          <c:h val="0.84782229980673141"/>
        </c:manualLayout>
      </c:layout>
      <c:lineChart>
        <c:grouping val="standard"/>
        <c:varyColors val="0"/>
        <c:ser>
          <c:idx val="1"/>
          <c:order val="0"/>
          <c:tx>
            <c:strRef>
              <c:f>あらめ!$M$196</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あらめ!$B$197:$B$316</c:f>
              <c:numCache>
                <c:formatCode>[$-411]m\.d\.ge</c:formatCode>
                <c:ptCount val="120"/>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numCache>
            </c:numRef>
          </c:cat>
          <c:val>
            <c:numRef>
              <c:f>あらめ!$M$197:$M$316</c:f>
              <c:numCache>
                <c:formatCode>0</c:formatCode>
                <c:ptCount val="120"/>
                <c:pt idx="0">
                  <c:v>437.03703703703701</c:v>
                </c:pt>
                <c:pt idx="1">
                  <c:v>425.92592592592592</c:v>
                </c:pt>
                <c:pt idx="5">
                  <c:v>302.96296296296299</c:v>
                </c:pt>
                <c:pt idx="6">
                  <c:v>339.62962962962962</c:v>
                </c:pt>
                <c:pt idx="9">
                  <c:v>555.55555555555554</c:v>
                </c:pt>
                <c:pt idx="10">
                  <c:v>334.44444444444446</c:v>
                </c:pt>
                <c:pt idx="11">
                  <c:v>283.33333333333331</c:v>
                </c:pt>
                <c:pt idx="12">
                  <c:v>208.88888888888889</c:v>
                </c:pt>
                <c:pt idx="13">
                  <c:v>350.37037037037038</c:v>
                </c:pt>
                <c:pt idx="15">
                  <c:v>369.62962962962962</c:v>
                </c:pt>
                <c:pt idx="19">
                  <c:v>104.44444444444444</c:v>
                </c:pt>
                <c:pt idx="21">
                  <c:v>432.59259259259261</c:v>
                </c:pt>
                <c:pt idx="25">
                  <c:v>342.96296296296299</c:v>
                </c:pt>
                <c:pt idx="27">
                  <c:v>104.44444444444444</c:v>
                </c:pt>
                <c:pt idx="30">
                  <c:v>104.44444444444444</c:v>
                </c:pt>
                <c:pt idx="33">
                  <c:v>238.14814814814815</c:v>
                </c:pt>
                <c:pt idx="34">
                  <c:v>249.62962962962962</c:v>
                </c:pt>
                <c:pt idx="36">
                  <c:v>324.07407407407408</c:v>
                </c:pt>
                <c:pt idx="38">
                  <c:v>267</c:v>
                </c:pt>
                <c:pt idx="39">
                  <c:v>285</c:v>
                </c:pt>
                <c:pt idx="40">
                  <c:v>414</c:v>
                </c:pt>
                <c:pt idx="41">
                  <c:v>419</c:v>
                </c:pt>
                <c:pt idx="43">
                  <c:v>256</c:v>
                </c:pt>
                <c:pt idx="44">
                  <c:v>215</c:v>
                </c:pt>
                <c:pt idx="45">
                  <c:v>399</c:v>
                </c:pt>
                <c:pt idx="46">
                  <c:v>368</c:v>
                </c:pt>
                <c:pt idx="47">
                  <c:v>333</c:v>
                </c:pt>
                <c:pt idx="48">
                  <c:v>251</c:v>
                </c:pt>
                <c:pt idx="49">
                  <c:v>401</c:v>
                </c:pt>
                <c:pt idx="50">
                  <c:v>324</c:v>
                </c:pt>
                <c:pt idx="51">
                  <c:v>232</c:v>
                </c:pt>
                <c:pt idx="52">
                  <c:v>282</c:v>
                </c:pt>
                <c:pt idx="53">
                  <c:v>381</c:v>
                </c:pt>
                <c:pt idx="54">
                  <c:v>414</c:v>
                </c:pt>
                <c:pt idx="55">
                  <c:v>260</c:v>
                </c:pt>
                <c:pt idx="56">
                  <c:v>248</c:v>
                </c:pt>
                <c:pt idx="57">
                  <c:v>397</c:v>
                </c:pt>
                <c:pt idx="58">
                  <c:v>394</c:v>
                </c:pt>
                <c:pt idx="59">
                  <c:v>272</c:v>
                </c:pt>
                <c:pt idx="60">
                  <c:v>277</c:v>
                </c:pt>
                <c:pt idx="61">
                  <c:v>402</c:v>
                </c:pt>
                <c:pt idx="63">
                  <c:v>244</c:v>
                </c:pt>
                <c:pt idx="64">
                  <c:v>264</c:v>
                </c:pt>
                <c:pt idx="65">
                  <c:v>371</c:v>
                </c:pt>
                <c:pt idx="66">
                  <c:v>403</c:v>
                </c:pt>
                <c:pt idx="67">
                  <c:v>285</c:v>
                </c:pt>
                <c:pt idx="68">
                  <c:v>214</c:v>
                </c:pt>
                <c:pt idx="69">
                  <c:v>332</c:v>
                </c:pt>
                <c:pt idx="70">
                  <c:v>310</c:v>
                </c:pt>
                <c:pt idx="71">
                  <c:v>304</c:v>
                </c:pt>
                <c:pt idx="72">
                  <c:v>228</c:v>
                </c:pt>
                <c:pt idx="73">
                  <c:v>396</c:v>
                </c:pt>
                <c:pt idx="74">
                  <c:v>405</c:v>
                </c:pt>
                <c:pt idx="75">
                  <c:v>314</c:v>
                </c:pt>
                <c:pt idx="76">
                  <c:v>298</c:v>
                </c:pt>
                <c:pt idx="77">
                  <c:v>398</c:v>
                </c:pt>
                <c:pt idx="78">
                  <c:v>357</c:v>
                </c:pt>
                <c:pt idx="79">
                  <c:v>288</c:v>
                </c:pt>
                <c:pt idx="80">
                  <c:v>278</c:v>
                </c:pt>
                <c:pt idx="81">
                  <c:v>408</c:v>
                </c:pt>
                <c:pt idx="82">
                  <c:v>393</c:v>
                </c:pt>
                <c:pt idx="83">
                  <c:v>269</c:v>
                </c:pt>
                <c:pt idx="84">
                  <c:v>255</c:v>
                </c:pt>
                <c:pt idx="85">
                  <c:v>373</c:v>
                </c:pt>
                <c:pt idx="86">
                  <c:v>350</c:v>
                </c:pt>
                <c:pt idx="87">
                  <c:v>429</c:v>
                </c:pt>
                <c:pt idx="88">
                  <c:v>255</c:v>
                </c:pt>
                <c:pt idx="89">
                  <c:v>388</c:v>
                </c:pt>
                <c:pt idx="90">
                  <c:v>377</c:v>
                </c:pt>
                <c:pt idx="91">
                  <c:v>294</c:v>
                </c:pt>
                <c:pt idx="92">
                  <c:v>270</c:v>
                </c:pt>
                <c:pt idx="93">
                  <c:v>397</c:v>
                </c:pt>
                <c:pt idx="94">
                  <c:v>359</c:v>
                </c:pt>
                <c:pt idx="95">
                  <c:v>333</c:v>
                </c:pt>
                <c:pt idx="96">
                  <c:v>303</c:v>
                </c:pt>
                <c:pt idx="97">
                  <c:v>384</c:v>
                </c:pt>
                <c:pt idx="98">
                  <c:v>364</c:v>
                </c:pt>
                <c:pt idx="99">
                  <c:v>316</c:v>
                </c:pt>
                <c:pt idx="100">
                  <c:v>285</c:v>
                </c:pt>
                <c:pt idx="101">
                  <c:v>353</c:v>
                </c:pt>
                <c:pt idx="102">
                  <c:v>457</c:v>
                </c:pt>
                <c:pt idx="103">
                  <c:v>273</c:v>
                </c:pt>
                <c:pt idx="104">
                  <c:v>263</c:v>
                </c:pt>
                <c:pt idx="105">
                  <c:v>396</c:v>
                </c:pt>
                <c:pt idx="106">
                  <c:v>395</c:v>
                </c:pt>
                <c:pt idx="107">
                  <c:v>283</c:v>
                </c:pt>
                <c:pt idx="108">
                  <c:v>252</c:v>
                </c:pt>
                <c:pt idx="109">
                  <c:v>399</c:v>
                </c:pt>
                <c:pt idx="110">
                  <c:v>408</c:v>
                </c:pt>
                <c:pt idx="111">
                  <c:v>338</c:v>
                </c:pt>
                <c:pt idx="112">
                  <c:v>338</c:v>
                </c:pt>
                <c:pt idx="113">
                  <c:v>492</c:v>
                </c:pt>
                <c:pt idx="114">
                  <c:v>423</c:v>
                </c:pt>
                <c:pt idx="115">
                  <c:v>353</c:v>
                </c:pt>
                <c:pt idx="116">
                  <c:v>258</c:v>
                </c:pt>
                <c:pt idx="117">
                  <c:v>419</c:v>
                </c:pt>
                <c:pt idx="118">
                  <c:v>462</c:v>
                </c:pt>
                <c:pt idx="119">
                  <c:v>348</c:v>
                </c:pt>
              </c:numCache>
            </c:numRef>
          </c:val>
          <c:smooth val="0"/>
        </c:ser>
        <c:ser>
          <c:idx val="0"/>
          <c:order val="1"/>
          <c:tx>
            <c:strRef>
              <c:f>あらめ!$L$196</c:f>
              <c:strCache>
                <c:ptCount val="1"/>
                <c:pt idx="0">
                  <c:v>Be-7</c:v>
                </c:pt>
              </c:strCache>
            </c:strRef>
          </c:tx>
          <c:spPr>
            <a:ln w="12700">
              <a:solidFill>
                <a:srgbClr val="0066FF"/>
              </a:solidFill>
              <a:prstDash val="sysDash"/>
            </a:ln>
          </c:spPr>
          <c:marker>
            <c:symbol val="circle"/>
            <c:size val="5"/>
            <c:spPr>
              <a:solidFill>
                <a:srgbClr val="FFFFFF"/>
              </a:solidFill>
              <a:ln>
                <a:solidFill>
                  <a:srgbClr val="0066FF"/>
                </a:solidFill>
                <a:prstDash val="solid"/>
              </a:ln>
            </c:spPr>
          </c:marker>
          <c:dPt>
            <c:idx val="102"/>
            <c:bubble3D val="0"/>
          </c:dPt>
          <c:cat>
            <c:numRef>
              <c:f>あらめ!$B$197:$B$316</c:f>
              <c:numCache>
                <c:formatCode>[$-411]m\.d\.ge</c:formatCode>
                <c:ptCount val="120"/>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numCache>
            </c:numRef>
          </c:cat>
          <c:val>
            <c:numRef>
              <c:f>あらめ!$L$197:$L$316</c:f>
              <c:numCache>
                <c:formatCode>0.000</c:formatCode>
                <c:ptCount val="120"/>
                <c:pt idx="0">
                  <c:v>0.20499999999999999</c:v>
                </c:pt>
                <c:pt idx="1">
                  <c:v>0.20499999999999999</c:v>
                </c:pt>
                <c:pt idx="5">
                  <c:v>0.20499999999999999</c:v>
                </c:pt>
                <c:pt idx="6">
                  <c:v>0.20499999999999999</c:v>
                </c:pt>
                <c:pt idx="9" formatCode="0.00_);[Red]\(0.00\)">
                  <c:v>1.1481481481481481</c:v>
                </c:pt>
                <c:pt idx="10">
                  <c:v>0.20499999999999999</c:v>
                </c:pt>
                <c:pt idx="11" formatCode="0.00_);[Red]\(0.00\)">
                  <c:v>0.96296296296296291</c:v>
                </c:pt>
                <c:pt idx="12">
                  <c:v>0.20499999999999999</c:v>
                </c:pt>
                <c:pt idx="13">
                  <c:v>0.20499999999999999</c:v>
                </c:pt>
                <c:pt idx="15">
                  <c:v>0.20499999999999999</c:v>
                </c:pt>
                <c:pt idx="19" formatCode="0.00_);[Red]\(0.00\)">
                  <c:v>1.5185185185185186</c:v>
                </c:pt>
                <c:pt idx="21">
                  <c:v>0.20499999999999999</c:v>
                </c:pt>
                <c:pt idx="25">
                  <c:v>0.20499999999999999</c:v>
                </c:pt>
                <c:pt idx="27" formatCode="0.00_);[Red]\(0.00\)">
                  <c:v>0.55555555555555558</c:v>
                </c:pt>
                <c:pt idx="30">
                  <c:v>0.20499999999999999</c:v>
                </c:pt>
                <c:pt idx="34" formatCode="0.00">
                  <c:v>0.66666666666666663</c:v>
                </c:pt>
                <c:pt idx="36">
                  <c:v>0.20499999999999999</c:v>
                </c:pt>
                <c:pt idx="38">
                  <c:v>0.20499999999999999</c:v>
                </c:pt>
                <c:pt idx="39">
                  <c:v>0.20499999999999999</c:v>
                </c:pt>
                <c:pt idx="40" formatCode="0.00">
                  <c:v>0.62</c:v>
                </c:pt>
                <c:pt idx="41">
                  <c:v>0.20499999999999999</c:v>
                </c:pt>
                <c:pt idx="43">
                  <c:v>0.20499999999999999</c:v>
                </c:pt>
                <c:pt idx="44">
                  <c:v>0.20499999999999999</c:v>
                </c:pt>
                <c:pt idx="45" formatCode="&quot;(&quot;0.00&quot;)&quot;">
                  <c:v>0.79</c:v>
                </c:pt>
                <c:pt idx="46">
                  <c:v>0.20499999999999999</c:v>
                </c:pt>
                <c:pt idx="47">
                  <c:v>0.20499999999999999</c:v>
                </c:pt>
                <c:pt idx="48">
                  <c:v>0.20499999999999999</c:v>
                </c:pt>
                <c:pt idx="49" formatCode="0.00">
                  <c:v>0.62</c:v>
                </c:pt>
                <c:pt idx="50">
                  <c:v>0.20499999999999999</c:v>
                </c:pt>
                <c:pt idx="51">
                  <c:v>0.20499999999999999</c:v>
                </c:pt>
                <c:pt idx="52" formatCode="&quot;(&quot;0.00&quot;)&quot;">
                  <c:v>0.56999999999999995</c:v>
                </c:pt>
                <c:pt idx="53" formatCode="&quot;(&quot;0.00&quot;)&quot;">
                  <c:v>0.71</c:v>
                </c:pt>
                <c:pt idx="54">
                  <c:v>0.20499999999999999</c:v>
                </c:pt>
                <c:pt idx="55">
                  <c:v>0.20499999999999999</c:v>
                </c:pt>
                <c:pt idx="56" formatCode="&quot;(&quot;0.00&quot;)&quot;">
                  <c:v>0.41</c:v>
                </c:pt>
                <c:pt idx="57" formatCode="&quot;(&quot;0.00&quot;)&quot;">
                  <c:v>0.65</c:v>
                </c:pt>
                <c:pt idx="58">
                  <c:v>0.20499999999999999</c:v>
                </c:pt>
                <c:pt idx="59">
                  <c:v>0.20499999999999999</c:v>
                </c:pt>
                <c:pt idx="60">
                  <c:v>0.20499999999999999</c:v>
                </c:pt>
                <c:pt idx="61">
                  <c:v>0.20499999999999999</c:v>
                </c:pt>
                <c:pt idx="63">
                  <c:v>0.20499999999999999</c:v>
                </c:pt>
                <c:pt idx="64" formatCode="0.00">
                  <c:v>0.42</c:v>
                </c:pt>
                <c:pt idx="65" formatCode="0.00">
                  <c:v>0.77</c:v>
                </c:pt>
                <c:pt idx="66">
                  <c:v>0.20499999999999999</c:v>
                </c:pt>
                <c:pt idx="67">
                  <c:v>0.20499999999999999</c:v>
                </c:pt>
                <c:pt idx="68" formatCode="0.00">
                  <c:v>0.63</c:v>
                </c:pt>
                <c:pt idx="69" formatCode="0.00">
                  <c:v>0.66</c:v>
                </c:pt>
                <c:pt idx="70">
                  <c:v>0.20499999999999999</c:v>
                </c:pt>
                <c:pt idx="72">
                  <c:v>0.20499999999999999</c:v>
                </c:pt>
                <c:pt idx="73" formatCode="0.00">
                  <c:v>0.78</c:v>
                </c:pt>
                <c:pt idx="74">
                  <c:v>0.20499999999999999</c:v>
                </c:pt>
                <c:pt idx="75">
                  <c:v>0.20499999999999999</c:v>
                </c:pt>
                <c:pt idx="76" formatCode="0.00">
                  <c:v>0.59</c:v>
                </c:pt>
                <c:pt idx="77" formatCode="0.00">
                  <c:v>1.8</c:v>
                </c:pt>
                <c:pt idx="78">
                  <c:v>0.20499999999999999</c:v>
                </c:pt>
                <c:pt idx="79" formatCode="&quot;(&quot;0.00&quot;)&quot;">
                  <c:v>0.55000000000000004</c:v>
                </c:pt>
                <c:pt idx="80">
                  <c:v>0.20499999999999999</c:v>
                </c:pt>
                <c:pt idx="81" formatCode="0.00">
                  <c:v>1.4</c:v>
                </c:pt>
                <c:pt idx="82">
                  <c:v>0.20499999999999999</c:v>
                </c:pt>
                <c:pt idx="83">
                  <c:v>0.20499999999999999</c:v>
                </c:pt>
                <c:pt idx="84">
                  <c:v>0.20499999999999999</c:v>
                </c:pt>
                <c:pt idx="85" formatCode="&quot;(&quot;0.00&quot;)&quot;">
                  <c:v>0.83</c:v>
                </c:pt>
                <c:pt idx="86">
                  <c:v>0.20499999999999999</c:v>
                </c:pt>
                <c:pt idx="87" formatCode="&quot;(&quot;0.00&quot;)&quot;">
                  <c:v>0.5</c:v>
                </c:pt>
                <c:pt idx="88" formatCode="&quot;(&quot;0.00&quot;)&quot;">
                  <c:v>0.59</c:v>
                </c:pt>
                <c:pt idx="89" formatCode="0.0_);[Red]\(0.0\)">
                  <c:v>1.4</c:v>
                </c:pt>
                <c:pt idx="90">
                  <c:v>0.20499999999999999</c:v>
                </c:pt>
                <c:pt idx="91">
                  <c:v>0.20499999999999999</c:v>
                </c:pt>
                <c:pt idx="92">
                  <c:v>0.20499999999999999</c:v>
                </c:pt>
                <c:pt idx="93" formatCode="0.0_);[Red]\(0.0\)">
                  <c:v>1.1000000000000001</c:v>
                </c:pt>
                <c:pt idx="94">
                  <c:v>0.20499999999999999</c:v>
                </c:pt>
                <c:pt idx="95">
                  <c:v>0.20499999999999999</c:v>
                </c:pt>
                <c:pt idx="96" formatCode="&quot;(&quot;0.00&quot;)&quot;">
                  <c:v>0.6</c:v>
                </c:pt>
                <c:pt idx="97">
                  <c:v>0.20499999999999999</c:v>
                </c:pt>
                <c:pt idx="98">
                  <c:v>0.20499999999999999</c:v>
                </c:pt>
                <c:pt idx="99">
                  <c:v>0.20499999999999999</c:v>
                </c:pt>
                <c:pt idx="100">
                  <c:v>0.20499999999999999</c:v>
                </c:pt>
                <c:pt idx="101" formatCode="0.0_);[Red]\(0.0\)">
                  <c:v>1.2</c:v>
                </c:pt>
                <c:pt idx="102">
                  <c:v>0.20499999999999999</c:v>
                </c:pt>
                <c:pt idx="103">
                  <c:v>0.20499999999999999</c:v>
                </c:pt>
                <c:pt idx="104" formatCode="&quot;(&quot;0.00&quot;)&quot;">
                  <c:v>1</c:v>
                </c:pt>
                <c:pt idx="105" formatCode="0.00_ ">
                  <c:v>1.3</c:v>
                </c:pt>
                <c:pt idx="106">
                  <c:v>0.20499999999999999</c:v>
                </c:pt>
                <c:pt idx="107">
                  <c:v>0.20499999999999999</c:v>
                </c:pt>
                <c:pt idx="108" formatCode="0.00_ ">
                  <c:v>0.54</c:v>
                </c:pt>
                <c:pt idx="109" formatCode="0.00_ ">
                  <c:v>0.78</c:v>
                </c:pt>
                <c:pt idx="110">
                  <c:v>0.20499999999999999</c:v>
                </c:pt>
                <c:pt idx="111" formatCode="&quot;(&quot;0.00&quot;)&quot;">
                  <c:v>0.52</c:v>
                </c:pt>
                <c:pt idx="112" formatCode="0.00_ ">
                  <c:v>0.66</c:v>
                </c:pt>
                <c:pt idx="113" formatCode="0.00_ ">
                  <c:v>1</c:v>
                </c:pt>
                <c:pt idx="114">
                  <c:v>0.20499999999999999</c:v>
                </c:pt>
                <c:pt idx="115">
                  <c:v>0.20499999999999999</c:v>
                </c:pt>
                <c:pt idx="116" formatCode="0.00_ ">
                  <c:v>0.81</c:v>
                </c:pt>
                <c:pt idx="117" formatCode="&quot;(&quot;0.00&quot;)&quot;">
                  <c:v>0.68</c:v>
                </c:pt>
                <c:pt idx="118">
                  <c:v>0.20499999999999999</c:v>
                </c:pt>
                <c:pt idx="119">
                  <c:v>0.20499999999999999</c:v>
                </c:pt>
              </c:numCache>
            </c:numRef>
          </c:val>
          <c:smooth val="0"/>
        </c:ser>
        <c:ser>
          <c:idx val="2"/>
          <c:order val="2"/>
          <c:tx>
            <c:strRef>
              <c:f>あらめ!$O$196</c:f>
              <c:strCache>
                <c:ptCount val="1"/>
                <c:pt idx="0">
                  <c:v>Cs-137</c:v>
                </c:pt>
              </c:strCache>
            </c:strRef>
          </c:tx>
          <c:spPr>
            <a:ln w="12700">
              <a:solidFill>
                <a:srgbClr val="FF0000"/>
              </a:solidFill>
              <a:prstDash val="solid"/>
            </a:ln>
          </c:spPr>
          <c:marker>
            <c:symbol val="triangle"/>
            <c:size val="5"/>
            <c:spPr>
              <a:solidFill>
                <a:srgbClr val="FF0000"/>
              </a:solidFill>
              <a:ln>
                <a:solidFill>
                  <a:srgbClr val="FF0000"/>
                </a:solidFill>
                <a:prstDash val="solid"/>
              </a:ln>
            </c:spPr>
          </c:marker>
          <c:cat>
            <c:numRef>
              <c:f>あらめ!$B$197:$B$316</c:f>
              <c:numCache>
                <c:formatCode>[$-411]m\.d\.ge</c:formatCode>
                <c:ptCount val="120"/>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numCache>
            </c:numRef>
          </c:cat>
          <c:val>
            <c:numRef>
              <c:f>あらめ!$O$197:$O$316</c:f>
              <c:numCache>
                <c:formatCode>0.000</c:formatCode>
                <c:ptCount val="120"/>
                <c:pt idx="0">
                  <c:v>0.162962962962963</c:v>
                </c:pt>
                <c:pt idx="1">
                  <c:v>0.17407407407407408</c:v>
                </c:pt>
                <c:pt idx="5">
                  <c:v>0.13333333333333333</c:v>
                </c:pt>
                <c:pt idx="6">
                  <c:v>0.18148148148148149</c:v>
                </c:pt>
                <c:pt idx="9">
                  <c:v>0.2074074074074074</c:v>
                </c:pt>
                <c:pt idx="10">
                  <c:v>8.5185185185185169E-2</c:v>
                </c:pt>
                <c:pt idx="11">
                  <c:v>7.0370370370370361E-2</c:v>
                </c:pt>
                <c:pt idx="12">
                  <c:v>7.407407407407407E-2</c:v>
                </c:pt>
                <c:pt idx="13">
                  <c:v>0.162962962962963</c:v>
                </c:pt>
                <c:pt idx="15">
                  <c:v>6.2962962962962957E-2</c:v>
                </c:pt>
                <c:pt idx="19">
                  <c:v>1.7783530621231006E-2</c:v>
                </c:pt>
                <c:pt idx="21">
                  <c:v>7.407407407407407E-2</c:v>
                </c:pt>
                <c:pt idx="25">
                  <c:v>0.22592592592592592</c:v>
                </c:pt>
                <c:pt idx="27">
                  <c:v>1.933212643174843E-2</c:v>
                </c:pt>
                <c:pt idx="30">
                  <c:v>1.9170536926823176E-2</c:v>
                </c:pt>
                <c:pt idx="33">
                  <c:v>0.12592592592592591</c:v>
                </c:pt>
                <c:pt idx="34">
                  <c:v>0.15925925925925924</c:v>
                </c:pt>
                <c:pt idx="36">
                  <c:v>5.9259259259259262E-2</c:v>
                </c:pt>
                <c:pt idx="38">
                  <c:v>9.1999999999999998E-2</c:v>
                </c:pt>
                <c:pt idx="39">
                  <c:v>0.12</c:v>
                </c:pt>
                <c:pt idx="40">
                  <c:v>0.15</c:v>
                </c:pt>
                <c:pt idx="41" formatCode="&quot;(&quot;0.00&quot;)&quot;">
                  <c:v>5.8000000000000003E-2</c:v>
                </c:pt>
                <c:pt idx="43" formatCode="&quot;(&quot;0.00&quot;)&quot;">
                  <c:v>4.3999999999999997E-2</c:v>
                </c:pt>
                <c:pt idx="44">
                  <c:v>0.11</c:v>
                </c:pt>
                <c:pt idx="45">
                  <c:v>9.6000000000000002E-2</c:v>
                </c:pt>
                <c:pt idx="46" formatCode="&quot;(&quot;0.00&quot;)&quot;">
                  <c:v>3.9E-2</c:v>
                </c:pt>
                <c:pt idx="47">
                  <c:v>5.2999999999999999E-2</c:v>
                </c:pt>
                <c:pt idx="48">
                  <c:v>0.1</c:v>
                </c:pt>
                <c:pt idx="49">
                  <c:v>0.11</c:v>
                </c:pt>
                <c:pt idx="50">
                  <c:v>7.1999999999999995E-2</c:v>
                </c:pt>
                <c:pt idx="51" formatCode="&quot;(&quot;0.00&quot;)&quot;">
                  <c:v>0.04</c:v>
                </c:pt>
                <c:pt idx="52">
                  <c:v>8.6999999999999994E-2</c:v>
                </c:pt>
                <c:pt idx="53">
                  <c:v>0.1</c:v>
                </c:pt>
                <c:pt idx="54" formatCode="&quot;(&quot;0.00&quot;)&quot;">
                  <c:v>5.6000000000000001E-2</c:v>
                </c:pt>
                <c:pt idx="55">
                  <c:v>4.9000000000000002E-2</c:v>
                </c:pt>
                <c:pt idx="56">
                  <c:v>9.0999999999999998E-2</c:v>
                </c:pt>
                <c:pt idx="57">
                  <c:v>8.4000000000000005E-2</c:v>
                </c:pt>
                <c:pt idx="58">
                  <c:v>7.2999999999999995E-2</c:v>
                </c:pt>
                <c:pt idx="59">
                  <c:v>8.8999999999999996E-2</c:v>
                </c:pt>
                <c:pt idx="60">
                  <c:v>8.4000000000000005E-2</c:v>
                </c:pt>
                <c:pt idx="61" formatCode="&quot;(&quot;0.00&quot;)&quot;">
                  <c:v>5.7000000000000002E-2</c:v>
                </c:pt>
                <c:pt idx="63">
                  <c:v>6.0999999999999999E-2</c:v>
                </c:pt>
                <c:pt idx="64">
                  <c:v>9.2999999999999999E-2</c:v>
                </c:pt>
                <c:pt idx="65">
                  <c:v>0.14000000000000001</c:v>
                </c:pt>
                <c:pt idx="66">
                  <c:v>0.12</c:v>
                </c:pt>
                <c:pt idx="67">
                  <c:v>7.5999999999999998E-2</c:v>
                </c:pt>
                <c:pt idx="68">
                  <c:v>8.7999999999999995E-2</c:v>
                </c:pt>
                <c:pt idx="69">
                  <c:v>6.3E-2</c:v>
                </c:pt>
                <c:pt idx="70">
                  <c:v>0.04</c:v>
                </c:pt>
                <c:pt idx="71">
                  <c:v>4.5999999999999999E-2</c:v>
                </c:pt>
                <c:pt idx="72">
                  <c:v>7.4999999999999997E-2</c:v>
                </c:pt>
                <c:pt idx="73">
                  <c:v>7.0999999999999994E-2</c:v>
                </c:pt>
                <c:pt idx="74">
                  <c:v>7.1999999999999995E-2</c:v>
                </c:pt>
                <c:pt idx="75">
                  <c:v>5.8000000000000003E-2</c:v>
                </c:pt>
                <c:pt idx="76">
                  <c:v>5.7000000000000002E-2</c:v>
                </c:pt>
                <c:pt idx="77">
                  <c:v>8.5999999999999993E-2</c:v>
                </c:pt>
                <c:pt idx="78">
                  <c:v>1.4830756699014749E-2</c:v>
                </c:pt>
                <c:pt idx="79">
                  <c:v>5.8000000000000003E-2</c:v>
                </c:pt>
                <c:pt idx="80">
                  <c:v>0.09</c:v>
                </c:pt>
                <c:pt idx="81">
                  <c:v>0.11</c:v>
                </c:pt>
                <c:pt idx="82">
                  <c:v>1.4508586429161011E-2</c:v>
                </c:pt>
                <c:pt idx="83">
                  <c:v>6.5000000000000002E-2</c:v>
                </c:pt>
                <c:pt idx="84">
                  <c:v>7.5999999999999998E-2</c:v>
                </c:pt>
                <c:pt idx="85">
                  <c:v>8.1000000000000003E-2</c:v>
                </c:pt>
                <c:pt idx="86">
                  <c:v>6.4000000000000001E-2</c:v>
                </c:pt>
                <c:pt idx="87">
                  <c:v>7.2999999999999995E-2</c:v>
                </c:pt>
                <c:pt idx="88">
                  <c:v>5.8999999999999997E-2</c:v>
                </c:pt>
                <c:pt idx="89">
                  <c:v>8.5999999999999993E-2</c:v>
                </c:pt>
                <c:pt idx="90">
                  <c:v>1.3859700077716261E-2</c:v>
                </c:pt>
                <c:pt idx="91">
                  <c:v>1.3781200590614837E-2</c:v>
                </c:pt>
                <c:pt idx="92">
                  <c:v>0.11</c:v>
                </c:pt>
                <c:pt idx="93">
                  <c:v>8.8999999999999996E-2</c:v>
                </c:pt>
                <c:pt idx="94">
                  <c:v>6.2E-2</c:v>
                </c:pt>
                <c:pt idx="95" formatCode="&quot;(&quot;0.00&quot;)&quot;">
                  <c:v>5.8000000000000003E-2</c:v>
                </c:pt>
                <c:pt idx="96">
                  <c:v>9.4E-2</c:v>
                </c:pt>
                <c:pt idx="97">
                  <c:v>6.9000000000000006E-2</c:v>
                </c:pt>
                <c:pt idx="98">
                  <c:v>1.3209788130547448E-2</c:v>
                </c:pt>
                <c:pt idx="99">
                  <c:v>1.3149899374335642E-2</c:v>
                </c:pt>
                <c:pt idx="100">
                  <c:v>9.0999999999999998E-2</c:v>
                </c:pt>
                <c:pt idx="101" formatCode="&quot;(&quot;0.00&quot;)&quot;">
                  <c:v>6.2E-2</c:v>
                </c:pt>
                <c:pt idx="102">
                  <c:v>1.2943235679661875E-2</c:v>
                </c:pt>
                <c:pt idx="103">
                  <c:v>1.2868302565561641E-2</c:v>
                </c:pt>
                <c:pt idx="104">
                  <c:v>7.4999999999999997E-2</c:v>
                </c:pt>
                <c:pt idx="105" formatCode="&quot;(&quot;0.00&quot;)&quot;">
                  <c:v>6.2E-2</c:v>
                </c:pt>
                <c:pt idx="106">
                  <c:v>1.2639712858109997E-2</c:v>
                </c:pt>
                <c:pt idx="107">
                  <c:v>5.8000000000000003E-2</c:v>
                </c:pt>
                <c:pt idx="108" formatCode="&quot;(&quot;0.00&quot;)&quot;">
                  <c:v>5.2999999999999999E-2</c:v>
                </c:pt>
                <c:pt idx="109" formatCode="&quot;(&quot;0.00&quot;)&quot;">
                  <c:v>6.6000000000000003E-2</c:v>
                </c:pt>
                <c:pt idx="110">
                  <c:v>1.2347982596100072E-2</c:v>
                </c:pt>
                <c:pt idx="111" formatCode="&quot;(&quot;0.00&quot;)&quot;">
                  <c:v>5.8000000000000003E-2</c:v>
                </c:pt>
                <c:pt idx="112" formatCode="&quot;(&quot;0.00&quot;)&quot;">
                  <c:v>5.6000000000000001E-2</c:v>
                </c:pt>
                <c:pt idx="113" formatCode="&quot;(&quot;0.00&quot;)&quot;">
                  <c:v>8.4000000000000005E-2</c:v>
                </c:pt>
                <c:pt idx="114">
                  <c:v>1.2075934712462643E-2</c:v>
                </c:pt>
                <c:pt idx="115">
                  <c:v>1.2002992266663447E-2</c:v>
                </c:pt>
                <c:pt idx="116">
                  <c:v>0.08</c:v>
                </c:pt>
                <c:pt idx="117" formatCode="&quot;(&quot;0.00&quot;)&quot;">
                  <c:v>6.8000000000000005E-2</c:v>
                </c:pt>
                <c:pt idx="118">
                  <c:v>1.1791261958426299E-2</c:v>
                </c:pt>
                <c:pt idx="119">
                  <c:v>1.1734841572739985E-2</c:v>
                </c:pt>
              </c:numCache>
            </c:numRef>
          </c:val>
          <c:smooth val="0"/>
        </c:ser>
        <c:ser>
          <c:idx val="3"/>
          <c:order val="3"/>
          <c:tx>
            <c:strRef>
              <c:f>あらめ!$N$196</c:f>
              <c:strCache>
                <c:ptCount val="1"/>
                <c:pt idx="0">
                  <c:v>Cs-134</c:v>
                </c:pt>
              </c:strCache>
            </c:strRef>
          </c:tx>
          <c:spPr>
            <a:ln w="0">
              <a:solidFill>
                <a:srgbClr val="FF0000"/>
              </a:solidFill>
              <a:prstDash val="sysDot"/>
            </a:ln>
          </c:spPr>
          <c:marker>
            <c:symbol val="triangle"/>
            <c:size val="5"/>
            <c:spPr>
              <a:noFill/>
              <a:ln>
                <a:solidFill>
                  <a:srgbClr val="FF0000"/>
                </a:solidFill>
              </a:ln>
            </c:spPr>
          </c:marker>
          <c:cat>
            <c:numRef>
              <c:f>あらめ!$B$197:$B$316</c:f>
              <c:numCache>
                <c:formatCode>[$-411]m\.d\.ge</c:formatCode>
                <c:ptCount val="120"/>
                <c:pt idx="0">
                  <c:v>29902</c:v>
                </c:pt>
                <c:pt idx="1">
                  <c:v>29931</c:v>
                </c:pt>
                <c:pt idx="2">
                  <c:v>29991</c:v>
                </c:pt>
                <c:pt idx="3">
                  <c:v>30049</c:v>
                </c:pt>
                <c:pt idx="4">
                  <c:v>30089</c:v>
                </c:pt>
                <c:pt idx="5">
                  <c:v>30243</c:v>
                </c:pt>
                <c:pt idx="6">
                  <c:v>30272</c:v>
                </c:pt>
                <c:pt idx="7">
                  <c:v>30402</c:v>
                </c:pt>
                <c:pt idx="8">
                  <c:v>30594</c:v>
                </c:pt>
                <c:pt idx="9">
                  <c:v>30649</c:v>
                </c:pt>
                <c:pt idx="10">
                  <c:v>30733</c:v>
                </c:pt>
                <c:pt idx="11">
                  <c:v>30812</c:v>
                </c:pt>
                <c:pt idx="12">
                  <c:v>30901</c:v>
                </c:pt>
                <c:pt idx="13">
                  <c:v>30994</c:v>
                </c:pt>
                <c:pt idx="14">
                  <c:v>31061</c:v>
                </c:pt>
                <c:pt idx="15">
                  <c:v>31083</c:v>
                </c:pt>
                <c:pt idx="16">
                  <c:v>31154</c:v>
                </c:pt>
                <c:pt idx="17">
                  <c:v>31180</c:v>
                </c:pt>
                <c:pt idx="18">
                  <c:v>31272</c:v>
                </c:pt>
                <c:pt idx="19">
                  <c:v>31362</c:v>
                </c:pt>
                <c:pt idx="20">
                  <c:v>31442</c:v>
                </c:pt>
                <c:pt idx="21">
                  <c:v>31467</c:v>
                </c:pt>
                <c:pt idx="22">
                  <c:v>31517</c:v>
                </c:pt>
                <c:pt idx="23">
                  <c:v>31528</c:v>
                </c:pt>
                <c:pt idx="24">
                  <c:v>31553</c:v>
                </c:pt>
                <c:pt idx="25">
                  <c:v>31576</c:v>
                </c:pt>
                <c:pt idx="26">
                  <c:v>31652</c:v>
                </c:pt>
                <c:pt idx="27">
                  <c:v>31665</c:v>
                </c:pt>
                <c:pt idx="28">
                  <c:v>31722</c:v>
                </c:pt>
                <c:pt idx="29">
                  <c:v>31763</c:v>
                </c:pt>
                <c:pt idx="30">
                  <c:v>31798</c:v>
                </c:pt>
                <c:pt idx="31">
                  <c:v>31825</c:v>
                </c:pt>
                <c:pt idx="32">
                  <c:v>31884</c:v>
                </c:pt>
                <c:pt idx="33">
                  <c:v>31908</c:v>
                </c:pt>
                <c:pt idx="34">
                  <c:v>32009</c:v>
                </c:pt>
                <c:pt idx="35">
                  <c:v>32098</c:v>
                </c:pt>
                <c:pt idx="36">
                  <c:v>32206</c:v>
                </c:pt>
                <c:pt idx="37">
                  <c:v>32247</c:v>
                </c:pt>
                <c:pt idx="38">
                  <c:v>32283</c:v>
                </c:pt>
                <c:pt idx="39">
                  <c:v>32364</c:v>
                </c:pt>
                <c:pt idx="40">
                  <c:v>32485</c:v>
                </c:pt>
                <c:pt idx="41">
                  <c:v>32547</c:v>
                </c:pt>
                <c:pt idx="42">
                  <c:v>32616</c:v>
                </c:pt>
                <c:pt idx="43">
                  <c:v>32644</c:v>
                </c:pt>
                <c:pt idx="44">
                  <c:v>32722</c:v>
                </c:pt>
                <c:pt idx="45">
                  <c:v>32834</c:v>
                </c:pt>
                <c:pt idx="46">
                  <c:v>32938</c:v>
                </c:pt>
                <c:pt idx="47">
                  <c:v>33015</c:v>
                </c:pt>
                <c:pt idx="48">
                  <c:v>33087</c:v>
                </c:pt>
                <c:pt idx="49">
                  <c:v>33212</c:v>
                </c:pt>
                <c:pt idx="50">
                  <c:v>33303</c:v>
                </c:pt>
                <c:pt idx="51">
                  <c:v>33378</c:v>
                </c:pt>
                <c:pt idx="52">
                  <c:v>33462</c:v>
                </c:pt>
                <c:pt idx="53">
                  <c:v>33560</c:v>
                </c:pt>
                <c:pt idx="54">
                  <c:v>33646</c:v>
                </c:pt>
                <c:pt idx="55">
                  <c:v>33735</c:v>
                </c:pt>
                <c:pt idx="56">
                  <c:v>33826</c:v>
                </c:pt>
                <c:pt idx="57">
                  <c:v>33933</c:v>
                </c:pt>
                <c:pt idx="58">
                  <c:v>34002</c:v>
                </c:pt>
                <c:pt idx="59">
                  <c:v>34109</c:v>
                </c:pt>
                <c:pt idx="60">
                  <c:v>34201</c:v>
                </c:pt>
                <c:pt idx="61">
                  <c:v>34298</c:v>
                </c:pt>
                <c:pt idx="62">
                  <c:v>34386</c:v>
                </c:pt>
                <c:pt idx="63">
                  <c:v>34478</c:v>
                </c:pt>
                <c:pt idx="64">
                  <c:v>34556</c:v>
                </c:pt>
                <c:pt idx="65">
                  <c:v>34656</c:v>
                </c:pt>
                <c:pt idx="66">
                  <c:v>34758</c:v>
                </c:pt>
                <c:pt idx="67">
                  <c:v>34844</c:v>
                </c:pt>
                <c:pt idx="68">
                  <c:v>34919</c:v>
                </c:pt>
                <c:pt idx="69">
                  <c:v>35019</c:v>
                </c:pt>
                <c:pt idx="70">
                  <c:v>35100</c:v>
                </c:pt>
                <c:pt idx="71">
                  <c:v>35205</c:v>
                </c:pt>
                <c:pt idx="72">
                  <c:v>35285</c:v>
                </c:pt>
                <c:pt idx="73">
                  <c:v>35394</c:v>
                </c:pt>
                <c:pt idx="74">
                  <c:v>35482</c:v>
                </c:pt>
                <c:pt idx="75">
                  <c:v>35563</c:v>
                </c:pt>
                <c:pt idx="76">
                  <c:v>35654</c:v>
                </c:pt>
                <c:pt idx="77">
                  <c:v>35754</c:v>
                </c:pt>
                <c:pt idx="78">
                  <c:v>35865</c:v>
                </c:pt>
                <c:pt idx="79">
                  <c:v>35927</c:v>
                </c:pt>
                <c:pt idx="80">
                  <c:v>36025</c:v>
                </c:pt>
                <c:pt idx="81">
                  <c:v>36113</c:v>
                </c:pt>
                <c:pt idx="82">
                  <c:v>36213</c:v>
                </c:pt>
                <c:pt idx="83">
                  <c:v>36304</c:v>
                </c:pt>
                <c:pt idx="84">
                  <c:v>36383</c:v>
                </c:pt>
                <c:pt idx="85">
                  <c:v>36483</c:v>
                </c:pt>
                <c:pt idx="86">
                  <c:v>36581</c:v>
                </c:pt>
                <c:pt idx="87">
                  <c:v>36675</c:v>
                </c:pt>
                <c:pt idx="88">
                  <c:v>36748</c:v>
                </c:pt>
                <c:pt idx="89">
                  <c:v>36844</c:v>
                </c:pt>
                <c:pt idx="90">
                  <c:v>36938</c:v>
                </c:pt>
                <c:pt idx="91">
                  <c:v>37028</c:v>
                </c:pt>
                <c:pt idx="92">
                  <c:v>37151</c:v>
                </c:pt>
                <c:pt idx="93">
                  <c:v>37204</c:v>
                </c:pt>
                <c:pt idx="94">
                  <c:v>37312</c:v>
                </c:pt>
                <c:pt idx="95">
                  <c:v>37403</c:v>
                </c:pt>
                <c:pt idx="96">
                  <c:v>37496</c:v>
                </c:pt>
                <c:pt idx="97">
                  <c:v>37567</c:v>
                </c:pt>
                <c:pt idx="98">
                  <c:v>37699</c:v>
                </c:pt>
                <c:pt idx="99">
                  <c:v>37771</c:v>
                </c:pt>
                <c:pt idx="100">
                  <c:v>37840</c:v>
                </c:pt>
                <c:pt idx="101">
                  <c:v>37931</c:v>
                </c:pt>
                <c:pt idx="102">
                  <c:v>38022</c:v>
                </c:pt>
                <c:pt idx="103">
                  <c:v>38114</c:v>
                </c:pt>
                <c:pt idx="104">
                  <c:v>38202</c:v>
                </c:pt>
                <c:pt idx="105">
                  <c:v>38306</c:v>
                </c:pt>
                <c:pt idx="106">
                  <c:v>38398</c:v>
                </c:pt>
                <c:pt idx="107">
                  <c:v>38498</c:v>
                </c:pt>
                <c:pt idx="108">
                  <c:v>38593</c:v>
                </c:pt>
                <c:pt idx="109">
                  <c:v>38680</c:v>
                </c:pt>
                <c:pt idx="110">
                  <c:v>38768</c:v>
                </c:pt>
                <c:pt idx="111">
                  <c:v>38853</c:v>
                </c:pt>
                <c:pt idx="112">
                  <c:v>38932</c:v>
                </c:pt>
                <c:pt idx="113">
                  <c:v>39051</c:v>
                </c:pt>
                <c:pt idx="114">
                  <c:v>39121</c:v>
                </c:pt>
                <c:pt idx="115">
                  <c:v>39217</c:v>
                </c:pt>
                <c:pt idx="116">
                  <c:v>39318</c:v>
                </c:pt>
                <c:pt idx="117">
                  <c:v>39413</c:v>
                </c:pt>
                <c:pt idx="118">
                  <c:v>39499</c:v>
                </c:pt>
                <c:pt idx="119">
                  <c:v>39575</c:v>
                </c:pt>
              </c:numCache>
            </c:numRef>
          </c:cat>
          <c:val>
            <c:numRef>
              <c:f>あらめ!$N$197:$N$316</c:f>
              <c:numCache>
                <c:formatCode>0.000</c:formatCode>
                <c:ptCount val="120"/>
                <c:pt idx="0">
                  <c:v>1.95E-2</c:v>
                </c:pt>
                <c:pt idx="1">
                  <c:v>1.8986432037940034E-2</c:v>
                </c:pt>
                <c:pt idx="5">
                  <c:v>1.4247460848088965E-2</c:v>
                </c:pt>
                <c:pt idx="6">
                  <c:v>1.3872228056689879E-2</c:v>
                </c:pt>
                <c:pt idx="9">
                  <c:v>9.8052786464854734E-3</c:v>
                </c:pt>
                <c:pt idx="10">
                  <c:v>9.0758075479818196E-3</c:v>
                </c:pt>
                <c:pt idx="11">
                  <c:v>8.4393521290763805E-3</c:v>
                </c:pt>
                <c:pt idx="12">
                  <c:v>7.775636583976773E-3</c:v>
                </c:pt>
                <c:pt idx="13">
                  <c:v>7.1377939593400717E-3</c:v>
                </c:pt>
                <c:pt idx="15">
                  <c:v>6.5764398724297811E-3</c:v>
                </c:pt>
                <c:pt idx="19">
                  <c:v>5.0871554959181576E-3</c:v>
                </c:pt>
                <c:pt idx="21">
                  <c:v>4.6185610145042426E-3</c:v>
                </c:pt>
                <c:pt idx="25">
                  <c:v>1.8657312693942166E-2</c:v>
                </c:pt>
                <c:pt idx="27">
                  <c:v>1.7190002374932064E-2</c:v>
                </c:pt>
                <c:pt idx="30">
                  <c:v>1.5209539161662265E-2</c:v>
                </c:pt>
                <c:pt idx="33">
                  <c:v>1.3745142173694059E-2</c:v>
                </c:pt>
                <c:pt idx="34">
                  <c:v>1.252505675499632E-2</c:v>
                </c:pt>
                <c:pt idx="36">
                  <c:v>1.0448143444416004E-2</c:v>
                </c:pt>
                <c:pt idx="38">
                  <c:v>9.733350285478188E-3</c:v>
                </c:pt>
                <c:pt idx="39">
                  <c:v>9.0341393739240532E-3</c:v>
                </c:pt>
                <c:pt idx="40">
                  <c:v>8.0820826125434422E-3</c:v>
                </c:pt>
                <c:pt idx="41">
                  <c:v>7.6338212645915109E-3</c:v>
                </c:pt>
                <c:pt idx="43">
                  <c:v>6.9818617805143431E-3</c:v>
                </c:pt>
                <c:pt idx="44">
                  <c:v>6.4982254564182685E-3</c:v>
                </c:pt>
                <c:pt idx="45">
                  <c:v>5.8617671043309913E-3</c:v>
                </c:pt>
                <c:pt idx="46">
                  <c:v>5.3267207578815857E-3</c:v>
                </c:pt>
                <c:pt idx="47">
                  <c:v>4.9623016074782913E-3</c:v>
                </c:pt>
                <c:pt idx="48">
                  <c:v>4.6441354250408374E-3</c:v>
                </c:pt>
                <c:pt idx="49">
                  <c:v>4.1394494271419016E-3</c:v>
                </c:pt>
                <c:pt idx="50">
                  <c:v>3.8068873936259987E-3</c:v>
                </c:pt>
                <c:pt idx="51">
                  <c:v>3.5529791104166012E-3</c:v>
                </c:pt>
                <c:pt idx="52">
                  <c:v>3.2886525503993489E-3</c:v>
                </c:pt>
                <c:pt idx="53">
                  <c:v>3.0050212912218635E-3</c:v>
                </c:pt>
                <c:pt idx="54">
                  <c:v>2.77634539966084E-3</c:v>
                </c:pt>
                <c:pt idx="55">
                  <c:v>2.5579988284860282E-3</c:v>
                </c:pt>
                <c:pt idx="56">
                  <c:v>2.3524900266258786E-3</c:v>
                </c:pt>
                <c:pt idx="57">
                  <c:v>2.1318668029966558E-3</c:v>
                </c:pt>
                <c:pt idx="58">
                  <c:v>2.0006949705257192E-3</c:v>
                </c:pt>
                <c:pt idx="59">
                  <c:v>1.8130640905218423E-3</c:v>
                </c:pt>
                <c:pt idx="60">
                  <c:v>1.6658692345915371E-3</c:v>
                </c:pt>
                <c:pt idx="61">
                  <c:v>1.523597204754796E-3</c:v>
                </c:pt>
                <c:pt idx="63">
                  <c:v>1.2909947116877382E-3</c:v>
                </c:pt>
                <c:pt idx="64">
                  <c:v>1.201566997932262E-3</c:v>
                </c:pt>
                <c:pt idx="65">
                  <c:v>1.0959182420676884E-3</c:v>
                </c:pt>
                <c:pt idx="66">
                  <c:v>9.9772056455042757E-4</c:v>
                </c:pt>
                <c:pt idx="67">
                  <c:v>9.2179609762774368E-4</c:v>
                </c:pt>
                <c:pt idx="68">
                  <c:v>8.6031498709905738E-4</c:v>
                </c:pt>
                <c:pt idx="69">
                  <c:v>7.8467109192294606E-4</c:v>
                </c:pt>
                <c:pt idx="70">
                  <c:v>7.2830297885172635E-4</c:v>
                </c:pt>
                <c:pt idx="71">
                  <c:v>6.6121661654943993E-4</c:v>
                </c:pt>
                <c:pt idx="72">
                  <c:v>6.1428214279966073E-4</c:v>
                </c:pt>
                <c:pt idx="73">
                  <c:v>5.5564929777092908E-4</c:v>
                </c:pt>
                <c:pt idx="74">
                  <c:v>5.1242146593498395E-4</c:v>
                </c:pt>
                <c:pt idx="75" formatCode=".00000">
                  <c:v>4.7561084371471263E-4</c:v>
                </c:pt>
                <c:pt idx="76" formatCode=".00000">
                  <c:v>4.3740042174147275E-4</c:v>
                </c:pt>
                <c:pt idx="77" formatCode=".00000">
                  <c:v>3.9894163379943572E-4</c:v>
                </c:pt>
                <c:pt idx="78" formatCode=".00000">
                  <c:v>3.601992834063307E-4</c:v>
                </c:pt>
                <c:pt idx="79" formatCode=".00000">
                  <c:v>3.402213366255776E-4</c:v>
                </c:pt>
                <c:pt idx="80" formatCode=".00000">
                  <c:v>3.1087880054816758E-4</c:v>
                </c:pt>
                <c:pt idx="81" formatCode=".00000">
                  <c:v>2.8669337177975648E-4</c:v>
                </c:pt>
                <c:pt idx="82" formatCode=".00000">
                  <c:v>2.6148562381790813E-4</c:v>
                </c:pt>
                <c:pt idx="83" formatCode=".00000">
                  <c:v>2.4047795303399412E-4</c:v>
                </c:pt>
                <c:pt idx="84" formatCode=".00000">
                  <c:v>2.2361405463965149E-4</c:v>
                </c:pt>
                <c:pt idx="85" formatCode=".00000">
                  <c:v>2.0395260695744391E-4</c:v>
                </c:pt>
                <c:pt idx="86" formatCode=".00000">
                  <c:v>1.863626263081212E-4</c:v>
                </c:pt>
                <c:pt idx="87" formatCode=".00000">
                  <c:v>1.7091775380517039E-4</c:v>
                </c:pt>
                <c:pt idx="88" formatCode=".00000">
                  <c:v>1.598119301421448E-4</c:v>
                </c:pt>
                <c:pt idx="89" formatCode=".00000">
                  <c:v>1.4629792104337941E-4</c:v>
                </c:pt>
                <c:pt idx="90" formatCode=".00000">
                  <c:v>1.3417342600527036E-4</c:v>
                </c:pt>
                <c:pt idx="91" formatCode=".00000">
                  <c:v>1.2350759280405242E-4</c:v>
                </c:pt>
                <c:pt idx="92" formatCode=".00000">
                  <c:v>1.1028863447287054E-4</c:v>
                </c:pt>
                <c:pt idx="93" formatCode=".00000">
                  <c:v>1.0503807325347834E-4</c:v>
                </c:pt>
                <c:pt idx="94" formatCode=".00000">
                  <c:v>9.5099738859702199E-5</c:v>
                </c:pt>
                <c:pt idx="95" formatCode=".00000">
                  <c:v>8.7459456474648192E-5</c:v>
                </c:pt>
                <c:pt idx="96" formatCode=".00000">
                  <c:v>8.0285076774078693E-5</c:v>
                </c:pt>
                <c:pt idx="97" formatCode=".00000">
                  <c:v>7.5206649975809596E-5</c:v>
                </c:pt>
                <c:pt idx="98" formatCode=".00000">
                  <c:v>6.6603348025178093E-5</c:v>
                </c:pt>
                <c:pt idx="99" formatCode=".00000">
                  <c:v>6.2332964107604581E-5</c:v>
                </c:pt>
                <c:pt idx="100" formatCode=".00000">
                  <c:v>5.8497673312773272E-5</c:v>
                </c:pt>
                <c:pt idx="101" formatCode=".00000">
                  <c:v>5.3797989082960811E-5</c:v>
                </c:pt>
                <c:pt idx="102" formatCode=".00000">
                  <c:v>4.9475875970239781E-5</c:v>
                </c:pt>
                <c:pt idx="103" formatCode=".00000">
                  <c:v>4.5459142930554998E-5</c:v>
                </c:pt>
                <c:pt idx="104" formatCode=".00000">
                  <c:v>4.1922559344664549E-5</c:v>
                </c:pt>
                <c:pt idx="105" formatCode=".00000">
                  <c:v>3.8095980804108375E-5</c:v>
                </c:pt>
                <c:pt idx="106" formatCode=".00000">
                  <c:v>3.5003132385070751E-5</c:v>
                </c:pt>
                <c:pt idx="107" formatCode=".00000">
                  <c:v>3.19254534922503E-5</c:v>
                </c:pt>
                <c:pt idx="108" formatCode=".00000">
                  <c:v>2.9252684775387768E-5</c:v>
                </c:pt>
                <c:pt idx="109" formatCode=".00000">
                  <c:v>2.7001753878839029E-5</c:v>
                </c:pt>
                <c:pt idx="110" formatCode=".00000">
                  <c:v>2.4901099238164535E-5</c:v>
                </c:pt>
                <c:pt idx="111" formatCode=".00000">
                  <c:v>2.3027360439677669E-5</c:v>
                </c:pt>
                <c:pt idx="112" formatCode=".00000">
                  <c:v>2.1412530215762173E-5</c:v>
                </c:pt>
                <c:pt idx="113" formatCode=".00000">
                  <c:v>1.9191277468661833E-5</c:v>
                </c:pt>
                <c:pt idx="114" formatCode=".00000">
                  <c:v>1.7993887449435318E-5</c:v>
                </c:pt>
                <c:pt idx="115" formatCode=".00000">
                  <c:v>1.647228916514237E-5</c:v>
                </c:pt>
                <c:pt idx="116" formatCode=".00000">
                  <c:v>1.5010128965633734E-5</c:v>
                </c:pt>
                <c:pt idx="117" formatCode=".00000">
                  <c:v>1.3753495190794589E-5</c:v>
                </c:pt>
                <c:pt idx="118" formatCode=".00000">
                  <c:v>1.2706882714529452E-5</c:v>
                </c:pt>
                <c:pt idx="119" formatCode=".00000">
                  <c:v>1.1848461081679885E-5</c:v>
                </c:pt>
              </c:numCache>
            </c:numRef>
          </c:val>
          <c:smooth val="0"/>
        </c:ser>
        <c:dLbls>
          <c:showLegendKey val="0"/>
          <c:showVal val="0"/>
          <c:showCatName val="0"/>
          <c:showSerName val="0"/>
          <c:showPercent val="0"/>
          <c:showBubbleSize val="0"/>
        </c:dLbls>
        <c:marker val="1"/>
        <c:smooth val="0"/>
        <c:axId val="232270464"/>
        <c:axId val="232280832"/>
      </c:lineChart>
      <c:dateAx>
        <c:axId val="232270464"/>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2280832"/>
        <c:crossesAt val="1.0000000000000003E-4"/>
        <c:auto val="0"/>
        <c:lblOffset val="100"/>
        <c:baseTimeUnit val="days"/>
        <c:majorUnit val="24"/>
        <c:majorTimeUnit val="months"/>
      </c:dateAx>
      <c:valAx>
        <c:axId val="232280832"/>
        <c:scaling>
          <c:logBase val="10"/>
          <c:orientation val="minMax"/>
          <c:min val="1.0000000000000003E-4"/>
        </c:scaling>
        <c:delete val="0"/>
        <c:axPos val="l"/>
        <c:majorGridlines>
          <c:spPr>
            <a:ln w="3175">
              <a:solidFill>
                <a:schemeClr val="bg1">
                  <a:lumMod val="7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ja-JP" altLang="en-US" sz="800" b="0" i="0" u="none" strike="noStrike" baseline="0">
                    <a:solidFill>
                      <a:srgbClr val="000000"/>
                    </a:solidFill>
                    <a:latin typeface="Meiryo UI"/>
                    <a:ea typeface="Meiryo UI"/>
                  </a:rPr>
                  <a:t>Bq/kg生(CsはmBq)</a:t>
                </a:r>
              </a:p>
            </c:rich>
          </c:tx>
          <c:layout>
            <c:manualLayout>
              <c:xMode val="edge"/>
              <c:yMode val="edge"/>
              <c:x val="6.313131313131313E-3"/>
              <c:y val="0.23722666053604613"/>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2270464"/>
        <c:crosses val="autoZero"/>
        <c:crossBetween val="between"/>
        <c:minorUnit val="10"/>
      </c:valAx>
      <c:spPr>
        <a:noFill/>
        <a:ln w="12700">
          <a:solidFill>
            <a:srgbClr val="808080"/>
          </a:solidFill>
          <a:prstDash val="solid"/>
        </a:ln>
      </c:spPr>
    </c:plotArea>
    <c:legend>
      <c:legendPos val="r"/>
      <c:layout>
        <c:manualLayout>
          <c:xMode val="edge"/>
          <c:yMode val="edge"/>
          <c:x val="0.58482462335216567"/>
          <c:y val="0.17397500000000002"/>
          <c:w val="0.41287947269303199"/>
          <c:h val="0.11978923611111111"/>
        </c:manualLayout>
      </c:layout>
      <c:overlay val="0"/>
      <c:spPr>
        <a:solidFill>
          <a:schemeClr val="bg1"/>
        </a:solid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editAs="oneCell">
    <xdr:from>
      <xdr:col>16</xdr:col>
      <xdr:colOff>161925</xdr:colOff>
      <xdr:row>65</xdr:row>
      <xdr:rowOff>31750</xdr:rowOff>
    </xdr:from>
    <xdr:to>
      <xdr:col>31</xdr:col>
      <xdr:colOff>293625</xdr:colOff>
      <xdr:row>86</xdr:row>
      <xdr:rowOff>111400</xdr:rowOff>
    </xdr:to>
    <xdr:graphicFrame macro="">
      <xdr:nvGraphicFramePr>
        <xdr:cNvPr id="36520" name="グラフ 8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28575</xdr:colOff>
      <xdr:row>168</xdr:row>
      <xdr:rowOff>38099</xdr:rowOff>
    </xdr:from>
    <xdr:to>
      <xdr:col>16</xdr:col>
      <xdr:colOff>160275</xdr:colOff>
      <xdr:row>189</xdr:row>
      <xdr:rowOff>117749</xdr:rowOff>
    </xdr:to>
    <xdr:graphicFrame macro="">
      <xdr:nvGraphicFramePr>
        <xdr:cNvPr id="18" name="グラフ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50799</xdr:colOff>
      <xdr:row>5</xdr:row>
      <xdr:rowOff>38099</xdr:rowOff>
    </xdr:from>
    <xdr:to>
      <xdr:col>16</xdr:col>
      <xdr:colOff>182499</xdr:colOff>
      <xdr:row>26</xdr:row>
      <xdr:rowOff>117749</xdr:rowOff>
    </xdr:to>
    <xdr:graphicFrame macro="">
      <xdr:nvGraphicFramePr>
        <xdr:cNvPr id="36511"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xdr:col>
      <xdr:colOff>47624</xdr:colOff>
      <xdr:row>25</xdr:row>
      <xdr:rowOff>12700</xdr:rowOff>
    </xdr:from>
    <xdr:to>
      <xdr:col>12</xdr:col>
      <xdr:colOff>76200</xdr:colOff>
      <xdr:row>45</xdr:row>
      <xdr:rowOff>92350</xdr:rowOff>
    </xdr:to>
    <xdr:graphicFrame macro="">
      <xdr:nvGraphicFramePr>
        <xdr:cNvPr id="36512"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34924</xdr:colOff>
      <xdr:row>65</xdr:row>
      <xdr:rowOff>19049</xdr:rowOff>
    </xdr:from>
    <xdr:to>
      <xdr:col>16</xdr:col>
      <xdr:colOff>166624</xdr:colOff>
      <xdr:row>86</xdr:row>
      <xdr:rowOff>98699</xdr:rowOff>
    </xdr:to>
    <xdr:graphicFrame macro="">
      <xdr:nvGraphicFramePr>
        <xdr:cNvPr id="36519" name="グラフ 8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xdr:col>
      <xdr:colOff>34923</xdr:colOff>
      <xdr:row>84</xdr:row>
      <xdr:rowOff>34925</xdr:rowOff>
    </xdr:from>
    <xdr:to>
      <xdr:col>16</xdr:col>
      <xdr:colOff>166623</xdr:colOff>
      <xdr:row>105</xdr:row>
      <xdr:rowOff>114575</xdr:rowOff>
    </xdr:to>
    <xdr:graphicFrame macro="">
      <xdr:nvGraphicFramePr>
        <xdr:cNvPr id="36522" name="グラフ 8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16</xdr:col>
      <xdr:colOff>177800</xdr:colOff>
      <xdr:row>5</xdr:row>
      <xdr:rowOff>38100</xdr:rowOff>
    </xdr:from>
    <xdr:to>
      <xdr:col>31</xdr:col>
      <xdr:colOff>309500</xdr:colOff>
      <xdr:row>26</xdr:row>
      <xdr:rowOff>117750</xdr:rowOff>
    </xdr:to>
    <xdr:graphicFrame macro="">
      <xdr:nvGraphicFramePr>
        <xdr:cNvPr id="36513" name="グラフ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16</xdr:col>
      <xdr:colOff>184149</xdr:colOff>
      <xdr:row>24</xdr:row>
      <xdr:rowOff>101599</xdr:rowOff>
    </xdr:from>
    <xdr:to>
      <xdr:col>28</xdr:col>
      <xdr:colOff>88899</xdr:colOff>
      <xdr:row>45</xdr:row>
      <xdr:rowOff>54249</xdr:rowOff>
    </xdr:to>
    <xdr:graphicFrame macro="">
      <xdr:nvGraphicFramePr>
        <xdr:cNvPr id="36514" name="グラフ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1</xdr:col>
      <xdr:colOff>34925</xdr:colOff>
      <xdr:row>43</xdr:row>
      <xdr:rowOff>69850</xdr:rowOff>
    </xdr:from>
    <xdr:to>
      <xdr:col>12</xdr:col>
      <xdr:colOff>66525</xdr:colOff>
      <xdr:row>64</xdr:row>
      <xdr:rowOff>16150</xdr:rowOff>
    </xdr:to>
    <xdr:graphicFrame macro="">
      <xdr:nvGraphicFramePr>
        <xdr:cNvPr id="55261"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16</xdr:col>
      <xdr:colOff>180975</xdr:colOff>
      <xdr:row>43</xdr:row>
      <xdr:rowOff>22225</xdr:rowOff>
    </xdr:from>
    <xdr:to>
      <xdr:col>28</xdr:col>
      <xdr:colOff>88750</xdr:colOff>
      <xdr:row>63</xdr:row>
      <xdr:rowOff>111400</xdr:rowOff>
    </xdr:to>
    <xdr:graphicFrame macro="">
      <xdr:nvGraphicFramePr>
        <xdr:cNvPr id="36515" name="グラフ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1</xdr:col>
      <xdr:colOff>25399</xdr:colOff>
      <xdr:row>107</xdr:row>
      <xdr:rowOff>31750</xdr:rowOff>
    </xdr:from>
    <xdr:to>
      <xdr:col>16</xdr:col>
      <xdr:colOff>157099</xdr:colOff>
      <xdr:row>128</xdr:row>
      <xdr:rowOff>117750</xdr:rowOff>
    </xdr:to>
    <xdr:graphicFrame macro="">
      <xdr:nvGraphicFramePr>
        <xdr:cNvPr id="36516" name="グラフ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editAs="oneCell">
    <xdr:from>
      <xdr:col>16</xdr:col>
      <xdr:colOff>149225</xdr:colOff>
      <xdr:row>107</xdr:row>
      <xdr:rowOff>28572</xdr:rowOff>
    </xdr:from>
    <xdr:to>
      <xdr:col>31</xdr:col>
      <xdr:colOff>274575</xdr:colOff>
      <xdr:row>128</xdr:row>
      <xdr:rowOff>108222</xdr:rowOff>
    </xdr:to>
    <xdr:graphicFrame macro="">
      <xdr:nvGraphicFramePr>
        <xdr:cNvPr id="36517" name="グラフ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16</xdr:col>
      <xdr:colOff>161925</xdr:colOff>
      <xdr:row>168</xdr:row>
      <xdr:rowOff>41274</xdr:rowOff>
    </xdr:from>
    <xdr:to>
      <xdr:col>31</xdr:col>
      <xdr:colOff>293625</xdr:colOff>
      <xdr:row>189</xdr:row>
      <xdr:rowOff>120924</xdr:rowOff>
    </xdr:to>
    <xdr:graphicFrame macro="">
      <xdr:nvGraphicFramePr>
        <xdr:cNvPr id="19" name="グラフ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editAs="oneCell">
    <xdr:from>
      <xdr:col>16</xdr:col>
      <xdr:colOff>161925</xdr:colOff>
      <xdr:row>84</xdr:row>
      <xdr:rowOff>53975</xdr:rowOff>
    </xdr:from>
    <xdr:to>
      <xdr:col>31</xdr:col>
      <xdr:colOff>293625</xdr:colOff>
      <xdr:row>106</xdr:row>
      <xdr:rowOff>275</xdr:rowOff>
    </xdr:to>
    <xdr:graphicFrame macro="">
      <xdr:nvGraphicFramePr>
        <xdr:cNvPr id="17" name="グラフ 8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editAs="oneCell">
    <xdr:from>
      <xdr:col>1</xdr:col>
      <xdr:colOff>31750</xdr:colOff>
      <xdr:row>126</xdr:row>
      <xdr:rowOff>76200</xdr:rowOff>
    </xdr:from>
    <xdr:to>
      <xdr:col>16</xdr:col>
      <xdr:colOff>163450</xdr:colOff>
      <xdr:row>148</xdr:row>
      <xdr:rowOff>16150</xdr:rowOff>
    </xdr:to>
    <xdr:graphicFrame macro="">
      <xdr:nvGraphicFramePr>
        <xdr:cNvPr id="55259" name="グラフ 238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editAs="oneCell">
    <xdr:from>
      <xdr:col>16</xdr:col>
      <xdr:colOff>158749</xdr:colOff>
      <xdr:row>126</xdr:row>
      <xdr:rowOff>79374</xdr:rowOff>
    </xdr:from>
    <xdr:to>
      <xdr:col>31</xdr:col>
      <xdr:colOff>290449</xdr:colOff>
      <xdr:row>148</xdr:row>
      <xdr:rowOff>19324</xdr:rowOff>
    </xdr:to>
    <xdr:graphicFrame macro="">
      <xdr:nvGraphicFramePr>
        <xdr:cNvPr id="36510" name="グラフ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editAs="oneCell">
    <xdr:from>
      <xdr:col>1</xdr:col>
      <xdr:colOff>41275</xdr:colOff>
      <xdr:row>145</xdr:row>
      <xdr:rowOff>73025</xdr:rowOff>
    </xdr:from>
    <xdr:to>
      <xdr:col>16</xdr:col>
      <xdr:colOff>172975</xdr:colOff>
      <xdr:row>167</xdr:row>
      <xdr:rowOff>19325</xdr:rowOff>
    </xdr:to>
    <xdr:graphicFrame macro="">
      <xdr:nvGraphicFramePr>
        <xdr:cNvPr id="55260" name="グラフ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kmdmyg.info/" TargetMode="External"/><Relationship Id="rId3" Type="http://schemas.openxmlformats.org/officeDocument/2006/relationships/hyperlink" Target="http://www.r-info-miyagi.jp/r-info/" TargetMode="External"/><Relationship Id="rId7" Type="http://schemas.openxmlformats.org/officeDocument/2006/relationships/hyperlink" Target="http://www.kmdmyg.info/" TargetMode="External"/><Relationship Id="rId2" Type="http://schemas.openxmlformats.org/officeDocument/2006/relationships/hyperlink" Target="http://www.pref.miyagi.jp/soshiki/gentai/" TargetMode="External"/><Relationship Id="rId1" Type="http://schemas.openxmlformats.org/officeDocument/2006/relationships/hyperlink" Target="http://miyagi-ermc.jp/" TargetMode="External"/><Relationship Id="rId6" Type="http://schemas.openxmlformats.org/officeDocument/2006/relationships/hyperlink" Target="http://miyagi-ermc.jp/" TargetMode="External"/><Relationship Id="rId5" Type="http://schemas.openxmlformats.org/officeDocument/2006/relationships/hyperlink" Target="http://www.pref.miyagi.jp/soshiki/gentai/" TargetMode="External"/><Relationship Id="rId10" Type="http://schemas.openxmlformats.org/officeDocument/2006/relationships/drawing" Target="../drawings/drawing1.xml"/><Relationship Id="rId4" Type="http://schemas.openxmlformats.org/officeDocument/2006/relationships/hyperlink" Target="http://www.r-info-miyagi.jp/r-info/"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codeName="Sheet1"/>
  <dimension ref="A1:AY593"/>
  <sheetViews>
    <sheetView showZeros="0" tabSelected="1" zoomScale="75" zoomScaleNormal="75" workbookViewId="0"/>
  </sheetViews>
  <sheetFormatPr defaultColWidth="10.69921875" defaultRowHeight="11.1" customHeight="1" x14ac:dyDescent="0.2"/>
  <cols>
    <col min="1" max="1" width="0.796875" style="3" customWidth="1"/>
    <col min="2" max="2" width="6.5" style="6" customWidth="1"/>
    <col min="3" max="10" width="3.3984375" style="3" customWidth="1"/>
    <col min="11" max="11" width="6.5" style="3" customWidth="1"/>
    <col min="12" max="14" width="3.3984375" style="3" customWidth="1"/>
    <col min="15" max="15" width="3.3984375" style="4" customWidth="1"/>
    <col min="16" max="17" width="3.3984375" style="5" customWidth="1"/>
    <col min="18" max="18" width="3.3984375" style="4" customWidth="1"/>
    <col min="19" max="21" width="3.3984375" style="3" customWidth="1"/>
    <col min="22" max="22" width="6.5" style="3" customWidth="1"/>
    <col min="23" max="23" width="3.3984375" style="6" customWidth="1"/>
    <col min="24" max="24" width="3.3984375" style="3" customWidth="1"/>
    <col min="25" max="28" width="3.3984375" style="7" customWidth="1"/>
    <col min="29" max="29" width="3.3984375" style="4" customWidth="1"/>
    <col min="30" max="30" width="3.3984375" style="5" customWidth="1"/>
    <col min="31" max="31" width="6.5" style="4" customWidth="1"/>
    <col min="32" max="32" width="3.3984375" style="5" customWidth="1"/>
    <col min="33" max="35" width="3.3984375" style="7" customWidth="1"/>
    <col min="36" max="36" width="3.3984375" style="6" customWidth="1"/>
    <col min="37" max="37" width="6.5" style="5" customWidth="1"/>
    <col min="38" max="42" width="3.3984375" style="7" customWidth="1"/>
    <col min="43" max="43" width="3.09765625" style="3" customWidth="1"/>
    <col min="44" max="49" width="3" style="3" customWidth="1"/>
    <col min="50" max="50" width="4.19921875" style="3" customWidth="1"/>
    <col min="51" max="51" width="2.5" style="3" customWidth="1"/>
    <col min="52" max="67" width="3.296875" style="3" customWidth="1"/>
    <col min="68" max="87" width="3.19921875" style="3" customWidth="1"/>
    <col min="88" max="16384" width="10.69921875" style="3"/>
  </cols>
  <sheetData>
    <row r="1" spans="2:49" ht="6" customHeight="1" x14ac:dyDescent="0.2"/>
    <row r="2" spans="2:49" ht="21" customHeight="1" x14ac:dyDescent="0.3">
      <c r="B2" s="77" t="s">
        <v>43</v>
      </c>
      <c r="C2" s="1"/>
      <c r="D2" s="103" t="s">
        <v>114</v>
      </c>
      <c r="G2" s="4"/>
      <c r="J2" s="4"/>
      <c r="K2" s="4"/>
      <c r="L2" s="4"/>
      <c r="M2" s="4"/>
      <c r="O2" s="3"/>
      <c r="P2" s="4"/>
      <c r="Q2" s="778" t="s">
        <v>265</v>
      </c>
      <c r="R2" s="3"/>
      <c r="U2" s="6"/>
      <c r="X2" s="7"/>
      <c r="Y2" s="4"/>
      <c r="Z2" s="5"/>
      <c r="AB2" s="4"/>
      <c r="AE2" s="7"/>
      <c r="AF2" s="7"/>
      <c r="AG2" s="5"/>
      <c r="AH2" s="6"/>
      <c r="AI2" s="5"/>
      <c r="AJ2" s="5"/>
      <c r="AL2" s="5"/>
      <c r="AM2" s="5"/>
      <c r="AN2" s="5"/>
      <c r="AO2" s="5"/>
      <c r="AP2" s="5"/>
      <c r="AR2" s="5"/>
    </row>
    <row r="3" spans="2:49" ht="11.1" customHeight="1" x14ac:dyDescent="0.3">
      <c r="B3" s="3"/>
      <c r="D3" s="95" t="s">
        <v>109</v>
      </c>
      <c r="E3" s="96"/>
      <c r="F3" s="96"/>
      <c r="G3" s="96"/>
      <c r="H3" s="95" t="s">
        <v>110</v>
      </c>
      <c r="I3" s="96"/>
      <c r="J3" s="96"/>
      <c r="K3" s="95" t="s">
        <v>111</v>
      </c>
      <c r="L3" s="96"/>
      <c r="M3" s="98"/>
      <c r="N3" s="628" t="s">
        <v>115</v>
      </c>
      <c r="O3" s="96"/>
      <c r="P3" s="4"/>
      <c r="Q3" s="818" t="s">
        <v>266</v>
      </c>
      <c r="R3" s="819"/>
      <c r="S3" s="819"/>
      <c r="T3" s="819"/>
      <c r="U3" s="819"/>
      <c r="V3" s="819"/>
      <c r="W3" s="819"/>
      <c r="X3" s="819"/>
      <c r="Y3" s="819"/>
      <c r="Z3" s="819"/>
      <c r="AA3" s="819"/>
      <c r="AB3" s="819"/>
      <c r="AC3" s="819"/>
      <c r="AD3" s="819"/>
      <c r="AE3" s="819"/>
      <c r="AF3" s="7"/>
      <c r="AG3" s="1"/>
      <c r="AH3" s="3"/>
      <c r="AI3" s="3"/>
      <c r="AJ3" s="3"/>
      <c r="AK3" s="3"/>
      <c r="AL3" s="3"/>
      <c r="AM3" s="3"/>
      <c r="AN3" s="3"/>
      <c r="AO3" s="3"/>
      <c r="AP3" s="3"/>
    </row>
    <row r="4" spans="2:49" ht="15.75" customHeight="1" x14ac:dyDescent="0.3">
      <c r="B4" s="3"/>
      <c r="D4" s="95"/>
      <c r="E4" s="96"/>
      <c r="F4" s="96"/>
      <c r="G4" s="96"/>
      <c r="H4" s="95"/>
      <c r="I4" s="96"/>
      <c r="J4" s="96"/>
      <c r="K4" s="95"/>
      <c r="L4" s="96"/>
      <c r="M4" s="98"/>
      <c r="N4" s="628"/>
      <c r="O4" s="96"/>
      <c r="P4" s="4"/>
      <c r="Q4" s="819"/>
      <c r="R4" s="819"/>
      <c r="S4" s="819"/>
      <c r="T4" s="819"/>
      <c r="U4" s="819"/>
      <c r="V4" s="819"/>
      <c r="W4" s="819"/>
      <c r="X4" s="819"/>
      <c r="Y4" s="819"/>
      <c r="Z4" s="819"/>
      <c r="AA4" s="819"/>
      <c r="AB4" s="819"/>
      <c r="AC4" s="819"/>
      <c r="AD4" s="819"/>
      <c r="AE4" s="819"/>
      <c r="AF4" s="7"/>
      <c r="AG4" s="1"/>
      <c r="AH4" s="3"/>
      <c r="AI4" s="3"/>
      <c r="AJ4" s="3"/>
      <c r="AK4" s="3"/>
      <c r="AL4" s="3"/>
      <c r="AM4" s="3"/>
      <c r="AN4" s="3"/>
      <c r="AO4" s="3"/>
      <c r="AP4" s="3"/>
    </row>
    <row r="5" spans="2:49" ht="11.25" customHeight="1" x14ac:dyDescent="0.3">
      <c r="B5" s="77"/>
      <c r="C5" s="1"/>
      <c r="D5" s="89"/>
      <c r="F5" s="86"/>
      <c r="I5" s="4"/>
      <c r="P5" s="3"/>
      <c r="Q5" s="3" t="s">
        <v>267</v>
      </c>
      <c r="R5" s="3" t="s">
        <v>264</v>
      </c>
      <c r="S5" s="2"/>
      <c r="AG5" s="5"/>
      <c r="AH5" s="5"/>
      <c r="AI5" s="5"/>
      <c r="AL5" s="5"/>
      <c r="AM5" s="5"/>
      <c r="AN5" s="5"/>
      <c r="AO5" s="5"/>
      <c r="AP5" s="5"/>
      <c r="AR5" s="5"/>
      <c r="AS5" s="5"/>
      <c r="AT5" s="5"/>
    </row>
    <row r="6" spans="2:49" ht="11.1" customHeight="1" x14ac:dyDescent="0.2">
      <c r="J6" s="51"/>
      <c r="K6" s="51"/>
      <c r="L6" s="51"/>
      <c r="M6" s="51"/>
      <c r="AQ6" s="33"/>
      <c r="AU6" s="33"/>
      <c r="AV6" s="33"/>
      <c r="AW6" s="33"/>
    </row>
    <row r="7" spans="2:49" ht="11.1" customHeight="1" x14ac:dyDescent="0.2">
      <c r="J7" s="51"/>
      <c r="K7" s="51"/>
      <c r="L7" s="51"/>
      <c r="M7" s="51"/>
      <c r="AQ7" s="39"/>
      <c r="AU7" s="39"/>
      <c r="AV7" s="39"/>
      <c r="AW7" s="39"/>
    </row>
    <row r="8" spans="2:49" ht="11.1" customHeight="1" x14ac:dyDescent="0.2">
      <c r="J8" s="51"/>
      <c r="K8" s="51"/>
      <c r="L8" s="51"/>
      <c r="M8" s="51"/>
    </row>
    <row r="9" spans="2:49" ht="11.1" customHeight="1" x14ac:dyDescent="0.2">
      <c r="J9" s="51"/>
      <c r="K9" s="51"/>
      <c r="L9" s="51"/>
      <c r="M9" s="51"/>
    </row>
    <row r="10" spans="2:49" ht="11.1" customHeight="1" x14ac:dyDescent="0.2">
      <c r="J10" s="51"/>
      <c r="K10" s="51"/>
      <c r="L10" s="51"/>
      <c r="M10" s="51"/>
    </row>
    <row r="11" spans="2:49" ht="11.1" customHeight="1" x14ac:dyDescent="0.2">
      <c r="J11" s="51"/>
      <c r="K11" s="51"/>
      <c r="L11" s="51"/>
      <c r="M11" s="51"/>
    </row>
    <row r="12" spans="2:49" ht="11.1" customHeight="1" x14ac:dyDescent="0.2">
      <c r="J12" s="51"/>
      <c r="K12" s="51"/>
      <c r="L12" s="51"/>
      <c r="M12" s="51"/>
    </row>
    <row r="13" spans="2:49" ht="11.1" customHeight="1" x14ac:dyDescent="0.2">
      <c r="J13" s="51"/>
      <c r="K13" s="51"/>
      <c r="L13" s="51"/>
      <c r="M13" s="51"/>
    </row>
    <row r="14" spans="2:49" ht="11.1" customHeight="1" x14ac:dyDescent="0.2">
      <c r="J14" s="51"/>
      <c r="K14" s="51"/>
      <c r="L14" s="51"/>
      <c r="M14" s="51"/>
    </row>
    <row r="15" spans="2:49" ht="11.1" customHeight="1" x14ac:dyDescent="0.2">
      <c r="J15" s="51"/>
      <c r="K15" s="51"/>
      <c r="L15" s="51"/>
      <c r="M15" s="51"/>
    </row>
    <row r="16" spans="2:49" ht="11.1" customHeight="1" x14ac:dyDescent="0.2">
      <c r="J16" s="51"/>
      <c r="K16" s="51"/>
      <c r="L16" s="51"/>
      <c r="M16" s="51"/>
    </row>
    <row r="17" spans="10:13" ht="11.1" customHeight="1" x14ac:dyDescent="0.2">
      <c r="J17" s="51"/>
      <c r="K17" s="51"/>
      <c r="L17" s="51"/>
      <c r="M17" s="51"/>
    </row>
    <row r="18" spans="10:13" ht="11.1" customHeight="1" x14ac:dyDescent="0.2">
      <c r="J18" s="51"/>
      <c r="K18" s="51"/>
      <c r="L18" s="51"/>
      <c r="M18" s="51"/>
    </row>
    <row r="19" spans="10:13" ht="11.1" customHeight="1" x14ac:dyDescent="0.2">
      <c r="J19" s="51"/>
      <c r="K19" s="51"/>
      <c r="L19" s="51"/>
      <c r="M19" s="51"/>
    </row>
    <row r="20" spans="10:13" ht="11.1" customHeight="1" x14ac:dyDescent="0.2">
      <c r="J20" s="51"/>
      <c r="K20" s="51"/>
      <c r="L20" s="51"/>
      <c r="M20" s="51"/>
    </row>
    <row r="21" spans="10:13" ht="11.1" customHeight="1" x14ac:dyDescent="0.2">
      <c r="J21" s="51"/>
      <c r="K21" s="51"/>
      <c r="L21" s="51"/>
      <c r="M21" s="51"/>
    </row>
    <row r="22" spans="10:13" ht="11.1" customHeight="1" x14ac:dyDescent="0.2">
      <c r="J22" s="51"/>
      <c r="K22" s="51"/>
      <c r="L22" s="51"/>
      <c r="M22" s="51"/>
    </row>
    <row r="23" spans="10:13" ht="11.1" customHeight="1" x14ac:dyDescent="0.2">
      <c r="J23" s="51"/>
      <c r="K23" s="51"/>
      <c r="L23" s="51"/>
      <c r="M23" s="51"/>
    </row>
    <row r="24" spans="10:13" ht="11.1" customHeight="1" x14ac:dyDescent="0.2">
      <c r="J24" s="51"/>
      <c r="K24" s="51"/>
      <c r="L24" s="51"/>
      <c r="M24" s="51"/>
    </row>
    <row r="25" spans="10:13" ht="11.1" customHeight="1" x14ac:dyDescent="0.2">
      <c r="J25" s="51"/>
      <c r="K25" s="51"/>
      <c r="L25" s="51"/>
      <c r="M25" s="51"/>
    </row>
    <row r="26" spans="10:13" ht="11.1" customHeight="1" x14ac:dyDescent="0.2">
      <c r="J26" s="51"/>
      <c r="K26" s="51"/>
      <c r="L26" s="51"/>
      <c r="M26" s="51"/>
    </row>
    <row r="27" spans="10:13" ht="11.1" customHeight="1" x14ac:dyDescent="0.2">
      <c r="J27" s="51"/>
      <c r="K27" s="51"/>
      <c r="L27" s="51"/>
      <c r="M27" s="51"/>
    </row>
    <row r="28" spans="10:13" ht="11.1" customHeight="1" x14ac:dyDescent="0.2">
      <c r="J28" s="51"/>
      <c r="K28" s="51"/>
      <c r="L28" s="51"/>
      <c r="M28" s="51"/>
    </row>
    <row r="29" spans="10:13" ht="11.1" customHeight="1" x14ac:dyDescent="0.2">
      <c r="J29" s="51"/>
      <c r="K29" s="51"/>
      <c r="L29" s="51"/>
      <c r="M29" s="51"/>
    </row>
    <row r="30" spans="10:13" ht="11.1" customHeight="1" x14ac:dyDescent="0.2">
      <c r="J30" s="51"/>
      <c r="K30" s="51"/>
      <c r="L30" s="51"/>
      <c r="M30" s="51"/>
    </row>
    <row r="31" spans="10:13" ht="11.1" customHeight="1" x14ac:dyDescent="0.2">
      <c r="J31" s="51"/>
      <c r="K31" s="51"/>
      <c r="L31" s="51"/>
      <c r="M31" s="51"/>
    </row>
    <row r="32" spans="10:13" ht="11.1" customHeight="1" x14ac:dyDescent="0.2">
      <c r="J32" s="51"/>
      <c r="K32" s="51"/>
      <c r="L32" s="51"/>
      <c r="M32" s="51"/>
    </row>
    <row r="33" spans="10:13" ht="11.1" customHeight="1" x14ac:dyDescent="0.2">
      <c r="J33" s="51"/>
      <c r="K33" s="51"/>
      <c r="L33" s="51"/>
      <c r="M33" s="51"/>
    </row>
    <row r="34" spans="10:13" ht="11.1" customHeight="1" x14ac:dyDescent="0.2">
      <c r="J34" s="51"/>
      <c r="K34" s="51"/>
      <c r="L34" s="51"/>
      <c r="M34" s="51"/>
    </row>
    <row r="35" spans="10:13" ht="11.1" customHeight="1" x14ac:dyDescent="0.2">
      <c r="J35" s="51"/>
      <c r="K35" s="51"/>
      <c r="L35" s="51"/>
      <c r="M35" s="51"/>
    </row>
    <row r="36" spans="10:13" ht="11.1" customHeight="1" x14ac:dyDescent="0.2">
      <c r="J36" s="51"/>
      <c r="K36" s="51"/>
      <c r="L36" s="51"/>
      <c r="M36" s="51"/>
    </row>
    <row r="37" spans="10:13" ht="11.1" customHeight="1" x14ac:dyDescent="0.2">
      <c r="J37" s="51"/>
      <c r="K37" s="51"/>
      <c r="L37" s="51"/>
      <c r="M37" s="51"/>
    </row>
    <row r="38" spans="10:13" ht="11.1" customHeight="1" x14ac:dyDescent="0.2">
      <c r="J38" s="51"/>
      <c r="K38" s="51"/>
      <c r="L38" s="51"/>
      <c r="M38" s="51"/>
    </row>
    <row r="39" spans="10:13" ht="11.1" customHeight="1" x14ac:dyDescent="0.2">
      <c r="J39" s="51"/>
      <c r="K39" s="51"/>
      <c r="L39" s="51"/>
      <c r="M39" s="51"/>
    </row>
    <row r="40" spans="10:13" ht="11.1" customHeight="1" x14ac:dyDescent="0.2">
      <c r="J40" s="51"/>
      <c r="K40" s="51"/>
      <c r="L40" s="51"/>
      <c r="M40" s="51"/>
    </row>
    <row r="41" spans="10:13" ht="11.1" customHeight="1" x14ac:dyDescent="0.2">
      <c r="J41" s="51"/>
      <c r="K41" s="51"/>
      <c r="L41" s="51"/>
      <c r="M41" s="51"/>
    </row>
    <row r="42" spans="10:13" ht="11.1" customHeight="1" x14ac:dyDescent="0.2">
      <c r="J42" s="51"/>
      <c r="K42" s="51"/>
      <c r="L42" s="51"/>
      <c r="M42" s="51"/>
    </row>
    <row r="43" spans="10:13" ht="11.1" customHeight="1" x14ac:dyDescent="0.2">
      <c r="J43" s="51"/>
      <c r="K43" s="51"/>
      <c r="L43" s="51"/>
      <c r="M43" s="51"/>
    </row>
    <row r="44" spans="10:13" ht="11.1" customHeight="1" x14ac:dyDescent="0.2">
      <c r="J44" s="51"/>
      <c r="K44" s="51"/>
      <c r="L44" s="51"/>
      <c r="M44" s="51"/>
    </row>
    <row r="45" spans="10:13" ht="11.1" customHeight="1" x14ac:dyDescent="0.2">
      <c r="J45" s="51"/>
      <c r="K45" s="51"/>
      <c r="L45" s="51"/>
      <c r="M45" s="51"/>
    </row>
    <row r="46" spans="10:13" ht="11.1" customHeight="1" x14ac:dyDescent="0.2">
      <c r="J46" s="51"/>
      <c r="K46" s="51"/>
      <c r="L46" s="51"/>
      <c r="M46" s="51"/>
    </row>
    <row r="47" spans="10:13" ht="11.1" customHeight="1" x14ac:dyDescent="0.2">
      <c r="J47" s="51"/>
      <c r="K47" s="51"/>
      <c r="L47" s="51"/>
      <c r="M47" s="51"/>
    </row>
    <row r="48" spans="10:13" ht="11.1" customHeight="1" x14ac:dyDescent="0.2">
      <c r="J48" s="51"/>
      <c r="K48" s="51"/>
      <c r="L48" s="51"/>
      <c r="M48" s="51"/>
    </row>
    <row r="49" spans="10:47" ht="11.1" customHeight="1" x14ac:dyDescent="0.2">
      <c r="J49" s="51"/>
      <c r="K49" s="51"/>
      <c r="L49" s="51"/>
      <c r="M49" s="51"/>
      <c r="AQ49" s="6"/>
      <c r="AU49" s="7"/>
    </row>
    <row r="50" spans="10:47" ht="11.1" customHeight="1" x14ac:dyDescent="0.2">
      <c r="J50" s="51"/>
      <c r="K50" s="51"/>
      <c r="L50" s="51"/>
      <c r="M50" s="51"/>
      <c r="AQ50" s="6"/>
      <c r="AU50" s="7"/>
    </row>
    <row r="51" spans="10:47" ht="11.1" customHeight="1" x14ac:dyDescent="0.2">
      <c r="J51" s="51"/>
      <c r="K51" s="51"/>
      <c r="L51" s="51"/>
      <c r="M51" s="51"/>
      <c r="AQ51" s="6"/>
      <c r="AU51" s="7"/>
    </row>
    <row r="52" spans="10:47" ht="11.1" customHeight="1" x14ac:dyDescent="0.2">
      <c r="J52" s="51"/>
      <c r="K52" s="51"/>
      <c r="L52" s="51"/>
      <c r="M52" s="51"/>
      <c r="AQ52" s="6"/>
      <c r="AU52" s="7"/>
    </row>
    <row r="53" spans="10:47" ht="11.1" customHeight="1" x14ac:dyDescent="0.2">
      <c r="J53" s="51"/>
      <c r="K53" s="51"/>
      <c r="L53" s="51"/>
      <c r="M53" s="51"/>
      <c r="AQ53" s="6"/>
      <c r="AU53" s="7"/>
    </row>
    <row r="54" spans="10:47" ht="11.1" customHeight="1" x14ac:dyDescent="0.2">
      <c r="J54" s="51"/>
      <c r="K54" s="51"/>
      <c r="L54" s="51"/>
      <c r="M54" s="51"/>
      <c r="AQ54" s="6"/>
      <c r="AU54" s="7"/>
    </row>
    <row r="55" spans="10:47" ht="11.1" customHeight="1" x14ac:dyDescent="0.2">
      <c r="J55" s="51"/>
      <c r="K55" s="51"/>
      <c r="L55" s="51"/>
      <c r="M55" s="51"/>
      <c r="AQ55" s="6"/>
      <c r="AU55" s="7"/>
    </row>
    <row r="56" spans="10:47" ht="11.1" customHeight="1" x14ac:dyDescent="0.2">
      <c r="J56" s="51"/>
      <c r="K56" s="51"/>
      <c r="L56" s="51"/>
      <c r="M56" s="51"/>
      <c r="AQ56" s="6"/>
      <c r="AU56" s="7"/>
    </row>
    <row r="57" spans="10:47" ht="11.1" customHeight="1" x14ac:dyDescent="0.2">
      <c r="J57" s="51"/>
      <c r="K57" s="51"/>
      <c r="L57" s="51"/>
      <c r="M57" s="51"/>
      <c r="AQ57" s="6"/>
      <c r="AU57" s="7"/>
    </row>
    <row r="58" spans="10:47" ht="11.1" customHeight="1" x14ac:dyDescent="0.2">
      <c r="J58" s="51"/>
      <c r="K58" s="51"/>
      <c r="L58" s="51"/>
      <c r="M58" s="51"/>
      <c r="AQ58" s="6"/>
      <c r="AU58" s="7"/>
    </row>
    <row r="59" spans="10:47" ht="11.1" customHeight="1" x14ac:dyDescent="0.2">
      <c r="J59" s="51"/>
      <c r="K59" s="51"/>
      <c r="L59" s="51"/>
      <c r="M59" s="51"/>
      <c r="AQ59" s="6"/>
      <c r="AU59" s="7"/>
    </row>
    <row r="60" spans="10:47" ht="11.1" customHeight="1" x14ac:dyDescent="0.2">
      <c r="J60" s="51"/>
      <c r="K60" s="51"/>
      <c r="L60" s="51"/>
      <c r="M60" s="51"/>
      <c r="AQ60" s="6"/>
      <c r="AU60" s="7"/>
    </row>
    <row r="61" spans="10:47" ht="11.1" customHeight="1" x14ac:dyDescent="0.2">
      <c r="J61" s="51"/>
      <c r="K61" s="51"/>
      <c r="L61" s="51"/>
      <c r="M61" s="51"/>
      <c r="AQ61" s="6"/>
      <c r="AU61" s="7"/>
    </row>
    <row r="62" spans="10:47" ht="11.1" customHeight="1" x14ac:dyDescent="0.2">
      <c r="J62" s="51"/>
      <c r="K62" s="51"/>
      <c r="L62" s="51"/>
      <c r="M62" s="51"/>
      <c r="AQ62" s="6"/>
      <c r="AU62" s="7"/>
    </row>
    <row r="63" spans="10:47" ht="11.1" customHeight="1" x14ac:dyDescent="0.2">
      <c r="J63" s="51"/>
      <c r="K63" s="51"/>
      <c r="L63" s="51"/>
      <c r="M63" s="51"/>
      <c r="AQ63" s="6"/>
      <c r="AU63" s="7"/>
    </row>
    <row r="64" spans="10:47" ht="11.1" customHeight="1" x14ac:dyDescent="0.2">
      <c r="J64" s="51"/>
      <c r="K64" s="51"/>
      <c r="L64" s="51"/>
      <c r="M64" s="51"/>
      <c r="AQ64" s="6"/>
      <c r="AU64" s="7"/>
    </row>
    <row r="65" spans="30:47" ht="11.1" customHeight="1" x14ac:dyDescent="0.2">
      <c r="AD65" s="3"/>
      <c r="AQ65" s="6"/>
      <c r="AU65" s="7"/>
    </row>
    <row r="66" spans="30:47" ht="11.1" customHeight="1" x14ac:dyDescent="0.2">
      <c r="AD66" s="3"/>
      <c r="AQ66" s="6"/>
      <c r="AU66" s="7"/>
    </row>
    <row r="67" spans="30:47" ht="11.1" customHeight="1" x14ac:dyDescent="0.2">
      <c r="AD67" s="3"/>
      <c r="AQ67" s="6"/>
      <c r="AU67" s="7"/>
    </row>
    <row r="68" spans="30:47" ht="11.1" customHeight="1" x14ac:dyDescent="0.2">
      <c r="AD68" s="3"/>
      <c r="AQ68" s="6"/>
      <c r="AU68" s="7"/>
    </row>
    <row r="69" spans="30:47" ht="11.1" customHeight="1" x14ac:dyDescent="0.2">
      <c r="AQ69" s="6"/>
      <c r="AU69" s="7"/>
    </row>
    <row r="70" spans="30:47" ht="11.1" customHeight="1" x14ac:dyDescent="0.2">
      <c r="AQ70" s="6"/>
      <c r="AU70" s="7"/>
    </row>
    <row r="71" spans="30:47" ht="11.1" customHeight="1" x14ac:dyDescent="0.2">
      <c r="AQ71" s="6"/>
      <c r="AU71" s="7"/>
    </row>
    <row r="72" spans="30:47" ht="11.1" customHeight="1" x14ac:dyDescent="0.2">
      <c r="AQ72" s="6"/>
      <c r="AU72" s="7"/>
    </row>
    <row r="73" spans="30:47" ht="11.1" customHeight="1" x14ac:dyDescent="0.2">
      <c r="AQ73" s="6"/>
      <c r="AU73" s="7"/>
    </row>
    <row r="74" spans="30:47" ht="11.1" customHeight="1" x14ac:dyDescent="0.2">
      <c r="AQ74" s="6"/>
      <c r="AU74" s="7"/>
    </row>
    <row r="75" spans="30:47" ht="11.1" customHeight="1" x14ac:dyDescent="0.2">
      <c r="AQ75" s="6"/>
      <c r="AU75" s="7"/>
    </row>
    <row r="76" spans="30:47" ht="11.1" customHeight="1" x14ac:dyDescent="0.2">
      <c r="AQ76" s="6"/>
      <c r="AU76" s="7"/>
    </row>
    <row r="77" spans="30:47" ht="11.1" customHeight="1" x14ac:dyDescent="0.2">
      <c r="AQ77" s="6"/>
      <c r="AU77" s="7"/>
    </row>
    <row r="78" spans="30:47" ht="11.1" customHeight="1" x14ac:dyDescent="0.2">
      <c r="AQ78" s="6"/>
      <c r="AU78" s="7"/>
    </row>
    <row r="79" spans="30:47" ht="11.1" customHeight="1" x14ac:dyDescent="0.2">
      <c r="AQ79" s="6"/>
      <c r="AU79" s="7"/>
    </row>
    <row r="80" spans="30:47" ht="11.1" customHeight="1" x14ac:dyDescent="0.2">
      <c r="AQ80" s="6"/>
      <c r="AU80" s="7"/>
    </row>
    <row r="81" spans="43:47" ht="11.1" customHeight="1" x14ac:dyDescent="0.2">
      <c r="AQ81" s="6"/>
      <c r="AU81" s="7"/>
    </row>
    <row r="82" spans="43:47" ht="11.1" customHeight="1" x14ac:dyDescent="0.2">
      <c r="AQ82" s="6"/>
      <c r="AU82" s="7"/>
    </row>
    <row r="83" spans="43:47" ht="11.1" customHeight="1" x14ac:dyDescent="0.2">
      <c r="AQ83" s="6"/>
      <c r="AU83" s="7"/>
    </row>
    <row r="84" spans="43:47" ht="11.1" customHeight="1" x14ac:dyDescent="0.2">
      <c r="AQ84" s="6"/>
      <c r="AU84" s="7"/>
    </row>
    <row r="85" spans="43:47" ht="11.1" customHeight="1" x14ac:dyDescent="0.2">
      <c r="AQ85" s="6"/>
      <c r="AU85" s="7"/>
    </row>
    <row r="86" spans="43:47" ht="11.1" customHeight="1" x14ac:dyDescent="0.2">
      <c r="AQ86" s="6"/>
      <c r="AU86" s="7"/>
    </row>
    <row r="87" spans="43:47" ht="11.1" customHeight="1" x14ac:dyDescent="0.2">
      <c r="AQ87" s="6"/>
      <c r="AU87" s="7"/>
    </row>
    <row r="88" spans="43:47" ht="11.1" customHeight="1" x14ac:dyDescent="0.2">
      <c r="AQ88" s="6"/>
      <c r="AU88" s="7"/>
    </row>
    <row r="89" spans="43:47" ht="11.1" customHeight="1" x14ac:dyDescent="0.2">
      <c r="AQ89" s="6"/>
      <c r="AU89" s="7"/>
    </row>
    <row r="90" spans="43:47" ht="11.1" customHeight="1" x14ac:dyDescent="0.2">
      <c r="AQ90" s="6"/>
      <c r="AU90" s="7"/>
    </row>
    <row r="91" spans="43:47" ht="11.1" customHeight="1" x14ac:dyDescent="0.2">
      <c r="AQ91" s="6"/>
      <c r="AU91" s="7"/>
    </row>
    <row r="92" spans="43:47" ht="11.1" customHeight="1" x14ac:dyDescent="0.2">
      <c r="AQ92" s="6"/>
      <c r="AU92" s="7"/>
    </row>
    <row r="93" spans="43:47" ht="11.1" customHeight="1" x14ac:dyDescent="0.2">
      <c r="AQ93" s="6"/>
      <c r="AU93" s="7"/>
    </row>
    <row r="94" spans="43:47" ht="11.1" customHeight="1" x14ac:dyDescent="0.2">
      <c r="AQ94" s="6"/>
      <c r="AU94" s="7"/>
    </row>
    <row r="95" spans="43:47" ht="11.1" customHeight="1" x14ac:dyDescent="0.2">
      <c r="AQ95" s="6"/>
      <c r="AU95" s="7"/>
    </row>
    <row r="96" spans="43:47" ht="11.1" customHeight="1" x14ac:dyDescent="0.2">
      <c r="AQ96" s="6"/>
      <c r="AU96" s="7"/>
    </row>
    <row r="97" spans="10:47" ht="11.1" customHeight="1" x14ac:dyDescent="0.2">
      <c r="AQ97" s="6"/>
      <c r="AU97" s="7"/>
    </row>
    <row r="98" spans="10:47" ht="11.1" customHeight="1" x14ac:dyDescent="0.2">
      <c r="AQ98" s="6"/>
      <c r="AU98" s="7"/>
    </row>
    <row r="99" spans="10:47" ht="11.1" customHeight="1" x14ac:dyDescent="0.2">
      <c r="AQ99" s="6"/>
      <c r="AU99" s="7"/>
    </row>
    <row r="100" spans="10:47" ht="11.1" customHeight="1" x14ac:dyDescent="0.2">
      <c r="AQ100" s="6"/>
      <c r="AU100" s="7"/>
    </row>
    <row r="101" spans="10:47" ht="11.1" customHeight="1" x14ac:dyDescent="0.2">
      <c r="AQ101" s="6"/>
      <c r="AU101" s="7"/>
    </row>
    <row r="102" spans="10:47" ht="11.1" customHeight="1" x14ac:dyDescent="0.2">
      <c r="AQ102" s="6"/>
      <c r="AU102" s="7"/>
    </row>
    <row r="103" spans="10:47" ht="11.1" customHeight="1" x14ac:dyDescent="0.2">
      <c r="AQ103" s="6"/>
      <c r="AU103" s="7"/>
    </row>
    <row r="104" spans="10:47" ht="11.1" customHeight="1" x14ac:dyDescent="0.2">
      <c r="AQ104" s="6"/>
      <c r="AU104" s="7"/>
    </row>
    <row r="105" spans="10:47" ht="11.1" customHeight="1" x14ac:dyDescent="0.2">
      <c r="AQ105" s="6"/>
      <c r="AU105" s="7"/>
    </row>
    <row r="106" spans="10:47" ht="11.1" customHeight="1" x14ac:dyDescent="0.2">
      <c r="AQ106" s="6"/>
      <c r="AU106" s="7"/>
    </row>
    <row r="107" spans="10:47" ht="11.1" customHeight="1" x14ac:dyDescent="0.2">
      <c r="J107" s="51"/>
      <c r="K107" s="51"/>
      <c r="L107" s="51"/>
      <c r="M107" s="51"/>
      <c r="AQ107" s="6"/>
      <c r="AU107" s="7"/>
    </row>
    <row r="108" spans="10:47" ht="11.1" customHeight="1" x14ac:dyDescent="0.2">
      <c r="J108" s="51"/>
      <c r="K108" s="51"/>
      <c r="L108" s="51"/>
      <c r="M108" s="51"/>
      <c r="AQ108" s="6"/>
      <c r="AU108" s="7"/>
    </row>
    <row r="109" spans="10:47" ht="11.1" customHeight="1" x14ac:dyDescent="0.2">
      <c r="J109" s="51"/>
      <c r="K109" s="51"/>
      <c r="L109" s="51"/>
      <c r="M109" s="51"/>
      <c r="AQ109" s="6"/>
      <c r="AU109" s="7"/>
    </row>
    <row r="110" spans="10:47" ht="11.1" customHeight="1" x14ac:dyDescent="0.2">
      <c r="J110" s="51"/>
      <c r="K110" s="51"/>
      <c r="L110" s="51"/>
      <c r="M110" s="51"/>
      <c r="AQ110" s="6"/>
      <c r="AU110" s="7"/>
    </row>
    <row r="111" spans="10:47" ht="11.1" customHeight="1" x14ac:dyDescent="0.2">
      <c r="J111" s="51"/>
      <c r="K111" s="51"/>
      <c r="L111" s="51"/>
      <c r="M111" s="51"/>
      <c r="AQ111" s="6"/>
      <c r="AU111" s="7"/>
    </row>
    <row r="112" spans="10:47" ht="11.1" customHeight="1" x14ac:dyDescent="0.2">
      <c r="J112" s="51"/>
      <c r="K112" s="51"/>
      <c r="L112" s="51"/>
      <c r="M112" s="51"/>
      <c r="AQ112" s="6"/>
      <c r="AU112" s="7"/>
    </row>
    <row r="113" spans="10:47" ht="11.1" customHeight="1" x14ac:dyDescent="0.2">
      <c r="J113" s="51"/>
      <c r="K113" s="51"/>
      <c r="L113" s="51"/>
      <c r="M113" s="51"/>
      <c r="AQ113" s="6"/>
      <c r="AU113" s="7"/>
    </row>
    <row r="114" spans="10:47" ht="11.1" customHeight="1" x14ac:dyDescent="0.2">
      <c r="J114" s="51"/>
      <c r="K114" s="51"/>
      <c r="L114" s="51"/>
      <c r="M114" s="51"/>
      <c r="AQ114" s="6"/>
      <c r="AU114" s="7"/>
    </row>
    <row r="115" spans="10:47" ht="11.1" customHeight="1" x14ac:dyDescent="0.2">
      <c r="J115" s="51"/>
      <c r="K115" s="51"/>
      <c r="L115" s="51"/>
      <c r="M115" s="51"/>
      <c r="AQ115" s="6"/>
      <c r="AU115" s="7"/>
    </row>
    <row r="116" spans="10:47" ht="11.1" customHeight="1" x14ac:dyDescent="0.2">
      <c r="J116" s="51"/>
      <c r="K116" s="51"/>
      <c r="L116" s="51"/>
      <c r="M116" s="51"/>
      <c r="AQ116" s="6"/>
      <c r="AU116" s="7"/>
    </row>
    <row r="117" spans="10:47" ht="11.1" customHeight="1" x14ac:dyDescent="0.2">
      <c r="J117" s="51"/>
      <c r="K117" s="51"/>
      <c r="L117" s="51"/>
      <c r="M117" s="51"/>
      <c r="AQ117" s="6"/>
      <c r="AU117" s="7"/>
    </row>
    <row r="118" spans="10:47" ht="11.1" customHeight="1" x14ac:dyDescent="0.2">
      <c r="J118" s="51"/>
      <c r="K118" s="51"/>
      <c r="L118" s="51"/>
      <c r="M118" s="51"/>
      <c r="AQ118" s="6"/>
      <c r="AU118" s="7"/>
    </row>
    <row r="119" spans="10:47" ht="11.1" customHeight="1" x14ac:dyDescent="0.2">
      <c r="J119" s="51"/>
      <c r="K119" s="51"/>
      <c r="L119" s="51"/>
      <c r="M119" s="51"/>
      <c r="AQ119" s="6"/>
      <c r="AU119" s="7"/>
    </row>
    <row r="120" spans="10:47" ht="11.1" customHeight="1" x14ac:dyDescent="0.2">
      <c r="J120" s="51"/>
      <c r="K120" s="51"/>
      <c r="L120" s="51"/>
      <c r="M120" s="51"/>
      <c r="AQ120" s="6"/>
      <c r="AU120" s="7"/>
    </row>
    <row r="121" spans="10:47" ht="11.1" customHeight="1" x14ac:dyDescent="0.2">
      <c r="J121" s="51"/>
      <c r="K121" s="51"/>
      <c r="L121" s="51"/>
      <c r="M121" s="51"/>
      <c r="AQ121" s="6"/>
      <c r="AU121" s="7"/>
    </row>
    <row r="122" spans="10:47" ht="11.1" customHeight="1" x14ac:dyDescent="0.2">
      <c r="J122" s="51"/>
      <c r="K122" s="51"/>
      <c r="L122" s="51"/>
      <c r="M122" s="51"/>
      <c r="AQ122" s="6"/>
      <c r="AU122" s="7"/>
    </row>
    <row r="123" spans="10:47" ht="11.1" customHeight="1" x14ac:dyDescent="0.2">
      <c r="AQ123" s="6"/>
      <c r="AU123" s="7"/>
    </row>
    <row r="124" spans="10:47" ht="11.1" customHeight="1" x14ac:dyDescent="0.2">
      <c r="AQ124" s="6"/>
      <c r="AU124" s="7"/>
    </row>
    <row r="125" spans="10:47" ht="11.1" customHeight="1" x14ac:dyDescent="0.2">
      <c r="AQ125" s="6"/>
      <c r="AU125" s="7"/>
    </row>
    <row r="126" spans="10:47" ht="11.1" customHeight="1" x14ac:dyDescent="0.2">
      <c r="AQ126" s="6"/>
      <c r="AU126" s="7"/>
    </row>
    <row r="127" spans="10:47" ht="11.1" customHeight="1" x14ac:dyDescent="0.2">
      <c r="AQ127" s="6"/>
      <c r="AU127" s="7"/>
    </row>
    <row r="128" spans="10:47" ht="11.1" customHeight="1" x14ac:dyDescent="0.2">
      <c r="AQ128" s="6"/>
      <c r="AU128" s="7"/>
    </row>
    <row r="129" spans="43:47" ht="11.1" customHeight="1" x14ac:dyDescent="0.2">
      <c r="AQ129" s="6"/>
      <c r="AU129" s="7"/>
    </row>
    <row r="130" spans="43:47" ht="11.1" customHeight="1" x14ac:dyDescent="0.2">
      <c r="AQ130" s="6"/>
      <c r="AU130" s="7"/>
    </row>
    <row r="131" spans="43:47" ht="11.1" customHeight="1" x14ac:dyDescent="0.2">
      <c r="AQ131" s="6"/>
      <c r="AU131" s="7"/>
    </row>
    <row r="132" spans="43:47" ht="11.1" customHeight="1" x14ac:dyDescent="0.2">
      <c r="AQ132" s="6"/>
      <c r="AU132" s="7"/>
    </row>
    <row r="133" spans="43:47" ht="11.1" customHeight="1" x14ac:dyDescent="0.2">
      <c r="AQ133" s="6"/>
      <c r="AU133" s="7"/>
    </row>
    <row r="134" spans="43:47" ht="11.1" customHeight="1" x14ac:dyDescent="0.2">
      <c r="AQ134" s="6"/>
      <c r="AU134" s="7"/>
    </row>
    <row r="135" spans="43:47" ht="11.1" customHeight="1" x14ac:dyDescent="0.2">
      <c r="AQ135" s="6"/>
      <c r="AU135" s="7"/>
    </row>
    <row r="136" spans="43:47" ht="11.1" customHeight="1" x14ac:dyDescent="0.2">
      <c r="AQ136" s="6"/>
      <c r="AU136" s="7"/>
    </row>
    <row r="137" spans="43:47" ht="11.1" customHeight="1" x14ac:dyDescent="0.2">
      <c r="AQ137" s="6"/>
      <c r="AU137" s="7"/>
    </row>
    <row r="138" spans="43:47" ht="11.1" customHeight="1" x14ac:dyDescent="0.2">
      <c r="AQ138" s="6"/>
      <c r="AU138" s="7"/>
    </row>
    <row r="139" spans="43:47" ht="11.1" customHeight="1" x14ac:dyDescent="0.2">
      <c r="AQ139" s="6"/>
      <c r="AU139" s="7"/>
    </row>
    <row r="140" spans="43:47" ht="11.1" customHeight="1" x14ac:dyDescent="0.2">
      <c r="AQ140" s="6"/>
      <c r="AU140" s="7"/>
    </row>
    <row r="141" spans="43:47" ht="11.1" customHeight="1" x14ac:dyDescent="0.2">
      <c r="AQ141" s="6"/>
      <c r="AU141" s="7"/>
    </row>
    <row r="142" spans="43:47" ht="11.1" customHeight="1" x14ac:dyDescent="0.2">
      <c r="AQ142" s="6"/>
      <c r="AU142" s="7"/>
    </row>
    <row r="143" spans="43:47" ht="11.1" customHeight="1" x14ac:dyDescent="0.2">
      <c r="AQ143" s="6"/>
      <c r="AU143" s="7"/>
    </row>
    <row r="144" spans="43:47" ht="11.1" customHeight="1" x14ac:dyDescent="0.2">
      <c r="AQ144" s="6"/>
      <c r="AU144" s="7"/>
    </row>
    <row r="145" spans="18:47" ht="11.1" customHeight="1" x14ac:dyDescent="0.2">
      <c r="AQ145" s="6"/>
      <c r="AU145" s="7"/>
    </row>
    <row r="146" spans="18:47" ht="11.1" customHeight="1" x14ac:dyDescent="0.2">
      <c r="AQ146" s="6"/>
      <c r="AU146" s="7"/>
    </row>
    <row r="147" spans="18:47" ht="11.1" customHeight="1" x14ac:dyDescent="0.2">
      <c r="AQ147" s="6"/>
      <c r="AU147" s="7"/>
    </row>
    <row r="148" spans="18:47" ht="11.1" customHeight="1" x14ac:dyDescent="0.2">
      <c r="AQ148" s="6"/>
      <c r="AU148" s="7"/>
    </row>
    <row r="149" spans="18:47" ht="11.1" customHeight="1" x14ac:dyDescent="0.2">
      <c r="AQ149" s="6"/>
      <c r="AU149" s="7"/>
    </row>
    <row r="150" spans="18:47" ht="11.1" customHeight="1" x14ac:dyDescent="0.2">
      <c r="AQ150" s="6"/>
      <c r="AU150" s="7"/>
    </row>
    <row r="151" spans="18:47" ht="11.1" customHeight="1" x14ac:dyDescent="0.2">
      <c r="R151" s="97" t="s">
        <v>263</v>
      </c>
      <c r="AQ151" s="6"/>
      <c r="AU151" s="7"/>
    </row>
    <row r="152" spans="18:47" ht="11.1" customHeight="1" x14ac:dyDescent="0.2">
      <c r="R152" s="105" t="s">
        <v>262</v>
      </c>
      <c r="S152" s="97"/>
      <c r="T152" s="7"/>
      <c r="U152" s="4"/>
      <c r="AQ152" s="6"/>
      <c r="AU152" s="7"/>
    </row>
    <row r="153" spans="18:47" ht="11.1" customHeight="1" x14ac:dyDescent="0.2">
      <c r="R153" s="97" t="s">
        <v>165</v>
      </c>
      <c r="S153" s="97"/>
      <c r="T153" s="7"/>
      <c r="U153" s="4"/>
      <c r="AQ153" s="6"/>
      <c r="AU153" s="7"/>
    </row>
    <row r="154" spans="18:47" ht="11.1" customHeight="1" x14ac:dyDescent="0.2">
      <c r="R154" s="105" t="s">
        <v>166</v>
      </c>
      <c r="S154" s="97"/>
      <c r="T154" s="7"/>
      <c r="U154" s="4"/>
      <c r="AQ154" s="6"/>
      <c r="AU154" s="7"/>
    </row>
    <row r="155" spans="18:47" ht="11.1" customHeight="1" x14ac:dyDescent="0.2">
      <c r="R155" s="97" t="s">
        <v>167</v>
      </c>
      <c r="S155" s="97"/>
      <c r="T155" s="7"/>
      <c r="U155" s="4"/>
      <c r="AQ155" s="6"/>
      <c r="AU155" s="7"/>
    </row>
    <row r="156" spans="18:47" ht="11.1" customHeight="1" x14ac:dyDescent="0.2">
      <c r="R156" s="97" t="s">
        <v>168</v>
      </c>
      <c r="S156" s="97"/>
      <c r="T156" s="7"/>
      <c r="U156" s="4"/>
      <c r="AQ156" s="6"/>
      <c r="AU156" s="7"/>
    </row>
    <row r="157" spans="18:47" ht="11.1" customHeight="1" x14ac:dyDescent="0.2">
      <c r="R157" s="105" t="s">
        <v>169</v>
      </c>
      <c r="S157" s="97"/>
      <c r="T157" s="7"/>
      <c r="U157" s="4"/>
      <c r="AQ157" s="6"/>
      <c r="AU157" s="7"/>
    </row>
    <row r="158" spans="18:47" ht="11.1" customHeight="1" x14ac:dyDescent="0.2">
      <c r="R158" s="97" t="s">
        <v>170</v>
      </c>
      <c r="S158" s="97"/>
      <c r="T158" s="7"/>
      <c r="U158" s="4"/>
      <c r="AQ158" s="6"/>
      <c r="AU158" s="7"/>
    </row>
    <row r="159" spans="18:47" ht="11.1" customHeight="1" x14ac:dyDescent="0.2">
      <c r="R159" s="97" t="s">
        <v>171</v>
      </c>
      <c r="S159" s="97"/>
      <c r="T159" s="7"/>
      <c r="U159" s="4"/>
      <c r="AQ159" s="6"/>
      <c r="AU159" s="7"/>
    </row>
    <row r="160" spans="18:47" ht="11.1" customHeight="1" x14ac:dyDescent="0.2">
      <c r="R160" s="97" t="s">
        <v>172</v>
      </c>
      <c r="S160" s="97"/>
      <c r="T160" s="7"/>
      <c r="U160" s="4"/>
      <c r="AQ160" s="6"/>
      <c r="AU160" s="7"/>
    </row>
    <row r="161" spans="18:47" ht="11.1" customHeight="1" x14ac:dyDescent="0.2">
      <c r="R161" s="97" t="s">
        <v>173</v>
      </c>
      <c r="S161" s="97"/>
      <c r="T161" s="7"/>
      <c r="U161" s="4"/>
      <c r="AQ161" s="6"/>
      <c r="AU161" s="7"/>
    </row>
    <row r="162" spans="18:47" ht="11.1" customHeight="1" x14ac:dyDescent="0.2">
      <c r="R162" s="97" t="s">
        <v>174</v>
      </c>
      <c r="S162" s="97"/>
      <c r="T162" s="7"/>
      <c r="U162" s="4"/>
      <c r="AQ162" s="6"/>
      <c r="AU162" s="7"/>
    </row>
    <row r="163" spans="18:47" ht="11.1" customHeight="1" x14ac:dyDescent="0.2">
      <c r="R163" s="105" t="s">
        <v>175</v>
      </c>
      <c r="S163" s="97"/>
      <c r="T163" s="7"/>
      <c r="U163" s="4"/>
      <c r="AQ163" s="6"/>
      <c r="AU163" s="7"/>
    </row>
    <row r="164" spans="18:47" ht="11.1" customHeight="1" x14ac:dyDescent="0.2">
      <c r="R164" s="3"/>
      <c r="AQ164" s="6"/>
      <c r="AU164" s="7"/>
    </row>
    <row r="165" spans="18:47" ht="11.1" customHeight="1" x14ac:dyDescent="0.2">
      <c r="AQ165" s="6"/>
      <c r="AU165" s="7"/>
    </row>
    <row r="166" spans="18:47" ht="11.1" customHeight="1" x14ac:dyDescent="0.2">
      <c r="AQ166" s="6"/>
      <c r="AU166" s="7"/>
    </row>
    <row r="167" spans="18:47" ht="11.1" customHeight="1" x14ac:dyDescent="0.2">
      <c r="AQ167" s="6"/>
      <c r="AU167" s="7"/>
    </row>
    <row r="168" spans="18:47" ht="11.1" customHeight="1" x14ac:dyDescent="0.2">
      <c r="AQ168" s="6"/>
      <c r="AU168" s="7"/>
    </row>
    <row r="169" spans="18:47" ht="11.1" customHeight="1" x14ac:dyDescent="0.2">
      <c r="AQ169" s="6"/>
      <c r="AU169" s="7"/>
    </row>
    <row r="170" spans="18:47" ht="11.1" customHeight="1" x14ac:dyDescent="0.2">
      <c r="AQ170" s="6"/>
      <c r="AU170" s="7"/>
    </row>
    <row r="171" spans="18:47" ht="11.1" customHeight="1" x14ac:dyDescent="0.2">
      <c r="AQ171" s="6"/>
      <c r="AU171" s="7"/>
    </row>
    <row r="172" spans="18:47" ht="11.1" customHeight="1" x14ac:dyDescent="0.2">
      <c r="AQ172" s="6"/>
      <c r="AU172" s="7"/>
    </row>
    <row r="173" spans="18:47" ht="11.1" customHeight="1" x14ac:dyDescent="0.2">
      <c r="AQ173" s="6"/>
      <c r="AU173" s="7"/>
    </row>
    <row r="174" spans="18:47" ht="11.1" customHeight="1" x14ac:dyDescent="0.2">
      <c r="AQ174" s="6"/>
      <c r="AU174" s="7"/>
    </row>
    <row r="175" spans="18:47" ht="11.1" customHeight="1" x14ac:dyDescent="0.2">
      <c r="AQ175" s="6"/>
      <c r="AU175" s="7"/>
    </row>
    <row r="176" spans="18:47" ht="11.1" customHeight="1" x14ac:dyDescent="0.2">
      <c r="AQ176" s="6"/>
      <c r="AU176" s="7"/>
    </row>
    <row r="177" spans="2:47" ht="11.1" customHeight="1" x14ac:dyDescent="0.2">
      <c r="AQ177" s="6"/>
      <c r="AU177" s="7"/>
    </row>
    <row r="178" spans="2:47" ht="11.1" customHeight="1" x14ac:dyDescent="0.2">
      <c r="W178" s="5"/>
      <c r="X178" s="4"/>
      <c r="Y178" s="3"/>
      <c r="AQ178" s="6"/>
      <c r="AU178" s="7"/>
    </row>
    <row r="179" spans="2:47" ht="11.1" customHeight="1" x14ac:dyDescent="0.2">
      <c r="W179" s="5"/>
      <c r="X179" s="4"/>
      <c r="Y179" s="3"/>
      <c r="AQ179" s="6"/>
      <c r="AU179" s="7"/>
    </row>
    <row r="180" spans="2:47" ht="11.1" customHeight="1" x14ac:dyDescent="0.2">
      <c r="W180" s="5"/>
      <c r="X180" s="4"/>
      <c r="Y180" s="3"/>
      <c r="AQ180" s="6"/>
      <c r="AU180" s="7"/>
    </row>
    <row r="181" spans="2:47" ht="11.1" customHeight="1" x14ac:dyDescent="0.2">
      <c r="W181" s="5"/>
      <c r="X181" s="4"/>
      <c r="Y181" s="3"/>
      <c r="AQ181" s="6"/>
      <c r="AU181" s="7"/>
    </row>
    <row r="182" spans="2:47" ht="11.1" customHeight="1" x14ac:dyDescent="0.2">
      <c r="W182" s="5"/>
      <c r="X182" s="4"/>
      <c r="Y182" s="3"/>
      <c r="AQ182" s="6"/>
      <c r="AU182" s="7"/>
    </row>
    <row r="183" spans="2:47" ht="11.1" customHeight="1" x14ac:dyDescent="0.2">
      <c r="W183" s="5"/>
      <c r="X183" s="4"/>
      <c r="Y183" s="3"/>
      <c r="AQ183" s="6"/>
      <c r="AU183" s="7"/>
    </row>
    <row r="184" spans="2:47" ht="11.1" customHeight="1" x14ac:dyDescent="0.2">
      <c r="W184" s="5"/>
      <c r="X184" s="4"/>
      <c r="Y184" s="3"/>
      <c r="AD184" s="3"/>
      <c r="AQ184" s="6"/>
      <c r="AU184" s="7"/>
    </row>
    <row r="185" spans="2:47" ht="11.1" customHeight="1" x14ac:dyDescent="0.2">
      <c r="W185" s="5"/>
      <c r="X185" s="4"/>
      <c r="Y185" s="3"/>
      <c r="AD185" s="3"/>
      <c r="AQ185" s="6"/>
      <c r="AU185" s="7"/>
    </row>
    <row r="186" spans="2:47" ht="11.1" customHeight="1" x14ac:dyDescent="0.2">
      <c r="W186" s="5"/>
      <c r="X186" s="4"/>
      <c r="Y186" s="3"/>
      <c r="AD186" s="3"/>
      <c r="AQ186" s="6"/>
      <c r="AU186" s="7"/>
    </row>
    <row r="187" spans="2:47" ht="11.1" customHeight="1" x14ac:dyDescent="0.2">
      <c r="W187" s="5"/>
      <c r="X187" s="4"/>
      <c r="Y187" s="3"/>
      <c r="AD187" s="3"/>
      <c r="AQ187" s="6"/>
      <c r="AU187" s="7"/>
    </row>
    <row r="188" spans="2:47" ht="11.1" customHeight="1" x14ac:dyDescent="0.2">
      <c r="W188" s="5"/>
      <c r="X188" s="4"/>
      <c r="Y188" s="3"/>
      <c r="AD188" s="3"/>
      <c r="AQ188" s="6"/>
      <c r="AU188" s="7"/>
    </row>
    <row r="189" spans="2:47" ht="11.1" customHeight="1" x14ac:dyDescent="0.2">
      <c r="W189" s="5"/>
      <c r="X189" s="4"/>
      <c r="Y189" s="3"/>
      <c r="AD189" s="3"/>
      <c r="AI189" s="827">
        <v>29902</v>
      </c>
      <c r="AJ189" s="828"/>
      <c r="AK189" s="103" t="s">
        <v>273</v>
      </c>
      <c r="AL189" s="3"/>
      <c r="AQ189" s="6"/>
      <c r="AU189" s="7"/>
    </row>
    <row r="190" spans="2:47" ht="11.1" customHeight="1" x14ac:dyDescent="0.2">
      <c r="W190" s="5"/>
      <c r="X190" s="4"/>
      <c r="Y190" s="3"/>
      <c r="AD190" s="3"/>
      <c r="AI190" s="827">
        <v>31528</v>
      </c>
      <c r="AJ190" s="828"/>
      <c r="AK190" s="103" t="s">
        <v>271</v>
      </c>
      <c r="AL190" s="3"/>
      <c r="AQ190" s="6"/>
      <c r="AU190" s="7"/>
    </row>
    <row r="191" spans="2:47" ht="11.1" customHeight="1" x14ac:dyDescent="0.2">
      <c r="AD191" s="3"/>
      <c r="AI191" s="827">
        <v>40613</v>
      </c>
      <c r="AJ191" s="828"/>
      <c r="AK191" s="3" t="s">
        <v>272</v>
      </c>
      <c r="AL191" s="3"/>
      <c r="AQ191" s="6"/>
      <c r="AU191" s="7"/>
    </row>
    <row r="192" spans="2:47" ht="11.1" customHeight="1" x14ac:dyDescent="0.2">
      <c r="B192" s="3"/>
      <c r="O192" s="3"/>
      <c r="P192" s="3"/>
      <c r="Q192" s="3"/>
      <c r="R192" s="3"/>
      <c r="W192" s="3"/>
      <c r="Y192" s="3"/>
      <c r="Z192" s="3"/>
      <c r="AA192" s="3"/>
      <c r="AB192" s="3"/>
      <c r="AC192" s="3"/>
      <c r="AD192" s="3"/>
      <c r="AE192" s="3"/>
      <c r="AF192" s="3"/>
      <c r="AG192" s="3"/>
      <c r="AH192" s="3"/>
      <c r="AI192" s="3"/>
      <c r="AJ192" s="3"/>
      <c r="AK192" s="3"/>
      <c r="AL192" s="3"/>
      <c r="AM192" s="3"/>
      <c r="AN192" s="3"/>
      <c r="AO192" s="3"/>
      <c r="AP192" s="3"/>
      <c r="AS192" s="629"/>
    </row>
    <row r="193" spans="2:50" ht="13.5" customHeight="1" x14ac:dyDescent="0.2">
      <c r="B193" s="55" t="s">
        <v>0</v>
      </c>
      <c r="D193" s="604">
        <v>1.95E-2</v>
      </c>
      <c r="E193" s="3" t="s">
        <v>163</v>
      </c>
      <c r="N193" s="195">
        <v>0.20370370370370369</v>
      </c>
      <c r="O193" s="3" t="s">
        <v>164</v>
      </c>
      <c r="P193" s="4"/>
      <c r="Q193" s="3"/>
      <c r="R193" s="3"/>
      <c r="W193" s="807"/>
      <c r="X193" s="3" t="s">
        <v>270</v>
      </c>
      <c r="AI193" s="779" t="s">
        <v>268</v>
      </c>
      <c r="AQ193" s="6"/>
    </row>
    <row r="194" spans="2:50" ht="11.1" customHeight="1" x14ac:dyDescent="0.2">
      <c r="B194" s="630">
        <f>B197</f>
        <v>29902</v>
      </c>
      <c r="C194" s="2" t="s">
        <v>1</v>
      </c>
      <c r="H194" s="4"/>
      <c r="I194" s="5"/>
      <c r="J194" s="4"/>
      <c r="K194" s="630">
        <f>K197</f>
        <v>29902</v>
      </c>
      <c r="L194" s="2" t="s">
        <v>1</v>
      </c>
      <c r="O194" s="3"/>
      <c r="P194" s="3"/>
      <c r="Q194" s="2" t="s">
        <v>1</v>
      </c>
      <c r="R194" s="3"/>
      <c r="V194" s="28"/>
      <c r="W194" s="2" t="s">
        <v>25</v>
      </c>
      <c r="X194" s="7"/>
      <c r="AB194" s="4"/>
      <c r="AC194" s="5"/>
      <c r="AD194" s="4"/>
      <c r="AE194" s="28"/>
      <c r="AF194" s="29" t="s">
        <v>25</v>
      </c>
      <c r="AJ194" s="3"/>
      <c r="AK194" s="28"/>
      <c r="AL194" s="29" t="s">
        <v>25</v>
      </c>
      <c r="AP194" s="3"/>
      <c r="AR194" s="388" t="s">
        <v>213</v>
      </c>
      <c r="AS194" s="30"/>
      <c r="AT194" s="32"/>
    </row>
    <row r="195" spans="2:50" ht="11.1" customHeight="1" x14ac:dyDescent="0.2">
      <c r="B195" s="9" t="s">
        <v>2</v>
      </c>
      <c r="C195" s="347" t="s">
        <v>108</v>
      </c>
      <c r="D195" s="348"/>
      <c r="E195" s="348"/>
      <c r="F195" s="348"/>
      <c r="G195" s="348"/>
      <c r="H195" s="348"/>
      <c r="I195" s="348"/>
      <c r="J195" s="349"/>
      <c r="K195" s="9" t="s">
        <v>2</v>
      </c>
      <c r="L195" s="347" t="s">
        <v>17</v>
      </c>
      <c r="M195" s="348"/>
      <c r="N195" s="348"/>
      <c r="O195" s="348"/>
      <c r="P195" s="349"/>
      <c r="Q195" s="347" t="s">
        <v>21</v>
      </c>
      <c r="R195" s="348"/>
      <c r="S195" s="348"/>
      <c r="T195" s="348"/>
      <c r="U195" s="349"/>
      <c r="V195" s="350" t="s">
        <v>2</v>
      </c>
      <c r="W195" s="347" t="s">
        <v>153</v>
      </c>
      <c r="X195" s="348"/>
      <c r="Y195" s="348"/>
      <c r="Z195" s="348"/>
      <c r="AA195" s="348"/>
      <c r="AB195" s="348"/>
      <c r="AC195" s="348"/>
      <c r="AD195" s="349"/>
      <c r="AE195" s="350" t="s">
        <v>2</v>
      </c>
      <c r="AF195" s="351" t="s">
        <v>26</v>
      </c>
      <c r="AG195" s="348"/>
      <c r="AH195" s="348"/>
      <c r="AI195" s="348"/>
      <c r="AJ195" s="349"/>
      <c r="AK195" s="350" t="s">
        <v>2</v>
      </c>
      <c r="AL195" s="351" t="s">
        <v>23</v>
      </c>
      <c r="AM195" s="348"/>
      <c r="AN195" s="348"/>
      <c r="AO195" s="348"/>
      <c r="AP195" s="349"/>
      <c r="AR195" s="823" t="s">
        <v>214</v>
      </c>
      <c r="AS195" s="823" t="s">
        <v>215</v>
      </c>
      <c r="AT195" s="823" t="s">
        <v>217</v>
      </c>
      <c r="AU195" s="823" t="s">
        <v>218</v>
      </c>
      <c r="AV195" s="823" t="s">
        <v>269</v>
      </c>
      <c r="AW195" s="823" t="s">
        <v>221</v>
      </c>
      <c r="AX195" s="823" t="s">
        <v>223</v>
      </c>
    </row>
    <row r="196" spans="2:50" s="33" customFormat="1" ht="11.1" customHeight="1" x14ac:dyDescent="0.2">
      <c r="B196" s="21" t="s">
        <v>4</v>
      </c>
      <c r="C196" s="108" t="s">
        <v>5</v>
      </c>
      <c r="D196" s="109" t="s">
        <v>6</v>
      </c>
      <c r="E196" s="110" t="s">
        <v>83</v>
      </c>
      <c r="F196" s="109" t="s">
        <v>7</v>
      </c>
      <c r="G196" s="111" t="s">
        <v>34</v>
      </c>
      <c r="H196" s="111" t="s">
        <v>28</v>
      </c>
      <c r="I196" s="132" t="s">
        <v>14</v>
      </c>
      <c r="J196" s="496" t="s">
        <v>29</v>
      </c>
      <c r="K196" s="21" t="s">
        <v>4</v>
      </c>
      <c r="L196" s="108" t="s">
        <v>5</v>
      </c>
      <c r="M196" s="109" t="s">
        <v>6</v>
      </c>
      <c r="N196" s="110" t="s">
        <v>83</v>
      </c>
      <c r="O196" s="715" t="s">
        <v>7</v>
      </c>
      <c r="P196" s="535"/>
      <c r="Q196" s="698" t="s">
        <v>5</v>
      </c>
      <c r="R196" s="109" t="s">
        <v>6</v>
      </c>
      <c r="S196" s="110" t="s">
        <v>83</v>
      </c>
      <c r="T196" s="729" t="s">
        <v>7</v>
      </c>
      <c r="U196" s="535"/>
      <c r="V196" s="76" t="s">
        <v>4</v>
      </c>
      <c r="W196" s="108" t="s">
        <v>5</v>
      </c>
      <c r="X196" s="131" t="s">
        <v>6</v>
      </c>
      <c r="Y196" s="110" t="s">
        <v>83</v>
      </c>
      <c r="Z196" s="109" t="s">
        <v>7</v>
      </c>
      <c r="AA196" s="111" t="s">
        <v>34</v>
      </c>
      <c r="AB196" s="111" t="s">
        <v>28</v>
      </c>
      <c r="AC196" s="132" t="s">
        <v>14</v>
      </c>
      <c r="AD196" s="75" t="s">
        <v>29</v>
      </c>
      <c r="AE196" s="76" t="s">
        <v>4</v>
      </c>
      <c r="AF196" s="137" t="s">
        <v>5</v>
      </c>
      <c r="AG196" s="131" t="s">
        <v>6</v>
      </c>
      <c r="AH196" s="110" t="s">
        <v>83</v>
      </c>
      <c r="AI196" s="729" t="s">
        <v>7</v>
      </c>
      <c r="AJ196" s="535"/>
      <c r="AK196" s="76" t="s">
        <v>4</v>
      </c>
      <c r="AL196" s="137" t="s">
        <v>5</v>
      </c>
      <c r="AM196" s="131" t="s">
        <v>6</v>
      </c>
      <c r="AN196" s="110" t="s">
        <v>83</v>
      </c>
      <c r="AO196" s="729" t="s">
        <v>7</v>
      </c>
      <c r="AP196" s="535"/>
      <c r="AR196" s="826"/>
      <c r="AS196" s="826"/>
      <c r="AT196" s="826"/>
      <c r="AU196" s="826"/>
      <c r="AV196" s="826"/>
      <c r="AW196" s="826"/>
      <c r="AX196" s="826"/>
    </row>
    <row r="197" spans="2:50" ht="11.1" customHeight="1" x14ac:dyDescent="0.2">
      <c r="B197" s="643">
        <v>29902</v>
      </c>
      <c r="C197" s="162"/>
      <c r="D197" s="163"/>
      <c r="E197" s="164"/>
      <c r="F197" s="164"/>
      <c r="G197" s="164"/>
      <c r="H197" s="165"/>
      <c r="I197" s="171"/>
      <c r="J197" s="497"/>
      <c r="K197" s="643">
        <v>29902</v>
      </c>
      <c r="L197" s="439">
        <f>ND代替値2</f>
        <v>0.20499999999999999</v>
      </c>
      <c r="M197" s="163">
        <f>I399/27</f>
        <v>437.03703703703701</v>
      </c>
      <c r="N197" s="440">
        <f>ND代替値2*2.71828^(-(0.69315/2.062)*(B197-調査開始日)/365.25)</f>
        <v>1.95E-2</v>
      </c>
      <c r="O197" s="707">
        <f>(J399/27*1000)/1000</f>
        <v>0.162962962962963</v>
      </c>
      <c r="P197" s="717"/>
      <c r="Q197" s="699"/>
      <c r="R197" s="163"/>
      <c r="S197" s="164"/>
      <c r="T197" s="707"/>
      <c r="U197" s="717"/>
      <c r="V197" s="161"/>
      <c r="W197" s="162"/>
      <c r="X197" s="168"/>
      <c r="Y197" s="169"/>
      <c r="Z197" s="169"/>
      <c r="AA197" s="169"/>
      <c r="AB197" s="170"/>
      <c r="AC197" s="171"/>
      <c r="AD197" s="172"/>
      <c r="AE197" s="161"/>
      <c r="AF197" s="173"/>
      <c r="AG197" s="168"/>
      <c r="AH197" s="169"/>
      <c r="AI197" s="733"/>
      <c r="AJ197" s="717"/>
      <c r="AK197" s="161"/>
      <c r="AL197" s="174"/>
      <c r="AM197" s="168"/>
      <c r="AN197" s="169"/>
      <c r="AO197" s="733"/>
      <c r="AP197" s="717"/>
      <c r="AR197" s="431">
        <f t="shared" ref="AR197:AR218" si="0">1*2.71828^(-(0.69315/30.07)*(B197-調査開始日)/365.25)</f>
        <v>1</v>
      </c>
      <c r="AS197" s="432">
        <f t="shared" ref="AS197:AS218" si="1">1*2.71828^(-(0.69315/2.062)*(B197-調査開始日)/365.25)</f>
        <v>1</v>
      </c>
      <c r="AT197" s="428">
        <f t="shared" ref="AT197:AT218" si="2">10*2.71828^(-(0.69315/0.1459)*(B197-調査開始日)/365.25)</f>
        <v>10</v>
      </c>
      <c r="AU197" s="429">
        <f t="shared" ref="AU197:AU218" si="3">200*2.71828^(-(0.69315/(1.277*10^9))*(B197-調査開始日)/365.25)</f>
        <v>200</v>
      </c>
      <c r="AV197" s="430">
        <f t="shared" ref="AV197:AV218" si="4">1*2.71828^(-(0.69315/12.33)*(B197-調査開始日)/365.25)</f>
        <v>1</v>
      </c>
      <c r="AW197" s="430">
        <f t="shared" ref="AW197:AW218" si="5">0.1*2.71828^(-(0.69315/28.799)*(B197-調査開始日)/365.25)</f>
        <v>0.1</v>
      </c>
      <c r="AX197" s="436">
        <f t="shared" ref="AX197:AX218" si="6">0.1*2.71828^(-(0.69315/0.022177)*(B197-調査開始日)/365.25)</f>
        <v>0.1</v>
      </c>
    </row>
    <row r="198" spans="2:50" ht="11.1" customHeight="1" x14ac:dyDescent="0.2">
      <c r="B198" s="175">
        <v>29931</v>
      </c>
      <c r="C198" s="176">
        <f>C400/27</f>
        <v>0.66666666666666663</v>
      </c>
      <c r="D198" s="177">
        <f>D400/27</f>
        <v>377.77777777777777</v>
      </c>
      <c r="E198" s="435">
        <f>ND代替値*2.71828^(-(0.69315/2.062)*(B198-調査開始日)/365.25)</f>
        <v>1.9473263628656447E-2</v>
      </c>
      <c r="F198" s="178">
        <f>(E400/27*1000)/1000</f>
        <v>0.14814814814814814</v>
      </c>
      <c r="G198" s="178"/>
      <c r="H198" s="179"/>
      <c r="I198" s="186"/>
      <c r="J198" s="181"/>
      <c r="K198" s="175">
        <v>29931</v>
      </c>
      <c r="L198" s="433">
        <f>ND代替値2</f>
        <v>0.20499999999999999</v>
      </c>
      <c r="M198" s="177">
        <f>I400/27</f>
        <v>425.92592592592592</v>
      </c>
      <c r="N198" s="435">
        <f>ND代替値2*2.71828^(-(0.69315/2.062)*(B198-調査開始日)/365.25)</f>
        <v>1.8986432037940034E-2</v>
      </c>
      <c r="O198" s="708">
        <f>(J400/27*1000)/1000</f>
        <v>0.17407407407407408</v>
      </c>
      <c r="P198" s="718"/>
      <c r="Q198" s="441"/>
      <c r="R198" s="177"/>
      <c r="S198" s="178"/>
      <c r="T198" s="708"/>
      <c r="U198" s="718"/>
      <c r="V198" s="810"/>
      <c r="W198" s="183"/>
      <c r="X198" s="184"/>
      <c r="Y198" s="178"/>
      <c r="Z198" s="178"/>
      <c r="AA198" s="178"/>
      <c r="AB198" s="185"/>
      <c r="AC198" s="186"/>
      <c r="AD198" s="187"/>
      <c r="AE198" s="182"/>
      <c r="AF198" s="188"/>
      <c r="AG198" s="184"/>
      <c r="AH198" s="178"/>
      <c r="AI198" s="708"/>
      <c r="AJ198" s="718"/>
      <c r="AK198" s="182"/>
      <c r="AL198" s="190"/>
      <c r="AM198" s="191"/>
      <c r="AN198" s="192"/>
      <c r="AO198" s="688"/>
      <c r="AP198" s="718"/>
      <c r="AR198" s="431">
        <f t="shared" si="0"/>
        <v>0.99817146231258558</v>
      </c>
      <c r="AS198" s="432">
        <f t="shared" si="1"/>
        <v>0.97366318143282227</v>
      </c>
      <c r="AT198" s="428">
        <f t="shared" si="2"/>
        <v>6.8577429855183532</v>
      </c>
      <c r="AU198" s="429">
        <f t="shared" si="3"/>
        <v>199.99999999138066</v>
      </c>
      <c r="AV198" s="430">
        <f t="shared" si="4"/>
        <v>0.99554648658692391</v>
      </c>
      <c r="AW198" s="430">
        <f t="shared" si="5"/>
        <v>9.9809083966926712E-2</v>
      </c>
      <c r="AX198" s="436">
        <f t="shared" si="6"/>
        <v>8.3609280601840037E-3</v>
      </c>
    </row>
    <row r="199" spans="2:50" ht="11.1" customHeight="1" x14ac:dyDescent="0.2">
      <c r="B199" s="182">
        <v>29991</v>
      </c>
      <c r="C199" s="183"/>
      <c r="D199" s="177"/>
      <c r="E199" s="178"/>
      <c r="F199" s="178"/>
      <c r="G199" s="178"/>
      <c r="H199" s="179"/>
      <c r="I199" s="186"/>
      <c r="J199" s="498"/>
      <c r="K199" s="182">
        <v>29991</v>
      </c>
      <c r="L199" s="441"/>
      <c r="M199" s="177"/>
      <c r="N199" s="178"/>
      <c r="O199" s="708"/>
      <c r="P199" s="718"/>
      <c r="Q199" s="441"/>
      <c r="R199" s="177"/>
      <c r="S199" s="178"/>
      <c r="T199" s="708"/>
      <c r="U199" s="718"/>
      <c r="V199" s="182"/>
      <c r="W199" s="183"/>
      <c r="X199" s="184"/>
      <c r="Y199" s="178"/>
      <c r="Z199" s="178"/>
      <c r="AA199" s="178"/>
      <c r="AB199" s="185"/>
      <c r="AC199" s="186"/>
      <c r="AD199" s="187"/>
      <c r="AE199" s="182"/>
      <c r="AF199" s="188"/>
      <c r="AG199" s="184"/>
      <c r="AH199" s="178"/>
      <c r="AI199" s="708"/>
      <c r="AJ199" s="718"/>
      <c r="AK199" s="182"/>
      <c r="AL199" s="194"/>
      <c r="AM199" s="184"/>
      <c r="AN199" s="178"/>
      <c r="AO199" s="708"/>
      <c r="AP199" s="718"/>
      <c r="AR199" s="431">
        <f t="shared" si="0"/>
        <v>0.99439888905007756</v>
      </c>
      <c r="AS199" s="432">
        <f t="shared" si="1"/>
        <v>0.92135468043656032</v>
      </c>
      <c r="AT199" s="428">
        <f t="shared" si="2"/>
        <v>3.1422864004414941</v>
      </c>
      <c r="AU199" s="429">
        <f t="shared" si="3"/>
        <v>199.99999997354757</v>
      </c>
      <c r="AV199" s="430">
        <f t="shared" si="4"/>
        <v>0.98639518911909096</v>
      </c>
      <c r="AW199" s="430">
        <f t="shared" si="5"/>
        <v>9.941524166837179E-2</v>
      </c>
      <c r="AX199" s="806">
        <f t="shared" si="6"/>
        <v>4.9253396329272424E-5</v>
      </c>
    </row>
    <row r="200" spans="2:50" ht="11.1" customHeight="1" x14ac:dyDescent="0.2">
      <c r="B200" s="175">
        <v>30049</v>
      </c>
      <c r="C200" s="433">
        <f>ND代替値</f>
        <v>0.18518518518518517</v>
      </c>
      <c r="D200" s="177">
        <f>D402/27</f>
        <v>315.55555555555554</v>
      </c>
      <c r="E200" s="435">
        <f>ND代替値*2.71828^(-(0.69315/2.062)*(B200-調査開始日)/365.25)</f>
        <v>1.7469253114855289E-2</v>
      </c>
      <c r="F200" s="178">
        <f>(E402/27*1000)/1000</f>
        <v>0.11481481481481481</v>
      </c>
      <c r="G200" s="178"/>
      <c r="H200" s="179"/>
      <c r="I200" s="186"/>
      <c r="J200" s="498"/>
      <c r="K200" s="175">
        <v>30049</v>
      </c>
      <c r="L200" s="441"/>
      <c r="M200" s="177"/>
      <c r="N200" s="178"/>
      <c r="O200" s="708"/>
      <c r="P200" s="718"/>
      <c r="Q200" s="441"/>
      <c r="R200" s="177"/>
      <c r="S200" s="178"/>
      <c r="T200" s="708"/>
      <c r="U200" s="718"/>
      <c r="V200" s="182"/>
      <c r="W200" s="183"/>
      <c r="X200" s="184"/>
      <c r="Y200" s="178"/>
      <c r="Z200" s="178"/>
      <c r="AA200" s="178"/>
      <c r="AB200" s="185"/>
      <c r="AC200" s="186"/>
      <c r="AD200" s="187"/>
      <c r="AE200" s="182"/>
      <c r="AF200" s="188"/>
      <c r="AG200" s="184"/>
      <c r="AH200" s="178"/>
      <c r="AI200" s="708"/>
      <c r="AJ200" s="718"/>
      <c r="AK200" s="182"/>
      <c r="AL200" s="194"/>
      <c r="AM200" s="184"/>
      <c r="AN200" s="178"/>
      <c r="AO200" s="708"/>
      <c r="AP200" s="718"/>
      <c r="AR200" s="431">
        <f t="shared" si="0"/>
        <v>0.9907656221826544</v>
      </c>
      <c r="AS200" s="432">
        <f t="shared" si="1"/>
        <v>0.87346265574276438</v>
      </c>
      <c r="AT200" s="428">
        <f t="shared" si="2"/>
        <v>1.4777745230668013</v>
      </c>
      <c r="AU200" s="429">
        <f t="shared" si="3"/>
        <v>199.9999999563089</v>
      </c>
      <c r="AV200" s="430">
        <f t="shared" si="4"/>
        <v>0.97762890465529118</v>
      </c>
      <c r="AW200" s="430">
        <f t="shared" si="5"/>
        <v>9.9036004754980034E-2</v>
      </c>
      <c r="AX200" s="806">
        <f t="shared" si="6"/>
        <v>3.4430644836565853E-7</v>
      </c>
    </row>
    <row r="201" spans="2:50" ht="11.1" customHeight="1" x14ac:dyDescent="0.2">
      <c r="B201" s="175">
        <v>30089</v>
      </c>
      <c r="C201" s="775">
        <f>C403/27</f>
        <v>0.37037037037037035</v>
      </c>
      <c r="D201" s="177">
        <f>D403/27</f>
        <v>271.11111111111109</v>
      </c>
      <c r="E201" s="435">
        <f>ND代替値*2.71828^(-(0.69315/2.062)*(B201-調査開始日)/365.25)</f>
        <v>1.6837840964029908E-2</v>
      </c>
      <c r="F201" s="178">
        <f>(E403/27*1000)/1000</f>
        <v>7.0370370370370361E-2</v>
      </c>
      <c r="G201" s="178"/>
      <c r="H201" s="179"/>
      <c r="I201" s="186"/>
      <c r="J201" s="498"/>
      <c r="K201" s="175">
        <v>30089</v>
      </c>
      <c r="L201" s="441"/>
      <c r="M201" s="177"/>
      <c r="N201" s="178"/>
      <c r="O201" s="708"/>
      <c r="P201" s="718"/>
      <c r="Q201" s="441"/>
      <c r="R201" s="177"/>
      <c r="S201" s="178"/>
      <c r="T201" s="708"/>
      <c r="U201" s="718"/>
      <c r="V201" s="182"/>
      <c r="W201" s="183"/>
      <c r="X201" s="184"/>
      <c r="Y201" s="178"/>
      <c r="Z201" s="178"/>
      <c r="AA201" s="178"/>
      <c r="AB201" s="185"/>
      <c r="AC201" s="186"/>
      <c r="AD201" s="187"/>
      <c r="AE201" s="182"/>
      <c r="AF201" s="188"/>
      <c r="AG201" s="184"/>
      <c r="AH201" s="178"/>
      <c r="AI201" s="708"/>
      <c r="AJ201" s="718"/>
      <c r="AK201" s="182"/>
      <c r="AL201" s="194"/>
      <c r="AM201" s="184"/>
      <c r="AN201" s="178"/>
      <c r="AO201" s="708"/>
      <c r="AP201" s="718"/>
      <c r="AR201" s="431">
        <f t="shared" si="0"/>
        <v>0.98826765835389963</v>
      </c>
      <c r="AS201" s="432">
        <f t="shared" si="1"/>
        <v>0.84189204820149544</v>
      </c>
      <c r="AT201" s="428">
        <f t="shared" si="2"/>
        <v>0.87831685267523607</v>
      </c>
      <c r="AU201" s="429">
        <f t="shared" si="3"/>
        <v>199.99999994442015</v>
      </c>
      <c r="AV201" s="430">
        <f t="shared" si="4"/>
        <v>0.97162862518401094</v>
      </c>
      <c r="AW201" s="430">
        <f t="shared" si="5"/>
        <v>9.8775305274112324E-2</v>
      </c>
      <c r="AX201" s="806">
        <f t="shared" si="6"/>
        <v>1.1230513670759655E-8</v>
      </c>
    </row>
    <row r="202" spans="2:50" ht="10.5" customHeight="1" x14ac:dyDescent="0.2">
      <c r="B202" s="175">
        <v>30243</v>
      </c>
      <c r="C202" s="775">
        <f>C404/27</f>
        <v>0.62962962962962965</v>
      </c>
      <c r="D202" s="177">
        <f>D404/27</f>
        <v>267.77777777777777</v>
      </c>
      <c r="E202" s="435">
        <f>ND代替値*2.71828^(-(0.69315/2.062)*(B202-調査開始日)/365.25)</f>
        <v>1.4612780357014323E-2</v>
      </c>
      <c r="F202" s="178">
        <f>(E404/27*1000)/1000</f>
        <v>0.15185185185185185</v>
      </c>
      <c r="G202" s="178"/>
      <c r="H202" s="179"/>
      <c r="I202" s="186"/>
      <c r="J202" s="498"/>
      <c r="K202" s="175">
        <v>30243</v>
      </c>
      <c r="L202" s="433">
        <f>ND代替値2</f>
        <v>0.20499999999999999</v>
      </c>
      <c r="M202" s="177">
        <f>I404/27</f>
        <v>302.96296296296299</v>
      </c>
      <c r="N202" s="435">
        <f>ND代替値2*2.71828^(-(0.69315/2.062)*(B202-調査開始日)/365.25)</f>
        <v>1.4247460848088965E-2</v>
      </c>
      <c r="O202" s="708">
        <f>(J404/27*1000)/1000</f>
        <v>0.13333333333333333</v>
      </c>
      <c r="P202" s="718"/>
      <c r="Q202" s="441"/>
      <c r="R202" s="177"/>
      <c r="S202" s="178"/>
      <c r="T202" s="708"/>
      <c r="U202" s="718"/>
      <c r="V202" s="182">
        <v>30252</v>
      </c>
      <c r="W202" s="183"/>
      <c r="X202" s="184"/>
      <c r="Y202" s="178"/>
      <c r="Z202" s="178"/>
      <c r="AA202" s="178"/>
      <c r="AB202" s="185"/>
      <c r="AC202" s="186"/>
      <c r="AD202" s="187"/>
      <c r="AE202" s="182">
        <v>30252</v>
      </c>
      <c r="AF202" s="433">
        <f>ND代替値2</f>
        <v>0.17499999999999999</v>
      </c>
      <c r="AG202" s="184">
        <f>T404/27</f>
        <v>351.11111111111109</v>
      </c>
      <c r="AH202" s="435">
        <f>ND代替値2*2.71828^(-(0.69315/2.062)*(V202-調査開始日)/365.25)</f>
        <v>3.5143686347092133E-2</v>
      </c>
      <c r="AI202" s="708">
        <f>(U404/27*1000)/1000</f>
        <v>0.27777777777777779</v>
      </c>
      <c r="AJ202" s="718"/>
      <c r="AK202" s="182"/>
      <c r="AL202" s="188"/>
      <c r="AM202" s="184"/>
      <c r="AN202" s="178"/>
      <c r="AO202" s="708"/>
      <c r="AP202" s="718"/>
      <c r="AR202" s="431">
        <f t="shared" si="0"/>
        <v>0.97870915646891943</v>
      </c>
      <c r="AS202" s="432">
        <f t="shared" si="1"/>
        <v>0.73063901785071617</v>
      </c>
      <c r="AT202" s="428">
        <f t="shared" si="2"/>
        <v>0.11849961054230591</v>
      </c>
      <c r="AU202" s="429">
        <f t="shared" si="3"/>
        <v>199.9999998986485</v>
      </c>
      <c r="AV202" s="430">
        <f t="shared" si="4"/>
        <v>0.94886937826716788</v>
      </c>
      <c r="AW202" s="430">
        <f t="shared" si="5"/>
        <v>9.7778003343075945E-2</v>
      </c>
      <c r="AX202" s="806">
        <f t="shared" si="6"/>
        <v>2.1242190956132701E-14</v>
      </c>
    </row>
    <row r="203" spans="2:50" ht="11.1" customHeight="1" x14ac:dyDescent="0.2">
      <c r="B203" s="175">
        <v>30272</v>
      </c>
      <c r="C203" s="433">
        <f>ND代替値</f>
        <v>0.18518518518518517</v>
      </c>
      <c r="D203" s="177">
        <f>D405/27</f>
        <v>349.62962962962962</v>
      </c>
      <c r="E203" s="435">
        <f>ND代替値*2.71828^(-(0.69315/2.062)*(B203-調査開始日)/365.25)</f>
        <v>1.4227926211989619E-2</v>
      </c>
      <c r="F203" s="178">
        <f>(E405/27*1000)/1000</f>
        <v>0.18518518518518517</v>
      </c>
      <c r="G203" s="178"/>
      <c r="H203" s="179"/>
      <c r="I203" s="186"/>
      <c r="J203" s="498"/>
      <c r="K203" s="175">
        <v>30272</v>
      </c>
      <c r="L203" s="433">
        <f>ND代替値2</f>
        <v>0.20499999999999999</v>
      </c>
      <c r="M203" s="177">
        <f>I405/27</f>
        <v>339.62962962962962</v>
      </c>
      <c r="N203" s="435">
        <f>ND代替値2*2.71828^(-(0.69315/2.062)*(B203-調査開始日)/365.25)</f>
        <v>1.3872228056689879E-2</v>
      </c>
      <c r="O203" s="708">
        <f>(J405/27*1000)/1000</f>
        <v>0.18148148148148149</v>
      </c>
      <c r="P203" s="718"/>
      <c r="Q203" s="441"/>
      <c r="R203" s="177"/>
      <c r="S203" s="178"/>
      <c r="T203" s="708"/>
      <c r="U203" s="718"/>
      <c r="V203" s="182"/>
      <c r="W203" s="183"/>
      <c r="X203" s="184"/>
      <c r="Y203" s="178"/>
      <c r="Z203" s="178"/>
      <c r="AA203" s="178"/>
      <c r="AB203" s="185"/>
      <c r="AC203" s="186"/>
      <c r="AD203" s="187"/>
      <c r="AE203" s="182"/>
      <c r="AF203" s="188"/>
      <c r="AG203" s="184"/>
      <c r="AH203" s="178"/>
      <c r="AI203" s="708"/>
      <c r="AJ203" s="718"/>
      <c r="AK203" s="182"/>
      <c r="AL203" s="188"/>
      <c r="AM203" s="184"/>
      <c r="AN203" s="178"/>
      <c r="AO203" s="708"/>
      <c r="AP203" s="718"/>
      <c r="AR203" s="431">
        <f t="shared" si="0"/>
        <v>0.97691954989129837</v>
      </c>
      <c r="AS203" s="432">
        <f t="shared" si="1"/>
        <v>0.71139631059948094</v>
      </c>
      <c r="AT203" s="436">
        <f t="shared" si="2"/>
        <v>8.1263987298315576E-2</v>
      </c>
      <c r="AU203" s="429">
        <f t="shared" si="3"/>
        <v>199.99999989002916</v>
      </c>
      <c r="AV203" s="430">
        <f t="shared" si="4"/>
        <v>0.94464357576379798</v>
      </c>
      <c r="AW203" s="430">
        <f t="shared" si="5"/>
        <v>9.7591329457875076E-2</v>
      </c>
      <c r="AX203" s="806">
        <f t="shared" si="6"/>
        <v>1.7760443042491722E-15</v>
      </c>
    </row>
    <row r="204" spans="2:50" ht="11.1" customHeight="1" x14ac:dyDescent="0.2">
      <c r="B204" s="182">
        <v>30402</v>
      </c>
      <c r="C204" s="183"/>
      <c r="D204" s="177"/>
      <c r="E204" s="178"/>
      <c r="F204" s="178"/>
      <c r="G204" s="178"/>
      <c r="H204" s="179"/>
      <c r="I204" s="186"/>
      <c r="J204" s="498"/>
      <c r="K204" s="182">
        <v>30402</v>
      </c>
      <c r="L204" s="441"/>
      <c r="M204" s="177"/>
      <c r="N204" s="178"/>
      <c r="O204" s="708"/>
      <c r="P204" s="718"/>
      <c r="Q204" s="441"/>
      <c r="R204" s="177"/>
      <c r="S204" s="178"/>
      <c r="T204" s="708"/>
      <c r="U204" s="718"/>
      <c r="V204" s="182">
        <v>30340</v>
      </c>
      <c r="W204" s="183"/>
      <c r="X204" s="184"/>
      <c r="Y204" s="178"/>
      <c r="Z204" s="178"/>
      <c r="AA204" s="178"/>
      <c r="AB204" s="185"/>
      <c r="AC204" s="186"/>
      <c r="AD204" s="187"/>
      <c r="AE204" s="182">
        <v>30340</v>
      </c>
      <c r="AF204" s="433">
        <f>ND代替値2</f>
        <v>0.17499999999999999</v>
      </c>
      <c r="AG204" s="184">
        <f>T406/27</f>
        <v>350.37037037037038</v>
      </c>
      <c r="AH204" s="435">
        <f>ND代替値2*2.71828^(-(0.69315/2.062)*(V204-調査開始日)/365.25)</f>
        <v>3.2409614029171932E-2</v>
      </c>
      <c r="AI204" s="709">
        <f>ND代替値2*2.71828^(-(0.69315/30.07)*(V204-調査開始日)/365.25)</f>
        <v>4.7177698577594913E-2</v>
      </c>
      <c r="AJ204" s="718"/>
      <c r="AK204" s="182"/>
      <c r="AL204" s="194"/>
      <c r="AM204" s="184"/>
      <c r="AN204" s="178"/>
      <c r="AO204" s="708"/>
      <c r="AP204" s="718"/>
      <c r="AR204" s="431">
        <f t="shared" si="0"/>
        <v>0.9689373041883742</v>
      </c>
      <c r="AS204" s="432">
        <f t="shared" si="1"/>
        <v>0.63117650222571675</v>
      </c>
      <c r="AT204" s="436">
        <f t="shared" si="2"/>
        <v>1.498090363011808E-2</v>
      </c>
      <c r="AU204" s="429">
        <f t="shared" si="3"/>
        <v>199.99999985139075</v>
      </c>
      <c r="AV204" s="430">
        <f t="shared" si="4"/>
        <v>0.9259304045434803</v>
      </c>
      <c r="AW204" s="430">
        <f t="shared" si="5"/>
        <v>9.6758885454801644E-2</v>
      </c>
      <c r="AX204" s="806">
        <f t="shared" si="6"/>
        <v>2.6192732305817791E-20</v>
      </c>
    </row>
    <row r="205" spans="2:50" ht="11.1" customHeight="1" x14ac:dyDescent="0.2">
      <c r="B205" s="175">
        <v>30594</v>
      </c>
      <c r="C205" s="433">
        <f>ND代替値</f>
        <v>0.18518518518518517</v>
      </c>
      <c r="D205" s="177">
        <f t="shared" ref="D205:D210" si="7">D407/27</f>
        <v>281.85185185185185</v>
      </c>
      <c r="E205" s="435">
        <f>ND代替値*2.71828^(-(0.69315/2.062)*(B205-調査開始日)/365.25)</f>
        <v>1.0578856688753505E-2</v>
      </c>
      <c r="F205" s="178">
        <f t="shared" ref="F205:F210" si="8">(E407/27*1000)/1000</f>
        <v>0.16666666666666666</v>
      </c>
      <c r="G205" s="178"/>
      <c r="H205" s="179"/>
      <c r="I205" s="186"/>
      <c r="J205" s="498"/>
      <c r="K205" s="175">
        <v>30594</v>
      </c>
      <c r="L205" s="441"/>
      <c r="M205" s="177"/>
      <c r="N205" s="178"/>
      <c r="O205" s="708"/>
      <c r="P205" s="718"/>
      <c r="Q205" s="441"/>
      <c r="R205" s="177"/>
      <c r="S205" s="178"/>
      <c r="T205" s="708"/>
      <c r="U205" s="718"/>
      <c r="V205" s="182">
        <v>30607</v>
      </c>
      <c r="W205" s="433">
        <f>ND代替値</f>
        <v>0.17499999999999999</v>
      </c>
      <c r="X205" s="184">
        <f>O407/27</f>
        <v>337.03703703703701</v>
      </c>
      <c r="Y205" s="435">
        <f>ND代替値*2.71828^(-(0.69315/2.062)*(V205-調査開始日)/365.25)</f>
        <v>1.0191715006744003E-2</v>
      </c>
      <c r="Z205" s="195">
        <f>(P407/27*1000)/1000</f>
        <v>0.20370370370370369</v>
      </c>
      <c r="AA205" s="178"/>
      <c r="AB205" s="185"/>
      <c r="AC205" s="186"/>
      <c r="AD205" s="187"/>
      <c r="AE205" s="182">
        <v>30607</v>
      </c>
      <c r="AF205" s="433">
        <f>ND代替値2</f>
        <v>0.17499999999999999</v>
      </c>
      <c r="AG205" s="184">
        <f>T407/27</f>
        <v>333.33333333333331</v>
      </c>
      <c r="AH205" s="435">
        <f>ND代替値2*2.71828^(-(0.69315/2.062)*(V205-調査開始日)/365.25)</f>
        <v>2.5348624503953036E-2</v>
      </c>
      <c r="AI205" s="708">
        <f>(U407/27*1000)/1000</f>
        <v>0.22962962962962963</v>
      </c>
      <c r="AJ205" s="718"/>
      <c r="AK205" s="182">
        <v>30630</v>
      </c>
      <c r="AL205" s="196">
        <f>V407/27</f>
        <v>1.4444444444444444</v>
      </c>
      <c r="AM205" s="184">
        <f>W407/27</f>
        <v>240.37037037037038</v>
      </c>
      <c r="AN205" s="435">
        <f>ND代替値2*2.71828^(-(0.69315/2.062)*(AK205-調査開始日)/365.25)</f>
        <v>1.0234098509666065E-2</v>
      </c>
      <c r="AO205" s="708">
        <f>(X407/27*1000)/1000</f>
        <v>0.18888888888888888</v>
      </c>
      <c r="AP205" s="718"/>
      <c r="AR205" s="431">
        <f t="shared" si="0"/>
        <v>0.95726728379701775</v>
      </c>
      <c r="AS205" s="432">
        <f t="shared" si="1"/>
        <v>0.5289428344376752</v>
      </c>
      <c r="AT205" s="436">
        <f t="shared" si="2"/>
        <v>1.2329475621061701E-3</v>
      </c>
      <c r="AU205" s="429">
        <f t="shared" si="3"/>
        <v>199.99999979432479</v>
      </c>
      <c r="AV205" s="430">
        <f t="shared" si="4"/>
        <v>0.89896840775431253</v>
      </c>
      <c r="AW205" s="430">
        <f t="shared" si="5"/>
        <v>9.5542399973265205E-2</v>
      </c>
      <c r="AX205" s="806">
        <f t="shared" si="6"/>
        <v>1.9176185990694435E-27</v>
      </c>
    </row>
    <row r="206" spans="2:50" ht="11.1" customHeight="1" x14ac:dyDescent="0.2">
      <c r="B206" s="175">
        <v>30649</v>
      </c>
      <c r="C206" s="176">
        <f>C408/27</f>
        <v>0.88888888888888884</v>
      </c>
      <c r="D206" s="177">
        <f t="shared" si="7"/>
        <v>562.96296296296293</v>
      </c>
      <c r="E206" s="435">
        <f t="shared" ref="E206:E210" si="9">ND代替値*2.71828^(-(0.69315/2.062)*(B206-調査開始日)/365.25)</f>
        <v>1.0056696047677409E-2</v>
      </c>
      <c r="F206" s="178">
        <f t="shared" si="8"/>
        <v>0.17037037037037034</v>
      </c>
      <c r="G206" s="178"/>
      <c r="H206" s="179"/>
      <c r="I206" s="186"/>
      <c r="J206" s="498"/>
      <c r="K206" s="175">
        <v>30649</v>
      </c>
      <c r="L206" s="442">
        <f>H408/27</f>
        <v>1.1481481481481481</v>
      </c>
      <c r="M206" s="177">
        <f>I408/27</f>
        <v>555.55555555555554</v>
      </c>
      <c r="N206" s="435">
        <f>ND代替値2*2.71828^(-(0.69315/2.062)*(B206-調査開始日)/365.25)</f>
        <v>9.8052786464854734E-3</v>
      </c>
      <c r="O206" s="708">
        <f>(J408/27*1000)/1000</f>
        <v>0.2074074074074074</v>
      </c>
      <c r="P206" s="718"/>
      <c r="Q206" s="433">
        <f>ND代替値</f>
        <v>0.215</v>
      </c>
      <c r="R206" s="177">
        <f>L408/27</f>
        <v>570.37037037037032</v>
      </c>
      <c r="S206" s="435">
        <f>ND代替値*2.71828^(-(0.69315/2.062)*(B206-調査開始日)/365.25)</f>
        <v>1.1816617856020955E-2</v>
      </c>
      <c r="T206" s="708">
        <f>(M408/27*1000)/1000</f>
        <v>0.20370370370370369</v>
      </c>
      <c r="U206" s="718"/>
      <c r="V206" s="182"/>
      <c r="W206" s="183"/>
      <c r="X206" s="184"/>
      <c r="Y206" s="178"/>
      <c r="Z206" s="178"/>
      <c r="AA206" s="178"/>
      <c r="AB206" s="185"/>
      <c r="AC206" s="186"/>
      <c r="AD206" s="187"/>
      <c r="AE206" s="182"/>
      <c r="AF206" s="188"/>
      <c r="AG206" s="184"/>
      <c r="AH206" s="178"/>
      <c r="AI206" s="708"/>
      <c r="AJ206" s="718"/>
      <c r="AK206" s="182"/>
      <c r="AL206" s="188"/>
      <c r="AM206" s="184"/>
      <c r="AN206" s="178"/>
      <c r="AO206" s="708"/>
      <c r="AP206" s="718"/>
      <c r="AR206" s="431">
        <f t="shared" si="0"/>
        <v>0.95395028228948797</v>
      </c>
      <c r="AS206" s="432">
        <f t="shared" si="1"/>
        <v>0.50283480238387046</v>
      </c>
      <c r="AT206" s="436">
        <f t="shared" si="2"/>
        <v>6.0291180489733002E-4</v>
      </c>
      <c r="AU206" s="429">
        <f t="shared" si="3"/>
        <v>199.99999977797779</v>
      </c>
      <c r="AV206" s="430">
        <f t="shared" si="4"/>
        <v>0.89139059518578578</v>
      </c>
      <c r="AW206" s="430">
        <f t="shared" si="5"/>
        <v>9.5196754101951775E-2</v>
      </c>
      <c r="AX206" s="806">
        <f t="shared" si="6"/>
        <v>1.7328545928947017E-29</v>
      </c>
    </row>
    <row r="207" spans="2:50" ht="11.1" customHeight="1" x14ac:dyDescent="0.2">
      <c r="B207" s="175">
        <v>30733</v>
      </c>
      <c r="C207" s="433">
        <f>ND代替値</f>
        <v>0.18518518518518517</v>
      </c>
      <c r="D207" s="177">
        <f t="shared" si="7"/>
        <v>385.18518518518516</v>
      </c>
      <c r="E207" s="435">
        <f t="shared" si="9"/>
        <v>9.3085205620326347E-3</v>
      </c>
      <c r="F207" s="178">
        <f t="shared" si="8"/>
        <v>7.407407407407407E-2</v>
      </c>
      <c r="G207" s="178"/>
      <c r="H207" s="437">
        <f>ND代替値*2.71828^(-(0.69315/28.799)*(B207-調査開始日)/365.25)</f>
        <v>9.4671270320945081E-3</v>
      </c>
      <c r="I207" s="186">
        <v>1.2</v>
      </c>
      <c r="J207" s="203">
        <f>ND代替値</f>
        <v>5.0000000000000001E-3</v>
      </c>
      <c r="K207" s="175">
        <v>30733</v>
      </c>
      <c r="L207" s="433">
        <f>ND代替値2</f>
        <v>0.20499999999999999</v>
      </c>
      <c r="M207" s="177">
        <f>I409/27</f>
        <v>334.44444444444446</v>
      </c>
      <c r="N207" s="435">
        <f>ND代替値2*2.71828^(-(0.69315/2.062)*(B207-調査開始日)/365.25)</f>
        <v>9.0758075479818196E-3</v>
      </c>
      <c r="O207" s="708">
        <f>(J409/27*1000)/1000</f>
        <v>8.5185185185185169E-2</v>
      </c>
      <c r="P207" s="718"/>
      <c r="Q207" s="433">
        <f>ND代替値</f>
        <v>0.215</v>
      </c>
      <c r="R207" s="177">
        <f>L409/27</f>
        <v>418.51851851851853</v>
      </c>
      <c r="S207" s="435">
        <f>ND代替値*2.71828^(-(0.69315/2.062)*(B207-調査開始日)/365.25)</f>
        <v>1.0937511660388347E-2</v>
      </c>
      <c r="T207" s="708">
        <f>(M409/27*1000)/1000</f>
        <v>9.6296296296296297E-2</v>
      </c>
      <c r="U207" s="718"/>
      <c r="V207" s="182">
        <v>30694</v>
      </c>
      <c r="W207" s="433">
        <f>ND代替値</f>
        <v>0.17499999999999999</v>
      </c>
      <c r="X207" s="184">
        <f>O409/27</f>
        <v>418.51851851851853</v>
      </c>
      <c r="Y207" s="435">
        <f>ND代替値*2.71828^(-(0.69315/2.062)*(V207-調査開始日)/365.25)</f>
        <v>9.4074845549530946E-3</v>
      </c>
      <c r="Z207" s="195">
        <f>(P409/27*1000)/1000</f>
        <v>0.22962962962962963</v>
      </c>
      <c r="AA207" s="178"/>
      <c r="AB207" s="185"/>
      <c r="AC207" s="186"/>
      <c r="AD207" s="187"/>
      <c r="AE207" s="182">
        <v>30694</v>
      </c>
      <c r="AF207" s="433">
        <f>ND代替値2</f>
        <v>0.17499999999999999</v>
      </c>
      <c r="AG207" s="184">
        <f>T409/27</f>
        <v>451.85185185185185</v>
      </c>
      <c r="AH207" s="435">
        <f>ND代替値2*2.71828^(-(0.69315/2.062)*(V207-調査開始日)/365.25)</f>
        <v>2.3398102611037187E-2</v>
      </c>
      <c r="AI207" s="708">
        <f>(U409/27*1000)/1000</f>
        <v>0.21481481481481482</v>
      </c>
      <c r="AJ207" s="718"/>
      <c r="AK207" s="182"/>
      <c r="AL207" s="194"/>
      <c r="AM207" s="184"/>
      <c r="AN207" s="178"/>
      <c r="AO207" s="708"/>
      <c r="AP207" s="718"/>
      <c r="AR207" s="432">
        <f t="shared" si="0"/>
        <v>0.94890648463861604</v>
      </c>
      <c r="AS207" s="432">
        <f t="shared" si="1"/>
        <v>0.46542602810163175</v>
      </c>
      <c r="AT207" s="436">
        <f t="shared" si="2"/>
        <v>2.021827843329389E-4</v>
      </c>
      <c r="AU207" s="429">
        <f t="shared" si="3"/>
        <v>199.99999975301142</v>
      </c>
      <c r="AV207" s="430">
        <f t="shared" si="4"/>
        <v>0.87994030287912306</v>
      </c>
      <c r="AW207" s="436">
        <f t="shared" si="5"/>
        <v>9.4671270320945078E-2</v>
      </c>
      <c r="AX207" s="806">
        <f t="shared" si="6"/>
        <v>1.3092316539270262E-32</v>
      </c>
    </row>
    <row r="208" spans="2:50" ht="11.1" customHeight="1" x14ac:dyDescent="0.2">
      <c r="B208" s="175">
        <v>30812</v>
      </c>
      <c r="C208" s="433">
        <f>ND代替値</f>
        <v>0.18518518518518517</v>
      </c>
      <c r="D208" s="177">
        <f t="shared" si="7"/>
        <v>292.22222222222223</v>
      </c>
      <c r="E208" s="435">
        <f t="shared" si="9"/>
        <v>8.6557457734116727E-3</v>
      </c>
      <c r="F208" s="178">
        <f t="shared" si="8"/>
        <v>6.6666666666666666E-2</v>
      </c>
      <c r="G208" s="178"/>
      <c r="H208" s="179"/>
      <c r="I208" s="186"/>
      <c r="J208" s="498"/>
      <c r="K208" s="175">
        <v>30812</v>
      </c>
      <c r="L208" s="442">
        <f>H410/27</f>
        <v>0.96296296296296291</v>
      </c>
      <c r="M208" s="177">
        <f>I410/27</f>
        <v>283.33333333333331</v>
      </c>
      <c r="N208" s="435">
        <f>ND代替値2*2.71828^(-(0.69315/2.062)*(B208-調査開始日)/365.25)</f>
        <v>8.4393521290763805E-3</v>
      </c>
      <c r="O208" s="708">
        <f>(J410/27*1000)/1000</f>
        <v>7.0370370370370361E-2</v>
      </c>
      <c r="P208" s="718"/>
      <c r="Q208" s="442">
        <f>K410/27</f>
        <v>0.7407407407407407</v>
      </c>
      <c r="R208" s="177">
        <f>L410/27</f>
        <v>279.25925925925924</v>
      </c>
      <c r="S208" s="435">
        <f>ND代替値*2.71828^(-(0.69315/2.062)*(B208-調査開始日)/365.25)</f>
        <v>1.0170501283758715E-2</v>
      </c>
      <c r="T208" s="708">
        <f>(M410/27*1000)/1000</f>
        <v>7.0370370370370361E-2</v>
      </c>
      <c r="U208" s="718"/>
      <c r="V208" s="182">
        <v>30799</v>
      </c>
      <c r="W208" s="433">
        <f>ND代替値</f>
        <v>0.17499999999999999</v>
      </c>
      <c r="X208" s="184">
        <f>O410/27</f>
        <v>322.22222222222223</v>
      </c>
      <c r="Y208" s="435">
        <f>ND代替値*2.71828^(-(0.69315/2.062)*(V208-調査開始日)/365.25)</f>
        <v>8.5409304757678248E-3</v>
      </c>
      <c r="Z208" s="195">
        <f>(P410/27*1000)/1000</f>
        <v>0.2</v>
      </c>
      <c r="AA208" s="178"/>
      <c r="AB208" s="437">
        <f>ND代替値*2.71828^(-(0.69315/28.799)*(V208-調査開始日)/365.25)</f>
        <v>8.4834383320072752E-3</v>
      </c>
      <c r="AC208" s="186">
        <v>1.7</v>
      </c>
      <c r="AD208" s="187">
        <f>R410/27</f>
        <v>3.7037037037037035E-2</v>
      </c>
      <c r="AE208" s="182">
        <v>30799</v>
      </c>
      <c r="AF208" s="433">
        <f>ND代替値2</f>
        <v>0.17499999999999999</v>
      </c>
      <c r="AG208" s="184">
        <f>T410/27</f>
        <v>314.81481481481484</v>
      </c>
      <c r="AH208" s="435">
        <f>ND代替値2*2.71828^(-(0.69315/2.062)*(V208-調査開始日)/365.25)</f>
        <v>2.1242827080755873E-2</v>
      </c>
      <c r="AI208" s="709">
        <f>ND代替値2*2.71828^(-(0.69315/30.07)*(V208-調査開始日)/365.25)</f>
        <v>4.5830667487032482E-2</v>
      </c>
      <c r="AJ208" s="718"/>
      <c r="AK208" s="182"/>
      <c r="AL208" s="188"/>
      <c r="AM208" s="184"/>
      <c r="AN208" s="178"/>
      <c r="AO208" s="708"/>
      <c r="AP208" s="718"/>
      <c r="AR208" s="432">
        <f t="shared" si="0"/>
        <v>0.94418724971767631</v>
      </c>
      <c r="AS208" s="432">
        <f t="shared" si="1"/>
        <v>0.43278728867058358</v>
      </c>
      <c r="AT208" s="436">
        <f t="shared" si="2"/>
        <v>7.2356771157715372E-5</v>
      </c>
      <c r="AU208" s="429">
        <f t="shared" si="3"/>
        <v>199.9999997295312</v>
      </c>
      <c r="AV208" s="430">
        <f t="shared" si="4"/>
        <v>0.86930582187697347</v>
      </c>
      <c r="AW208" s="436">
        <f t="shared" si="5"/>
        <v>9.4179712435841625E-2</v>
      </c>
      <c r="AX208" s="806">
        <f t="shared" si="6"/>
        <v>1.5173615121862025E-35</v>
      </c>
    </row>
    <row r="209" spans="1:51" ht="11.1" customHeight="1" x14ac:dyDescent="0.2">
      <c r="B209" s="175">
        <v>30901</v>
      </c>
      <c r="C209" s="433">
        <f>ND代替値</f>
        <v>0.18518518518518517</v>
      </c>
      <c r="D209" s="177">
        <f t="shared" si="7"/>
        <v>306.2962962962963</v>
      </c>
      <c r="E209" s="435">
        <f t="shared" si="9"/>
        <v>7.975011881001819E-3</v>
      </c>
      <c r="F209" s="178">
        <f t="shared" si="8"/>
        <v>0.12592592592592591</v>
      </c>
      <c r="G209" s="178"/>
      <c r="H209" s="179">
        <f>F411/27</f>
        <v>6.2962962962962957E-2</v>
      </c>
      <c r="I209" s="200">
        <v>2</v>
      </c>
      <c r="J209" s="181">
        <f>H209/I209</f>
        <v>3.1481481481481478E-2</v>
      </c>
      <c r="K209" s="175">
        <v>30901</v>
      </c>
      <c r="L209" s="433">
        <f>ND代替値2</f>
        <v>0.20499999999999999</v>
      </c>
      <c r="M209" s="177">
        <f>I411/27</f>
        <v>208.88888888888889</v>
      </c>
      <c r="N209" s="435">
        <f>ND代替値2*2.71828^(-(0.69315/2.062)*(B209-調査開始日)/365.25)</f>
        <v>7.775636583976773E-3</v>
      </c>
      <c r="O209" s="708">
        <f>(J411/27*1000)/1000</f>
        <v>7.407407407407407E-2</v>
      </c>
      <c r="P209" s="718"/>
      <c r="Q209" s="293">
        <f>ND代替値</f>
        <v>0.215</v>
      </c>
      <c r="R209" s="177">
        <f>L411/27</f>
        <v>197.03703703703704</v>
      </c>
      <c r="S209" s="435">
        <f>ND代替値*2.71828^(-(0.69315/2.062)*(B209-調査開始日)/365.25)</f>
        <v>9.370638960177138E-3</v>
      </c>
      <c r="T209" s="708">
        <f>(M411/27*1000)/1000</f>
        <v>7.0370370370370361E-2</v>
      </c>
      <c r="U209" s="718"/>
      <c r="V209" s="182">
        <v>30866</v>
      </c>
      <c r="W209" s="433">
        <f>ND代替値</f>
        <v>0.17499999999999999</v>
      </c>
      <c r="X209" s="184">
        <f>O411/27</f>
        <v>332.59259259259261</v>
      </c>
      <c r="Y209" s="435">
        <f>ND代替値*2.71828^(-(0.69315/2.062)*(V209-調査開始日)/365.25)</f>
        <v>8.0301821555324258E-3</v>
      </c>
      <c r="Z209" s="197"/>
      <c r="AA209" s="178"/>
      <c r="AB209" s="199"/>
      <c r="AC209" s="200"/>
      <c r="AD209" s="201"/>
      <c r="AE209" s="182">
        <v>30866</v>
      </c>
      <c r="AF209" s="433">
        <f>ND代替値2</f>
        <v>0.17499999999999999</v>
      </c>
      <c r="AG209" s="184">
        <f>T411/27</f>
        <v>364.07407407407408</v>
      </c>
      <c r="AH209" s="435">
        <f>ND代替値2*2.71828^(-(0.69315/2.062)*(V209-調査開始日)/365.25)</f>
        <v>1.9972504335555006E-2</v>
      </c>
      <c r="AI209" s="709">
        <f>ND代替値2*2.71828^(-(0.69315/30.07)*(V209-調査開始日)/365.25)</f>
        <v>4.5637285329285647E-2</v>
      </c>
      <c r="AJ209" s="718"/>
      <c r="AK209" s="182"/>
      <c r="AL209" s="188"/>
      <c r="AM209" s="184"/>
      <c r="AN209" s="178"/>
      <c r="AO209" s="708"/>
      <c r="AP209" s="718"/>
      <c r="AR209" s="432">
        <f t="shared" si="0"/>
        <v>0.93889875217450547</v>
      </c>
      <c r="AS209" s="432">
        <f t="shared" si="1"/>
        <v>0.39875059405009095</v>
      </c>
      <c r="AT209" s="436">
        <f t="shared" si="2"/>
        <v>2.2736569798874642E-5</v>
      </c>
      <c r="AU209" s="429">
        <f t="shared" si="3"/>
        <v>199.99999970307874</v>
      </c>
      <c r="AV209" s="430">
        <f t="shared" si="4"/>
        <v>0.8574790805726642</v>
      </c>
      <c r="AW209" s="436">
        <f t="shared" si="5"/>
        <v>9.3628988720669534E-2</v>
      </c>
      <c r="AX209" s="806">
        <f t="shared" si="6"/>
        <v>7.4735207934491748E-39</v>
      </c>
    </row>
    <row r="210" spans="1:51" ht="11.1" customHeight="1" x14ac:dyDescent="0.2">
      <c r="B210" s="175">
        <v>30994</v>
      </c>
      <c r="C210" s="176">
        <f>C412/27</f>
        <v>0.7407407407407407</v>
      </c>
      <c r="D210" s="177">
        <f t="shared" si="7"/>
        <v>355.55555555555554</v>
      </c>
      <c r="E210" s="435">
        <f t="shared" si="9"/>
        <v>7.3208143172718686E-3</v>
      </c>
      <c r="F210" s="178">
        <f t="shared" si="8"/>
        <v>0.14444444444444443</v>
      </c>
      <c r="G210" s="178"/>
      <c r="H210" s="179">
        <f>F412/27</f>
        <v>5.5555555555555552E-2</v>
      </c>
      <c r="I210" s="200">
        <v>1.5</v>
      </c>
      <c r="J210" s="181">
        <f>H210/I210</f>
        <v>3.7037037037037035E-2</v>
      </c>
      <c r="K210" s="175">
        <v>30994</v>
      </c>
      <c r="L210" s="433">
        <f>ND代替値2</f>
        <v>0.20499999999999999</v>
      </c>
      <c r="M210" s="177">
        <f>I412/27</f>
        <v>350.37037037037038</v>
      </c>
      <c r="N210" s="435">
        <f>ND代替値2*2.71828^(-(0.69315/2.062)*(B210-調査開始日)/365.25)</f>
        <v>7.1377939593400717E-3</v>
      </c>
      <c r="O210" s="708">
        <f>(J412/27*1000)/1000</f>
        <v>0.162962962962963</v>
      </c>
      <c r="P210" s="718"/>
      <c r="Q210" s="442">
        <f>K412/27</f>
        <v>0.48148148148148145</v>
      </c>
      <c r="R210" s="177">
        <f>L412/27</f>
        <v>374.07407407407408</v>
      </c>
      <c r="S210" s="435">
        <f>ND代替値*2.71828^(-(0.69315/2.062)*(B210-調査開始日)/365.25)</f>
        <v>8.6019568227944463E-3</v>
      </c>
      <c r="T210" s="708">
        <f>(M412/27*1000)/1000</f>
        <v>0.13703703703703704</v>
      </c>
      <c r="U210" s="718"/>
      <c r="V210" s="182">
        <v>30959</v>
      </c>
      <c r="W210" s="433">
        <f>ND代替値</f>
        <v>0.17499999999999999</v>
      </c>
      <c r="X210" s="184">
        <f>O412/27</f>
        <v>282.59259259259261</v>
      </c>
      <c r="Y210" s="435">
        <f>ND代替値*2.71828^(-(0.69315/2.062)*(V210-調査開始日)/365.25)</f>
        <v>7.3714589234114081E-3</v>
      </c>
      <c r="Z210" s="195">
        <f>(P412/27*1000)/1000</f>
        <v>0.17777777777777778</v>
      </c>
      <c r="AA210" s="178"/>
      <c r="AB210" s="185"/>
      <c r="AC210" s="186"/>
      <c r="AD210" s="187"/>
      <c r="AE210" s="182">
        <v>30959</v>
      </c>
      <c r="AF210" s="433">
        <f>ND代替値2</f>
        <v>0.17499999999999999</v>
      </c>
      <c r="AG210" s="184">
        <f>T412/27</f>
        <v>324.81481481481484</v>
      </c>
      <c r="AH210" s="435">
        <f>ND代替値2*2.71828^(-(0.69315/2.062)*(V210-調査開始日)/365.25)</f>
        <v>1.8334141424895041E-2</v>
      </c>
      <c r="AI210" s="709">
        <f>ND代替値2*2.71828^(-(0.69315/30.07)*(V210-調査開始日)/365.25)</f>
        <v>4.5370210994287952E-2</v>
      </c>
      <c r="AJ210" s="718"/>
      <c r="AK210" s="182"/>
      <c r="AL210" s="188"/>
      <c r="AM210" s="184"/>
      <c r="AN210" s="178"/>
      <c r="AO210" s="708"/>
      <c r="AP210" s="718"/>
      <c r="AR210" s="432">
        <f t="shared" si="0"/>
        <v>0.9334042150201175</v>
      </c>
      <c r="AS210" s="432">
        <f t="shared" si="1"/>
        <v>0.36604071586359344</v>
      </c>
      <c r="AT210" s="436">
        <f t="shared" si="2"/>
        <v>6.7822690556604277E-6</v>
      </c>
      <c r="AU210" s="429">
        <f t="shared" si="3"/>
        <v>199.99999967543741</v>
      </c>
      <c r="AV210" s="430">
        <f t="shared" si="4"/>
        <v>0.84529267549472364</v>
      </c>
      <c r="AW210" s="436">
        <f t="shared" si="5"/>
        <v>9.3056953837139703E-2</v>
      </c>
      <c r="AX210" s="806">
        <f t="shared" si="6"/>
        <v>2.614007785907913E-42</v>
      </c>
    </row>
    <row r="211" spans="1:51" ht="11.1" customHeight="1" x14ac:dyDescent="0.2">
      <c r="B211" s="175">
        <v>31061</v>
      </c>
      <c r="C211" s="198"/>
      <c r="D211" s="177"/>
      <c r="E211" s="178"/>
      <c r="F211" s="178"/>
      <c r="G211" s="178"/>
      <c r="H211" s="184"/>
      <c r="I211" s="184"/>
      <c r="J211" s="499"/>
      <c r="K211" s="175">
        <v>31061</v>
      </c>
      <c r="L211" s="442"/>
      <c r="M211" s="177"/>
      <c r="N211" s="178"/>
      <c r="O211" s="708"/>
      <c r="P211" s="718"/>
      <c r="Q211" s="441"/>
      <c r="R211" s="177"/>
      <c r="S211" s="178"/>
      <c r="T211" s="708"/>
      <c r="U211" s="718"/>
      <c r="V211" s="182"/>
      <c r="W211" s="183"/>
      <c r="X211" s="184"/>
      <c r="Y211" s="178"/>
      <c r="Z211" s="178"/>
      <c r="AA211" s="178"/>
      <c r="AB211" s="185"/>
      <c r="AC211" s="186"/>
      <c r="AD211" s="187"/>
      <c r="AE211" s="182"/>
      <c r="AF211" s="188"/>
      <c r="AG211" s="184"/>
      <c r="AH211" s="178"/>
      <c r="AI211" s="708"/>
      <c r="AJ211" s="718"/>
      <c r="AK211" s="182"/>
      <c r="AL211" s="188"/>
      <c r="AM211" s="184"/>
      <c r="AN211" s="178"/>
      <c r="AO211" s="708"/>
      <c r="AP211" s="718"/>
      <c r="AR211" s="432">
        <f t="shared" si="0"/>
        <v>0.9294657229350598</v>
      </c>
      <c r="AS211" s="432">
        <f t="shared" si="1"/>
        <v>0.34415145200697755</v>
      </c>
      <c r="AT211" s="436">
        <f t="shared" si="2"/>
        <v>2.8372467539679353E-6</v>
      </c>
      <c r="AU211" s="429">
        <f t="shared" si="3"/>
        <v>199.99999965552377</v>
      </c>
      <c r="AV211" s="430">
        <f t="shared" si="4"/>
        <v>0.83662069652166615</v>
      </c>
      <c r="AW211" s="436">
        <f t="shared" si="5"/>
        <v>9.2647009796043525E-2</v>
      </c>
      <c r="AX211" s="806">
        <f t="shared" si="6"/>
        <v>8.459469025744512E-45</v>
      </c>
    </row>
    <row r="212" spans="1:51" ht="11.1" customHeight="1" x14ac:dyDescent="0.2">
      <c r="B212" s="175">
        <v>31083</v>
      </c>
      <c r="C212" s="433">
        <f>ND代替値</f>
        <v>0.18518518518518517</v>
      </c>
      <c r="D212" s="177">
        <f>D414/27</f>
        <v>369.62962962962962</v>
      </c>
      <c r="E212" s="435">
        <f>ND代替値*2.71828^(-(0.69315/2.062)*(B212-調査開始日)/365.25)</f>
        <v>6.7450665358254171E-3</v>
      </c>
      <c r="F212" s="178">
        <f>(E414/27*1000)/1000</f>
        <v>6.2962962962962957E-2</v>
      </c>
      <c r="G212" s="178"/>
      <c r="H212" s="179"/>
      <c r="I212" s="186"/>
      <c r="J212" s="181"/>
      <c r="K212" s="175">
        <v>31083</v>
      </c>
      <c r="L212" s="433">
        <f>ND代替値2</f>
        <v>0.20499999999999999</v>
      </c>
      <c r="M212" s="177">
        <f>I414/27</f>
        <v>369.62962962962962</v>
      </c>
      <c r="N212" s="435">
        <f>ND代替値2*2.71828^(-(0.69315/2.062)*(B212-調査開始日)/365.25)</f>
        <v>6.5764398724297811E-3</v>
      </c>
      <c r="O212" s="708">
        <f>(J414/27*1000)/1000</f>
        <v>6.2962962962962957E-2</v>
      </c>
      <c r="P212" s="718"/>
      <c r="Q212" s="433">
        <f>ND代替値</f>
        <v>0.215</v>
      </c>
      <c r="R212" s="177">
        <f>L414/27</f>
        <v>400</v>
      </c>
      <c r="S212" s="435">
        <f>ND代替値*2.71828^(-(0.69315/2.062)*(B212-調査開始日)/365.25)</f>
        <v>7.9254531795948657E-3</v>
      </c>
      <c r="T212" s="708">
        <f>(M414/27*1000)/1000</f>
        <v>0.11851851851851852</v>
      </c>
      <c r="U212" s="718"/>
      <c r="V212" s="182">
        <v>31061</v>
      </c>
      <c r="W212" s="433">
        <f>ND代替値</f>
        <v>0.17499999999999999</v>
      </c>
      <c r="X212" s="184">
        <f>O414/27</f>
        <v>477.77777777777777</v>
      </c>
      <c r="Y212" s="435">
        <f>ND代替値*2.71828^(-(0.69315/2.062)*(V212-調査開始日)/365.25)</f>
        <v>6.7109533141360622E-3</v>
      </c>
      <c r="Z212" s="434">
        <f>ND代替値*2.71828^(-(0.69315/30.07)*(V212-調査開始日)/365.25)</f>
        <v>1.9983513043103786E-2</v>
      </c>
      <c r="AA212" s="178"/>
      <c r="AB212" s="199"/>
      <c r="AC212" s="200"/>
      <c r="AD212" s="201"/>
      <c r="AE212" s="182">
        <v>31061</v>
      </c>
      <c r="AF212" s="433">
        <f>ND代替値2</f>
        <v>0.17499999999999999</v>
      </c>
      <c r="AG212" s="184">
        <f>T414/27</f>
        <v>477.77777777777777</v>
      </c>
      <c r="AH212" s="435">
        <f>ND代替値2*2.71828^(-(0.69315/2.062)*(V212-調査開始日)/365.25)</f>
        <v>1.6691345422338411E-2</v>
      </c>
      <c r="AI212" s="708">
        <f>(U414/27*1000)/1000</f>
        <v>0.25925925925925924</v>
      </c>
      <c r="AJ212" s="718"/>
      <c r="AK212" s="182">
        <v>31085</v>
      </c>
      <c r="AL212" s="433">
        <f>ND代替値2</f>
        <v>0.21</v>
      </c>
      <c r="AM212" s="184">
        <f>W414/27</f>
        <v>392.59259259259261</v>
      </c>
      <c r="AN212" s="435">
        <f>ND代替値2*2.71828^(-(0.69315/2.062)*(AK212-調査開始日)/365.25)</f>
        <v>6.7326624533112405E-3</v>
      </c>
      <c r="AO212" s="709">
        <f>ND代替値2*2.71828^(-(0.69315/30.07)*(AK212-調査開始日)/365.25)</f>
        <v>1.8561179321570191E-2</v>
      </c>
      <c r="AP212" s="718"/>
      <c r="AR212" s="432">
        <f t="shared" si="0"/>
        <v>0.92817611445066439</v>
      </c>
      <c r="AS212" s="432">
        <f t="shared" si="1"/>
        <v>0.33725332679127085</v>
      </c>
      <c r="AT212" s="436">
        <f t="shared" si="2"/>
        <v>2.1311831817736904E-6</v>
      </c>
      <c r="AU212" s="429">
        <f t="shared" si="3"/>
        <v>199.99999964898495</v>
      </c>
      <c r="AV212" s="430">
        <f t="shared" si="4"/>
        <v>0.83379262850560032</v>
      </c>
      <c r="AW212" s="436">
        <f t="shared" si="5"/>
        <v>9.2512795546417601E-2</v>
      </c>
      <c r="AX212" s="806">
        <f t="shared" si="6"/>
        <v>1.2874876148712371E-45</v>
      </c>
    </row>
    <row r="213" spans="1:51" ht="11.1" customHeight="1" x14ac:dyDescent="0.2">
      <c r="B213" s="182">
        <v>31154</v>
      </c>
      <c r="C213" s="176">
        <f>C415/27</f>
        <v>2.2222222222222223</v>
      </c>
      <c r="D213" s="177">
        <f>D415/27</f>
        <v>392.59259259259261</v>
      </c>
      <c r="E213" s="435">
        <f>ND代替値*2.71828^(-(0.69315/2.062)*(B213-調査開始日)/365.25)</f>
        <v>6.3184078337600895E-3</v>
      </c>
      <c r="F213" s="178">
        <f>(E415/27*1000)/1000</f>
        <v>0.11851851851851852</v>
      </c>
      <c r="G213" s="178"/>
      <c r="H213" s="179"/>
      <c r="I213" s="186"/>
      <c r="J213" s="498"/>
      <c r="K213" s="182">
        <v>31154</v>
      </c>
      <c r="L213" s="442"/>
      <c r="M213" s="177"/>
      <c r="N213" s="178"/>
      <c r="O213" s="708"/>
      <c r="P213" s="718"/>
      <c r="Q213" s="441"/>
      <c r="R213" s="177"/>
      <c r="S213" s="178"/>
      <c r="T213" s="708"/>
      <c r="U213" s="718"/>
      <c r="V213" s="182">
        <v>31156</v>
      </c>
      <c r="W213" s="433">
        <f>ND代替値</f>
        <v>0.17499999999999999</v>
      </c>
      <c r="X213" s="184">
        <f>O415/27</f>
        <v>339.62962962962962</v>
      </c>
      <c r="Y213" s="435">
        <f>ND代替値*2.71828^(-(0.69315/2.062)*(V213-調査開始日)/365.25)</f>
        <v>6.1491186613345924E-3</v>
      </c>
      <c r="Z213" s="178">
        <f>(P415/27*1000)/1000</f>
        <v>0.10740740740740741</v>
      </c>
      <c r="AA213" s="178"/>
      <c r="AB213" s="185">
        <f>Q415/27</f>
        <v>9.6296296296296297E-2</v>
      </c>
      <c r="AC213" s="186">
        <v>1.6</v>
      </c>
      <c r="AD213" s="187">
        <f>R415/27</f>
        <v>5.9259259259259262E-2</v>
      </c>
      <c r="AE213" s="182">
        <v>31156</v>
      </c>
      <c r="AF213" s="204">
        <f>S415/27</f>
        <v>0.62962962962962965</v>
      </c>
      <c r="AG213" s="184">
        <f>T415/27</f>
        <v>297.03703703703701</v>
      </c>
      <c r="AH213" s="435">
        <f>ND代替値2*2.71828^(-(0.69315/2.062)*(V213-調査開始日)/365.25)</f>
        <v>1.5293961798703987E-2</v>
      </c>
      <c r="AI213" s="708">
        <f>(U415/27*1000)/1000</f>
        <v>0.1</v>
      </c>
      <c r="AJ213" s="718"/>
      <c r="AK213" s="182"/>
      <c r="AL213" s="188"/>
      <c r="AM213" s="184"/>
      <c r="AN213" s="178"/>
      <c r="AO213" s="708"/>
      <c r="AP213" s="718"/>
      <c r="AR213" s="432">
        <f t="shared" si="0"/>
        <v>0.92402638888911615</v>
      </c>
      <c r="AS213" s="432">
        <f t="shared" si="1"/>
        <v>0.31592039168800445</v>
      </c>
      <c r="AT213" s="436">
        <f t="shared" si="2"/>
        <v>8.4634450283974965E-7</v>
      </c>
      <c r="AU213" s="429">
        <f t="shared" si="3"/>
        <v>199.99999962788246</v>
      </c>
      <c r="AV213" s="430">
        <f t="shared" si="4"/>
        <v>0.82473072866659869</v>
      </c>
      <c r="AW213" s="436">
        <f t="shared" si="5"/>
        <v>9.208097440270846E-2</v>
      </c>
      <c r="AX213" s="806">
        <f t="shared" si="6"/>
        <v>2.9588621627072544E-48</v>
      </c>
    </row>
    <row r="214" spans="1:51" ht="11.1" customHeight="1" x14ac:dyDescent="0.2">
      <c r="B214" s="175">
        <v>31180</v>
      </c>
      <c r="C214" s="433">
        <f>ND代替値</f>
        <v>0.18518518518518517</v>
      </c>
      <c r="D214" s="177">
        <f>D416/27</f>
        <v>333.7037037037037</v>
      </c>
      <c r="E214" s="435">
        <f>ND代替値*2.71828^(-(0.69315/2.062)*(B214-調査開始日)/365.25)</f>
        <v>6.1690103319475284E-3</v>
      </c>
      <c r="F214" s="178">
        <f>(E416/27*1000)/1000</f>
        <v>9.6296296296296297E-2</v>
      </c>
      <c r="G214" s="178"/>
      <c r="H214" s="179"/>
      <c r="I214" s="186"/>
      <c r="J214" s="498"/>
      <c r="K214" s="175">
        <v>31180</v>
      </c>
      <c r="L214" s="442"/>
      <c r="M214" s="177"/>
      <c r="N214" s="178"/>
      <c r="O214" s="708"/>
      <c r="P214" s="718"/>
      <c r="Q214" s="433">
        <f>ND代替値</f>
        <v>0.215</v>
      </c>
      <c r="R214" s="177">
        <f>L416/27</f>
        <v>388.88888888888891</v>
      </c>
      <c r="S214" s="435">
        <f>ND代替値*2.71828^(-(0.69315/2.062)*(B214-調査開始日)/365.25)</f>
        <v>7.2485871400383463E-3</v>
      </c>
      <c r="T214" s="712">
        <f>(M416/27*1000)/1000</f>
        <v>6.2962962962962957E-2</v>
      </c>
      <c r="U214" s="718"/>
      <c r="V214" s="182"/>
      <c r="W214" s="183"/>
      <c r="X214" s="184"/>
      <c r="Y214" s="178"/>
      <c r="Z214" s="178"/>
      <c r="AA214" s="178"/>
      <c r="AB214" s="185"/>
      <c r="AC214" s="186"/>
      <c r="AD214" s="187"/>
      <c r="AE214" s="182"/>
      <c r="AF214" s="188"/>
      <c r="AG214" s="184"/>
      <c r="AH214" s="178"/>
      <c r="AI214" s="708"/>
      <c r="AJ214" s="718"/>
      <c r="AK214" s="182"/>
      <c r="AL214" s="188"/>
      <c r="AM214" s="184"/>
      <c r="AN214" s="178"/>
      <c r="AO214" s="708"/>
      <c r="AP214" s="718"/>
      <c r="AR214" s="432">
        <f t="shared" si="0"/>
        <v>0.9225114164179864</v>
      </c>
      <c r="AS214" s="432">
        <f t="shared" si="1"/>
        <v>0.30845051659737643</v>
      </c>
      <c r="AT214" s="436">
        <f t="shared" si="2"/>
        <v>6.0349705379756689E-7</v>
      </c>
      <c r="AU214" s="429">
        <f t="shared" si="3"/>
        <v>199.99999962015477</v>
      </c>
      <c r="AV214" s="430">
        <f t="shared" si="4"/>
        <v>0.82143697978400376</v>
      </c>
      <c r="AW214" s="436">
        <f t="shared" si="5"/>
        <v>9.192334741623881E-2</v>
      </c>
      <c r="AX214" s="806">
        <f t="shared" si="6"/>
        <v>3.1979387100827197E-49</v>
      </c>
    </row>
    <row r="215" spans="1:51" ht="11.1" customHeight="1" x14ac:dyDescent="0.2">
      <c r="B215" s="175">
        <v>31272</v>
      </c>
      <c r="C215" s="433">
        <f>ND代替値</f>
        <v>0.18518518518518517</v>
      </c>
      <c r="D215" s="177">
        <f>D417/27</f>
        <v>333.7037037037037</v>
      </c>
      <c r="E215" s="435">
        <f>ND代替値*2.71828^(-(0.69315/2.062)*(B215-調査開始日)/365.25)</f>
        <v>5.6681749826675036E-3</v>
      </c>
      <c r="F215" s="178">
        <f>(E417/27*1000)/1000</f>
        <v>0.15555555555555556</v>
      </c>
      <c r="G215" s="178"/>
      <c r="H215" s="437">
        <f>ND代替値*2.71828^(-(0.69315/28.799)*(B215-調査開始日)/365.25)</f>
        <v>9.1367753879112463E-3</v>
      </c>
      <c r="I215" s="186">
        <v>3.5</v>
      </c>
      <c r="J215" s="203">
        <f>ND代替値</f>
        <v>5.0000000000000001E-3</v>
      </c>
      <c r="K215" s="175">
        <v>31272</v>
      </c>
      <c r="L215" s="442"/>
      <c r="M215" s="197"/>
      <c r="N215" s="197"/>
      <c r="O215" s="687"/>
      <c r="P215" s="640"/>
      <c r="Q215" s="433">
        <f>ND代替値</f>
        <v>0.215</v>
      </c>
      <c r="R215" s="177">
        <f>L417/27</f>
        <v>294.44444444444446</v>
      </c>
      <c r="S215" s="435">
        <f>ND代替値*2.71828^(-(0.69315/2.062)*(B215-調査開始日)/365.25)</f>
        <v>6.6601056046343161E-3</v>
      </c>
      <c r="T215" s="708">
        <f>(M417/27*1000)/1000</f>
        <v>0.11851851851851852</v>
      </c>
      <c r="U215" s="640"/>
      <c r="V215" s="182">
        <v>31237</v>
      </c>
      <c r="W215" s="204">
        <f>N417/27</f>
        <v>0.81481481481481477</v>
      </c>
      <c r="X215" s="184">
        <f>O417/27</f>
        <v>325.18518518518516</v>
      </c>
      <c r="Y215" s="435">
        <f>ND代替値*2.71828^(-(0.69315/2.062)*(V215-調査開始日)/365.25)</f>
        <v>5.7073868076211749E-3</v>
      </c>
      <c r="Z215" s="178">
        <f>(P417/27*1000)/1000</f>
        <v>0.12962962962962962</v>
      </c>
      <c r="AA215" s="178"/>
      <c r="AB215" s="185"/>
      <c r="AC215" s="186"/>
      <c r="AD215" s="187"/>
      <c r="AE215" s="182">
        <v>31237</v>
      </c>
      <c r="AF215" s="433">
        <f>ND代替値2</f>
        <v>0.17499999999999999</v>
      </c>
      <c r="AG215" s="184">
        <f>T417/27</f>
        <v>313.33333333333331</v>
      </c>
      <c r="AH215" s="435">
        <f>ND代替値2*2.71828^(-(0.69315/2.062)*(V215-調査開始日)/365.25)</f>
        <v>1.4195295393314204E-2</v>
      </c>
      <c r="AI215" s="708">
        <f>(U417/27*1000)/1000</f>
        <v>8.8888888888888892E-2</v>
      </c>
      <c r="AJ215" s="640"/>
      <c r="AK215" s="182"/>
      <c r="AL215" s="188"/>
      <c r="AM215" s="184"/>
      <c r="AN215" s="178"/>
      <c r="AO215" s="708"/>
      <c r="AP215" s="640"/>
      <c r="AR215" s="432">
        <f t="shared" si="0"/>
        <v>0.91717066122074953</v>
      </c>
      <c r="AS215" s="432">
        <f t="shared" si="1"/>
        <v>0.28340874913337516</v>
      </c>
      <c r="AT215" s="436">
        <f t="shared" si="2"/>
        <v>1.8237871361982566E-7</v>
      </c>
      <c r="AU215" s="429">
        <f t="shared" si="3"/>
        <v>199.9999995928107</v>
      </c>
      <c r="AV215" s="430">
        <f t="shared" si="4"/>
        <v>0.80988744349457187</v>
      </c>
      <c r="AW215" s="436">
        <f t="shared" si="5"/>
        <v>9.1367753879112473E-2</v>
      </c>
      <c r="AX215" s="806">
        <f t="shared" si="6"/>
        <v>1.2184715800830122E-52</v>
      </c>
    </row>
    <row r="216" spans="1:51" ht="11.1" customHeight="1" x14ac:dyDescent="0.2">
      <c r="B216" s="175">
        <v>31362</v>
      </c>
      <c r="C216" s="176">
        <f>C418/27</f>
        <v>1.5185185185185186</v>
      </c>
      <c r="D216" s="177">
        <f>D418/27</f>
        <v>422.22222222222223</v>
      </c>
      <c r="E216" s="435">
        <f>ND代替値*2.71828^(-(0.69315/2.062)*(B216-調査開始日)/365.25)</f>
        <v>5.2175953804288805E-3</v>
      </c>
      <c r="F216" s="178">
        <f>(E418/27*1000)/1000</f>
        <v>0.17037037037037034</v>
      </c>
      <c r="G216" s="178"/>
      <c r="H216" s="179"/>
      <c r="I216" s="186"/>
      <c r="J216" s="181"/>
      <c r="K216" s="175">
        <v>31362</v>
      </c>
      <c r="L216" s="442">
        <f>H418/27</f>
        <v>1.5185185185185186</v>
      </c>
      <c r="M216" s="438">
        <f>ND代替値2</f>
        <v>104.44444444444444</v>
      </c>
      <c r="N216" s="435">
        <f>ND代替値2*2.71828^(-(0.69315/2.062)*(B216-調査開始日)/365.25)</f>
        <v>5.0871554959181576E-3</v>
      </c>
      <c r="O216" s="709">
        <f>ND代替値2*2.71828^(-(0.69315/30.07)*(B216-調査開始日)/365.25)</f>
        <v>1.7783530621231006E-2</v>
      </c>
      <c r="P216" s="640"/>
      <c r="Q216" s="442">
        <f>K418/27</f>
        <v>1.7777777777777777</v>
      </c>
      <c r="R216" s="177">
        <f>L418/27</f>
        <v>414.81481481481484</v>
      </c>
      <c r="S216" s="435">
        <f>ND代替値*2.71828^(-(0.69315/2.062)*(B216-調査開始日)/365.25)</f>
        <v>6.1306745720039338E-3</v>
      </c>
      <c r="T216" s="708">
        <f>(M418/27*1000)/1000</f>
        <v>0.16666666666666666</v>
      </c>
      <c r="U216" s="640"/>
      <c r="V216" s="182">
        <v>31332</v>
      </c>
      <c r="W216" s="204">
        <f>N418/27</f>
        <v>0.92592592592592593</v>
      </c>
      <c r="X216" s="184">
        <f>O418/27</f>
        <v>319.25925925925924</v>
      </c>
      <c r="Y216" s="435">
        <f>ND代替値*2.71828^(-(0.69315/2.062)*(V216-調査開始日)/365.25)</f>
        <v>5.2295697918614183E-3</v>
      </c>
      <c r="Z216" s="178">
        <f>(P418/27*1000)/1000</f>
        <v>0.18518518518518517</v>
      </c>
      <c r="AA216" s="178"/>
      <c r="AB216" s="185"/>
      <c r="AC216" s="186"/>
      <c r="AD216" s="187"/>
      <c r="AE216" s="182">
        <v>31332</v>
      </c>
      <c r="AF216" s="204">
        <f>S418/27</f>
        <v>0.7407407407407407</v>
      </c>
      <c r="AG216" s="184">
        <f>T418/27</f>
        <v>322.22222222222223</v>
      </c>
      <c r="AH216" s="435">
        <f>ND代替値2*2.71828^(-(0.69315/2.062)*(V216-調査開始日)/365.25)</f>
        <v>1.3006878713091219E-2</v>
      </c>
      <c r="AI216" s="708">
        <f>(U418/27*1000)/1000</f>
        <v>0.12962962962962962</v>
      </c>
      <c r="AJ216" s="640"/>
      <c r="AK216" s="182">
        <v>31371</v>
      </c>
      <c r="AL216" s="204">
        <f>V418/27</f>
        <v>0.96296296296296291</v>
      </c>
      <c r="AM216" s="184">
        <f>W418/27</f>
        <v>385.18518518518516</v>
      </c>
      <c r="AN216" s="435">
        <f>ND代替値2*2.71828^(-(0.69315/2.062)*(AK216-調査開始日)/365.25)</f>
        <v>5.1745562433580259E-3</v>
      </c>
      <c r="AO216" s="708">
        <f>(X418/27*1000)/1000</f>
        <v>0.13333333333333333</v>
      </c>
      <c r="AP216" s="640"/>
      <c r="AR216" s="432">
        <f t="shared" si="0"/>
        <v>0.9119759292938977</v>
      </c>
      <c r="AS216" s="432">
        <f t="shared" si="1"/>
        <v>0.260879769021444</v>
      </c>
      <c r="AT216" s="436">
        <f t="shared" si="2"/>
        <v>5.6568021591674421E-8</v>
      </c>
      <c r="AU216" s="429">
        <f t="shared" si="3"/>
        <v>199.99999956606104</v>
      </c>
      <c r="AV216" s="430">
        <f t="shared" si="4"/>
        <v>0.79874613158888141</v>
      </c>
      <c r="AW216" s="436">
        <f t="shared" si="5"/>
        <v>9.0827487957086672E-2</v>
      </c>
      <c r="AX216" s="806">
        <f t="shared" si="6"/>
        <v>5.5091925160064256E-56</v>
      </c>
    </row>
    <row r="217" spans="1:51" ht="11.1" customHeight="1" x14ac:dyDescent="0.2">
      <c r="B217" s="175">
        <v>31442</v>
      </c>
      <c r="C217" s="198"/>
      <c r="D217" s="177"/>
      <c r="E217" s="178"/>
      <c r="F217" s="178"/>
      <c r="G217" s="178"/>
      <c r="H217" s="179"/>
      <c r="I217" s="186"/>
      <c r="J217" s="498"/>
      <c r="K217" s="175">
        <v>31442</v>
      </c>
      <c r="L217" s="442"/>
      <c r="M217" s="177"/>
      <c r="N217" s="178"/>
      <c r="O217" s="708"/>
      <c r="P217" s="718"/>
      <c r="Q217" s="441"/>
      <c r="R217" s="177"/>
      <c r="S217" s="178"/>
      <c r="T217" s="708"/>
      <c r="U217" s="718"/>
      <c r="V217" s="182">
        <v>31442</v>
      </c>
      <c r="W217" s="433">
        <f>ND代替値</f>
        <v>0.17499999999999999</v>
      </c>
      <c r="X217" s="184">
        <f>O419/27</f>
        <v>429.62962962962962</v>
      </c>
      <c r="Y217" s="435">
        <f>ND代替値*2.71828^(-(0.69315/2.062)*(V217-調査開始日)/365.25)</f>
        <v>4.7260590562518325E-3</v>
      </c>
      <c r="Z217" s="195">
        <f>(P419/27*1000)/1000</f>
        <v>8.1481481481481502E-2</v>
      </c>
      <c r="AA217" s="178"/>
      <c r="AB217" s="185"/>
      <c r="AC217" s="186"/>
      <c r="AD217" s="187"/>
      <c r="AE217" s="182">
        <v>31442</v>
      </c>
      <c r="AF217" s="433">
        <f>ND代替値2</f>
        <v>0.17499999999999999</v>
      </c>
      <c r="AG217" s="184">
        <f>T419/27</f>
        <v>425.92592592592592</v>
      </c>
      <c r="AH217" s="435">
        <f>ND代替値2*2.71828^(-(0.69315/2.062)*(V217-調査開始日)/365.25)</f>
        <v>1.1754557139908405E-2</v>
      </c>
      <c r="AI217" s="708">
        <f>(U419/27*1000)/1000</f>
        <v>0.1111111111111111</v>
      </c>
      <c r="AJ217" s="718"/>
      <c r="AK217" s="182"/>
      <c r="AL217" s="188"/>
      <c r="AM217" s="184"/>
      <c r="AN217" s="178"/>
      <c r="AO217" s="708"/>
      <c r="AP217" s="718"/>
      <c r="AR217" s="432">
        <f t="shared" si="0"/>
        <v>0.90738309516746218</v>
      </c>
      <c r="AS217" s="432">
        <f t="shared" si="1"/>
        <v>0.24236200288470935</v>
      </c>
      <c r="AT217" s="436">
        <f t="shared" si="2"/>
        <v>1.9982833585743464E-8</v>
      </c>
      <c r="AU217" s="429">
        <f t="shared" si="3"/>
        <v>199.99999954228355</v>
      </c>
      <c r="AV217" s="430">
        <f t="shared" si="4"/>
        <v>0.7889714774352562</v>
      </c>
      <c r="AW217" s="436">
        <f t="shared" si="5"/>
        <v>9.0349934091971867E-2</v>
      </c>
      <c r="AX217" s="806">
        <f t="shared" si="6"/>
        <v>5.861339503650103E-59</v>
      </c>
    </row>
    <row r="218" spans="1:51" ht="11.1" customHeight="1" x14ac:dyDescent="0.2">
      <c r="B218" s="175">
        <v>31467</v>
      </c>
      <c r="C218" s="433">
        <f>ND代替値</f>
        <v>0.18518518518518517</v>
      </c>
      <c r="D218" s="177">
        <f>D420/27</f>
        <v>374.44444444444446</v>
      </c>
      <c r="E218" s="435">
        <f>ND代替値*2.71828^(-(0.69315/2.062)*(B218-調査開始日)/365.25)</f>
        <v>4.7369856559017877E-3</v>
      </c>
      <c r="F218" s="178">
        <f>(E420/27*1000)/1000</f>
        <v>8.1481481481481502E-2</v>
      </c>
      <c r="G218" s="178"/>
      <c r="H218" s="437">
        <f>ND代替値*2.71828^(-(0.69315/28.799)*(B218-調査開始日)/365.25)</f>
        <v>9.020121405925223E-3</v>
      </c>
      <c r="I218" s="186">
        <v>1.5</v>
      </c>
      <c r="J218" s="203">
        <f>ND代替値</f>
        <v>5.0000000000000001E-3</v>
      </c>
      <c r="K218" s="175">
        <v>31467</v>
      </c>
      <c r="L218" s="433">
        <f>ND代替値2</f>
        <v>0.20499999999999999</v>
      </c>
      <c r="M218" s="177">
        <f>I420/27</f>
        <v>432.59259259259261</v>
      </c>
      <c r="N218" s="435">
        <f>ND代替値2*2.71828^(-(0.69315/2.062)*(B218-調査開始日)/365.25)</f>
        <v>4.6185610145042426E-3</v>
      </c>
      <c r="O218" s="708">
        <f>(J420/27*1000)/1000</f>
        <v>7.407407407407407E-2</v>
      </c>
      <c r="P218" s="718"/>
      <c r="Q218" s="433">
        <f>ND代替値</f>
        <v>0.215</v>
      </c>
      <c r="R218" s="177">
        <f>L420/27</f>
        <v>381.11111111111109</v>
      </c>
      <c r="S218" s="435">
        <f>ND代替値*2.71828^(-(0.69315/2.062)*(B218-調査開始日)/365.25)</f>
        <v>5.5659581456846E-3</v>
      </c>
      <c r="T218" s="708">
        <f>(M420/27*1000)/1000</f>
        <v>9.2592592592592587E-2</v>
      </c>
      <c r="U218" s="718"/>
      <c r="V218" s="182"/>
      <c r="W218" s="183"/>
      <c r="X218" s="184"/>
      <c r="Y218" s="178"/>
      <c r="Z218" s="178"/>
      <c r="AA218" s="178"/>
      <c r="AB218" s="185"/>
      <c r="AC218" s="186"/>
      <c r="AD218" s="187"/>
      <c r="AE218" s="182"/>
      <c r="AF218" s="188"/>
      <c r="AG218" s="184"/>
      <c r="AH218" s="178"/>
      <c r="AI218" s="708"/>
      <c r="AJ218" s="718"/>
      <c r="AK218" s="182"/>
      <c r="AL218" s="194"/>
      <c r="AM218" s="184"/>
      <c r="AN218" s="178"/>
      <c r="AO218" s="708"/>
      <c r="AP218" s="718"/>
      <c r="AR218" s="432">
        <f t="shared" si="0"/>
        <v>0.90595258347361829</v>
      </c>
      <c r="AS218" s="432">
        <f t="shared" si="1"/>
        <v>0.23684928279508938</v>
      </c>
      <c r="AT218" s="436">
        <f t="shared" si="2"/>
        <v>1.4435571168085729E-8</v>
      </c>
      <c r="AU218" s="429">
        <f t="shared" si="3"/>
        <v>199.99999953485306</v>
      </c>
      <c r="AV218" s="430">
        <f t="shared" si="4"/>
        <v>0.78594149805856239</v>
      </c>
      <c r="AW218" s="436">
        <f t="shared" si="5"/>
        <v>9.020121405925223E-2</v>
      </c>
      <c r="AX218" s="806">
        <f t="shared" si="6"/>
        <v>6.9009029176811539E-60</v>
      </c>
    </row>
    <row r="219" spans="1:51" ht="11.1" customHeight="1" thickBot="1" x14ac:dyDescent="0.25">
      <c r="A219" s="386"/>
      <c r="B219" s="463">
        <v>31517</v>
      </c>
      <c r="C219" s="468"/>
      <c r="D219" s="507"/>
      <c r="E219" s="508"/>
      <c r="F219" s="467"/>
      <c r="G219" s="467"/>
      <c r="H219" s="508"/>
      <c r="I219" s="509"/>
      <c r="J219" s="510"/>
      <c r="K219" s="463">
        <v>31517</v>
      </c>
      <c r="L219" s="468"/>
      <c r="M219" s="507"/>
      <c r="N219" s="508"/>
      <c r="O219" s="710"/>
      <c r="P219" s="710"/>
      <c r="Q219" s="468"/>
      <c r="R219" s="507"/>
      <c r="S219" s="508"/>
      <c r="T219" s="710"/>
      <c r="U219" s="719"/>
      <c r="V219" s="463">
        <v>31517</v>
      </c>
      <c r="W219" s="490">
        <f>ND代替値</f>
        <v>0.17499999999999999</v>
      </c>
      <c r="X219" s="511">
        <f>O421/27</f>
        <v>360.74074074074076</v>
      </c>
      <c r="Y219" s="489">
        <f>ND代替値*2.71828^(-(0.69315/2.062)*(V219-調査開始日)/365.25)</f>
        <v>4.4108447046720357E-3</v>
      </c>
      <c r="Z219" s="467">
        <f>(P421/27*1000)/1000</f>
        <v>8.8888888888888892E-2</v>
      </c>
      <c r="AA219" s="467"/>
      <c r="AB219" s="512">
        <f>Q421/27</f>
        <v>6.6666666666666666E-2</v>
      </c>
      <c r="AC219" s="509">
        <v>1.4</v>
      </c>
      <c r="AD219" s="513">
        <f>R421/27</f>
        <v>4.8148148148148148E-2</v>
      </c>
      <c r="AE219" s="463">
        <v>31517</v>
      </c>
      <c r="AF219" s="490">
        <f>ND代替値2</f>
        <v>0.17499999999999999</v>
      </c>
      <c r="AG219" s="511">
        <f>T421/27</f>
        <v>377.77777777777777</v>
      </c>
      <c r="AH219" s="489">
        <f>ND代替値2*2.71828^(-(0.69315/2.062)*(V219-調査開始日)/365.25)</f>
        <v>1.0970562470594551E-2</v>
      </c>
      <c r="AI219" s="734">
        <f>ND代替値2*2.71828^(-(0.69315/30.07)*(V219-調査開始日)/365.25)</f>
        <v>4.3800268628676711E-2</v>
      </c>
      <c r="AJ219" s="737"/>
      <c r="AK219" s="463"/>
      <c r="AL219" s="514"/>
      <c r="AM219" s="511"/>
      <c r="AN219" s="467"/>
      <c r="AO219" s="710"/>
      <c r="AP219" s="737"/>
      <c r="AQ219" s="427"/>
      <c r="AR219" s="492"/>
      <c r="AS219" s="492"/>
      <c r="AT219" s="493"/>
      <c r="AU219" s="494"/>
      <c r="AV219" s="495"/>
      <c r="AW219" s="493"/>
      <c r="AX219" s="493"/>
      <c r="AY219" s="386"/>
    </row>
    <row r="220" spans="1:51" ht="11.1" customHeight="1" x14ac:dyDescent="0.2">
      <c r="B220" s="392">
        <v>31528</v>
      </c>
      <c r="C220" s="384"/>
      <c r="D220" s="370"/>
      <c r="E220" s="375"/>
      <c r="F220" s="371"/>
      <c r="G220" s="371"/>
      <c r="H220" s="375"/>
      <c r="I220" s="396"/>
      <c r="J220" s="385"/>
      <c r="K220" s="392">
        <v>31528</v>
      </c>
      <c r="L220" s="384"/>
      <c r="M220" s="370"/>
      <c r="N220" s="375"/>
      <c r="O220" s="711"/>
      <c r="P220" s="718"/>
      <c r="Q220" s="384"/>
      <c r="R220" s="370"/>
      <c r="S220" s="375"/>
      <c r="T220" s="711"/>
      <c r="U220" s="718"/>
      <c r="V220" s="288"/>
      <c r="W220" s="394"/>
      <c r="X220" s="374"/>
      <c r="Y220" s="371"/>
      <c r="Z220" s="371"/>
      <c r="AA220" s="371"/>
      <c r="AB220" s="395"/>
      <c r="AC220" s="396"/>
      <c r="AD220" s="397"/>
      <c r="AE220" s="288"/>
      <c r="AF220" s="380"/>
      <c r="AG220" s="374"/>
      <c r="AH220" s="371"/>
      <c r="AI220" s="711"/>
      <c r="AJ220" s="718"/>
      <c r="AK220" s="288"/>
      <c r="AL220" s="398"/>
      <c r="AM220" s="374"/>
      <c r="AN220" s="371"/>
      <c r="AO220" s="711"/>
      <c r="AP220" s="718"/>
      <c r="AR220" s="485">
        <f t="shared" ref="AR220:AR251" si="10">1*2.71828^(-(0.69315/30.07)*(B220-事故日Cb)/365.25)</f>
        <v>1</v>
      </c>
      <c r="AS220" s="485">
        <f t="shared" ref="AS220:AS251" si="11">1*2.71828^(-(0.69315/2.062)*(B220-事故日Cb)/365.25)</f>
        <v>1</v>
      </c>
      <c r="AT220" s="486">
        <f t="shared" ref="AT220:AT251" si="12">10*2.71828^(-(0.69315/0.1459)*(B220-事故日Cb)/365.25)</f>
        <v>10</v>
      </c>
      <c r="AU220" s="487">
        <f t="shared" ref="AU220:AU251" si="13">200*2.71828^(-(0.69315/(1.277*10^9))*(B220-事故日Cb)/365.25)</f>
        <v>200</v>
      </c>
      <c r="AV220" s="488">
        <f t="shared" ref="AV220:AV251" si="14">1*2.71828^(-(0.69315/12.33)*(B220-事故日Cb)/365.25)</f>
        <v>1</v>
      </c>
      <c r="AW220" s="486">
        <f t="shared" ref="AW220:AW251" si="15">0.1*2.71828^(-(0.69315/28.799)*(B220-事故日Cb)/365.25)</f>
        <v>0.1</v>
      </c>
      <c r="AX220" s="486">
        <f t="shared" ref="AX220:AX251" si="16">0.1*2.71828^(-(0.69315/0.022177)*(B220-事故日Cb)/365.25)</f>
        <v>0.1</v>
      </c>
    </row>
    <row r="221" spans="1:51" ht="11.1" customHeight="1" x14ac:dyDescent="0.2">
      <c r="B221" s="175">
        <v>31553</v>
      </c>
      <c r="C221" s="433">
        <f>ND代替値</f>
        <v>0.18518518518518517</v>
      </c>
      <c r="D221" s="177">
        <f>D423/27</f>
        <v>321.11111111111109</v>
      </c>
      <c r="E221" s="435">
        <f>ND代替値*2.71828^(-(0.69315/2.062)*(B221-事故日Cb)/365.25)</f>
        <v>1.9545083798284808E-2</v>
      </c>
      <c r="F221" s="178">
        <f>(E423/27*1000)/1000</f>
        <v>0.15555555555555556</v>
      </c>
      <c r="G221" s="178"/>
      <c r="H221" s="437">
        <f>ND代替値*2.71828^(-(0.69315/28.799)*(B221-調査開始日)/365.25)</f>
        <v>8.9691484132651753E-3</v>
      </c>
      <c r="I221" s="186">
        <v>1.3</v>
      </c>
      <c r="J221" s="203">
        <f>ND代替値</f>
        <v>5.0000000000000001E-3</v>
      </c>
      <c r="K221" s="175">
        <v>31553</v>
      </c>
      <c r="L221" s="293"/>
      <c r="M221" s="177"/>
      <c r="N221" s="197"/>
      <c r="O221" s="708"/>
      <c r="P221" s="718"/>
      <c r="Q221" s="293"/>
      <c r="R221" s="177"/>
      <c r="S221" s="197"/>
      <c r="T221" s="708"/>
      <c r="U221" s="718"/>
      <c r="V221" s="391">
        <v>31528</v>
      </c>
      <c r="W221" s="293"/>
      <c r="X221" s="184"/>
      <c r="Y221" s="197"/>
      <c r="Z221" s="178"/>
      <c r="AA221" s="178"/>
      <c r="AB221" s="185"/>
      <c r="AC221" s="186"/>
      <c r="AD221" s="187"/>
      <c r="AE221" s="391">
        <v>31528</v>
      </c>
      <c r="AF221" s="293"/>
      <c r="AG221" s="184"/>
      <c r="AH221" s="197"/>
      <c r="AI221" s="687"/>
      <c r="AJ221" s="718"/>
      <c r="AK221" s="391">
        <v>31528</v>
      </c>
      <c r="AL221" s="188"/>
      <c r="AM221" s="184"/>
      <c r="AN221" s="178"/>
      <c r="AO221" s="708"/>
      <c r="AP221" s="718"/>
      <c r="AR221" s="485">
        <f t="shared" si="10"/>
        <v>0.99842347548520294</v>
      </c>
      <c r="AS221" s="485">
        <f t="shared" si="11"/>
        <v>0.97725418991424029</v>
      </c>
      <c r="AT221" s="486">
        <f t="shared" si="12"/>
        <v>7.2239860809252807</v>
      </c>
      <c r="AU221" s="487">
        <f t="shared" si="13"/>
        <v>199.99999999256954</v>
      </c>
      <c r="AV221" s="488">
        <f t="shared" si="14"/>
        <v>0.99615958312391284</v>
      </c>
      <c r="AW221" s="486">
        <f t="shared" si="15"/>
        <v>9.9835395527164139E-2</v>
      </c>
      <c r="AX221" s="486">
        <f t="shared" si="16"/>
        <v>1.1773593584510826E-2</v>
      </c>
    </row>
    <row r="222" spans="1:51" ht="11.1" customHeight="1" x14ac:dyDescent="0.2">
      <c r="B222" s="175">
        <v>31576</v>
      </c>
      <c r="C222" s="433">
        <f>ND代替値</f>
        <v>0.18518518518518517</v>
      </c>
      <c r="D222" s="177">
        <f>D424/27</f>
        <v>283.7037037037037</v>
      </c>
      <c r="E222" s="435">
        <f>ND代替値*2.71828^(-(0.69315/2.062)*(B222-事故日Cb)/365.25)</f>
        <v>1.9135705327120171E-2</v>
      </c>
      <c r="F222" s="178">
        <f>(E424/27*1000)/1000</f>
        <v>0.24074074074074073</v>
      </c>
      <c r="G222" s="178"/>
      <c r="H222" s="197"/>
      <c r="I222" s="186"/>
      <c r="J222" s="498"/>
      <c r="K222" s="175">
        <v>31576</v>
      </c>
      <c r="L222" s="433">
        <f>ND代替値2</f>
        <v>0.20499999999999999</v>
      </c>
      <c r="M222" s="177">
        <f>I424/27</f>
        <v>342.96296296296299</v>
      </c>
      <c r="N222" s="435">
        <f>ND代替値2*2.71828^(-(0.69315/2.062)*(B222-事故日Cb)/365.25)</f>
        <v>1.8657312693942166E-2</v>
      </c>
      <c r="O222" s="708">
        <f>(J424/27*1000)/1000</f>
        <v>0.22592592592592592</v>
      </c>
      <c r="P222" s="718"/>
      <c r="Q222" s="433">
        <f>ND代替値</f>
        <v>0.215</v>
      </c>
      <c r="R222" s="177">
        <f>L424/27</f>
        <v>295.55555555555554</v>
      </c>
      <c r="S222" s="435">
        <f>ND代替値*2.71828^(-(0.69315/2.062)*(B222-事故日Cb)/365.25)</f>
        <v>2.24844537593662E-2</v>
      </c>
      <c r="T222" s="708">
        <f>(M424/27*1000)/1000</f>
        <v>0.2074074074074074</v>
      </c>
      <c r="U222" s="718"/>
      <c r="V222" s="182">
        <v>31604</v>
      </c>
      <c r="W222" s="206">
        <f>N424/27</f>
        <v>1.0740740740740742</v>
      </c>
      <c r="X222" s="184">
        <f>O424/27</f>
        <v>330.74074074074076</v>
      </c>
      <c r="Y222" s="435">
        <f>ND代替値*2.71828^(-(0.69315/2.062)*(V222-事故日Cb)/365.25)</f>
        <v>1.8182664960665264E-2</v>
      </c>
      <c r="Z222" s="195">
        <f>(P424/27*1000)/1000</f>
        <v>0.3</v>
      </c>
      <c r="AA222" s="178"/>
      <c r="AB222" s="185"/>
      <c r="AC222" s="186"/>
      <c r="AD222" s="187"/>
      <c r="AE222" s="182">
        <v>31604</v>
      </c>
      <c r="AF222" s="433">
        <f>ND代替値2</f>
        <v>0.17499999999999999</v>
      </c>
      <c r="AG222" s="184">
        <f>T424/27</f>
        <v>321.48148148148147</v>
      </c>
      <c r="AH222" s="435">
        <f>ND代替値2*2.71828^(-(0.69315/2.062)*(V222-事故日Cb)/365.25)</f>
        <v>4.5223551312423858E-2</v>
      </c>
      <c r="AI222" s="731">
        <f>(U424/27*1000)/1000</f>
        <v>0.29259259259259263</v>
      </c>
      <c r="AJ222" s="718"/>
      <c r="AK222" s="182"/>
      <c r="AL222" s="188"/>
      <c r="AM222" s="184"/>
      <c r="AN222" s="178"/>
      <c r="AO222" s="708"/>
      <c r="AP222" s="718"/>
      <c r="AR222" s="485">
        <f t="shared" si="10"/>
        <v>0.9969752681552887</v>
      </c>
      <c r="AS222" s="485">
        <f t="shared" si="11"/>
        <v>0.95678526635600847</v>
      </c>
      <c r="AT222" s="486">
        <f t="shared" si="12"/>
        <v>5.356136655430717</v>
      </c>
      <c r="AU222" s="487">
        <f t="shared" si="13"/>
        <v>199.9999999857335</v>
      </c>
      <c r="AV222" s="488">
        <f t="shared" si="14"/>
        <v>0.99263942707505393</v>
      </c>
      <c r="AW222" s="486">
        <f t="shared" si="15"/>
        <v>9.968419872245779E-2</v>
      </c>
      <c r="AX222" s="486">
        <f t="shared" si="16"/>
        <v>1.6449221822246668E-3</v>
      </c>
    </row>
    <row r="223" spans="1:51" ht="11.1" customHeight="1" x14ac:dyDescent="0.2">
      <c r="B223" s="175">
        <v>31652</v>
      </c>
      <c r="C223" s="433">
        <f>ND代替値</f>
        <v>0.18518518518518517</v>
      </c>
      <c r="D223" s="177">
        <f>D425/27</f>
        <v>374.07407407407408</v>
      </c>
      <c r="E223" s="435">
        <f>ND代替値*2.71828^(-(0.69315/2.062)*(B223-事故日Cb)/365.25)</f>
        <v>1.7842980448668899E-2</v>
      </c>
      <c r="F223" s="178">
        <f>(E425/27*1000)/1000</f>
        <v>0.13703703703703704</v>
      </c>
      <c r="G223" s="178"/>
      <c r="H223" s="437">
        <f>ND代替値*2.71828^(-(0.69315/28.799)*(B223-調査開始日)/365.25)</f>
        <v>8.9108267537704941E-3</v>
      </c>
      <c r="I223" s="186">
        <v>2.2999999999999998</v>
      </c>
      <c r="J223" s="203">
        <f>ND代替値</f>
        <v>5.0000000000000001E-3</v>
      </c>
      <c r="K223" s="175">
        <v>31652</v>
      </c>
      <c r="L223" s="293"/>
      <c r="M223" s="177"/>
      <c r="N223" s="197"/>
      <c r="O223" s="708"/>
      <c r="P223" s="718"/>
      <c r="Q223" s="293"/>
      <c r="R223" s="177"/>
      <c r="S223" s="197"/>
      <c r="T223" s="708"/>
      <c r="U223" s="718"/>
      <c r="V223" s="182"/>
      <c r="W223" s="183"/>
      <c r="X223" s="184"/>
      <c r="Y223" s="178"/>
      <c r="Z223" s="178"/>
      <c r="AA223" s="178"/>
      <c r="AB223" s="185"/>
      <c r="AC223" s="186"/>
      <c r="AD223" s="187"/>
      <c r="AE223" s="182"/>
      <c r="AF223" s="293"/>
      <c r="AG223" s="184"/>
      <c r="AH223" s="197"/>
      <c r="AI223" s="687"/>
      <c r="AJ223" s="718"/>
      <c r="AK223" s="182"/>
      <c r="AL223" s="188"/>
      <c r="AM223" s="184"/>
      <c r="AN223" s="178"/>
      <c r="AO223" s="708"/>
      <c r="AP223" s="718"/>
      <c r="AR223" s="485">
        <f t="shared" si="10"/>
        <v>0.99220480937425537</v>
      </c>
      <c r="AS223" s="485">
        <f t="shared" si="11"/>
        <v>0.89214902243344496</v>
      </c>
      <c r="AT223" s="486">
        <f t="shared" si="12"/>
        <v>1.9931199056611999</v>
      </c>
      <c r="AU223" s="487">
        <f t="shared" si="13"/>
        <v>199.99999996314492</v>
      </c>
      <c r="AV223" s="488">
        <f t="shared" si="14"/>
        <v>0.9810958295107769</v>
      </c>
      <c r="AW223" s="486">
        <f t="shared" si="15"/>
        <v>9.9186218406308313E-2</v>
      </c>
      <c r="AX223" s="805">
        <f t="shared" si="16"/>
        <v>2.464386604660638E-6</v>
      </c>
    </row>
    <row r="224" spans="1:51" ht="11.1" customHeight="1" x14ac:dyDescent="0.2">
      <c r="B224" s="182">
        <v>31665</v>
      </c>
      <c r="C224" s="433">
        <f>ND代替値</f>
        <v>0.18518518518518517</v>
      </c>
      <c r="D224" s="177">
        <f>D426/27</f>
        <v>396.2962962962963</v>
      </c>
      <c r="E224" s="435">
        <f>ND代替値*2.71828^(-(0.69315/2.062)*(B224-事故日Cb)/365.25)</f>
        <v>1.7630771666596986E-2</v>
      </c>
      <c r="F224" s="178">
        <f>(E426/27*1000)/1000</f>
        <v>0.21851851851851853</v>
      </c>
      <c r="G224" s="178"/>
      <c r="H224" s="179"/>
      <c r="I224" s="186"/>
      <c r="J224" s="498"/>
      <c r="K224" s="182">
        <v>31665</v>
      </c>
      <c r="L224" s="442">
        <f>H426/27</f>
        <v>0.55555555555555558</v>
      </c>
      <c r="M224" s="438">
        <f>ND代替値2</f>
        <v>104.44444444444444</v>
      </c>
      <c r="N224" s="435">
        <f>ND代替値2*2.71828^(-(0.69315/2.062)*(B224-事故日Cb)/365.25)</f>
        <v>1.7190002374932064E-2</v>
      </c>
      <c r="O224" s="709">
        <f>ND代替値2*2.71828^(-(0.69315/30.07)*(B224-事故日Cb)/365.25)</f>
        <v>1.933212643174843E-2</v>
      </c>
      <c r="P224" s="640"/>
      <c r="Q224" s="433">
        <f>ND代替値</f>
        <v>0.215</v>
      </c>
      <c r="R224" s="177">
        <f>L426/27</f>
        <v>403.7037037037037</v>
      </c>
      <c r="S224" s="435">
        <f>ND代替値*2.71828^(-(0.69315/2.062)*(B224-事故日Cb)/365.25)</f>
        <v>2.071615670825146E-2</v>
      </c>
      <c r="T224" s="708">
        <f>(M426/27*1000)/1000</f>
        <v>0.22222222222222221</v>
      </c>
      <c r="U224" s="640"/>
      <c r="V224" s="182">
        <v>31709</v>
      </c>
      <c r="W224" s="204">
        <f>N426/27</f>
        <v>0.77777777777777779</v>
      </c>
      <c r="X224" s="184">
        <f>O426/27</f>
        <v>345.18518518518516</v>
      </c>
      <c r="Y224" s="435">
        <f>ND代替値*2.71828^(-(0.69315/2.062)*(V224-事故日Cb)/365.25)</f>
        <v>1.6507800399359358E-2</v>
      </c>
      <c r="Z224" s="178">
        <f>(P426/27*1000)/1000</f>
        <v>0.24814814814814815</v>
      </c>
      <c r="AA224" s="178"/>
      <c r="AB224" s="185"/>
      <c r="AC224" s="186"/>
      <c r="AD224" s="187"/>
      <c r="AE224" s="182">
        <v>31709</v>
      </c>
      <c r="AF224" s="433">
        <f>ND代替値2</f>
        <v>0.17499999999999999</v>
      </c>
      <c r="AG224" s="184">
        <f>T426/27</f>
        <v>357.77777777777777</v>
      </c>
      <c r="AH224" s="435">
        <f>ND代替値2*2.71828^(-(0.69315/2.062)*(V224-事故日Cb)/365.25)</f>
        <v>4.1057862531739944E-2</v>
      </c>
      <c r="AI224" s="708">
        <f>(U426/27*1000)/1000</f>
        <v>0.21851851851851853</v>
      </c>
      <c r="AJ224" s="640"/>
      <c r="AK224" s="182">
        <v>31726</v>
      </c>
      <c r="AL224" s="204">
        <f>V426/27</f>
        <v>1</v>
      </c>
      <c r="AM224" s="184">
        <f>W426/27</f>
        <v>338.51851851851853</v>
      </c>
      <c r="AN224" s="435">
        <f>ND代替値2*2.71828^(-(0.69315/2.062)*(AK224-事故日Cb)/365.25)</f>
        <v>1.6668239087962514E-2</v>
      </c>
      <c r="AO224" s="708">
        <f>(X426/27*1000)/1000</f>
        <v>0.17777777777777778</v>
      </c>
      <c r="AP224" s="640"/>
      <c r="AR224" s="485">
        <f t="shared" si="10"/>
        <v>0.99139109906402212</v>
      </c>
      <c r="AS224" s="485">
        <f t="shared" si="11"/>
        <v>0.88153858332984936</v>
      </c>
      <c r="AT224" s="486">
        <f t="shared" si="12"/>
        <v>1.683051537126613</v>
      </c>
      <c r="AU224" s="487">
        <f t="shared" si="13"/>
        <v>199.99999995928107</v>
      </c>
      <c r="AV224" s="488">
        <f t="shared" si="14"/>
        <v>0.97913475539676398</v>
      </c>
      <c r="AW224" s="486">
        <f t="shared" si="15"/>
        <v>9.9101287065111399E-2</v>
      </c>
      <c r="AX224" s="805">
        <f t="shared" si="16"/>
        <v>8.1018004171923188E-7</v>
      </c>
    </row>
    <row r="225" spans="2:50" ht="11.1" customHeight="1" x14ac:dyDescent="0.2">
      <c r="B225" s="175">
        <v>31722</v>
      </c>
      <c r="C225" s="433">
        <f>ND代替値</f>
        <v>0.18518518518518517</v>
      </c>
      <c r="D225" s="177">
        <f>D427/27</f>
        <v>448.14814814814815</v>
      </c>
      <c r="E225" s="435">
        <f>ND代替値*2.71828^(-(0.69315/2.062)*(B225-事故日Cb)/365.25)</f>
        <v>1.6729713927595553E-2</v>
      </c>
      <c r="F225" s="178">
        <f>(E427/27*1000)/1000</f>
        <v>0.162962962962963</v>
      </c>
      <c r="G225" s="178"/>
      <c r="H225" s="437">
        <f>ND代替値*2.71828^(-(0.69315/28.799)*(B225-調査開始日)/365.25)</f>
        <v>8.8698182344978203E-3</v>
      </c>
      <c r="I225" s="186">
        <v>1.8</v>
      </c>
      <c r="J225" s="203">
        <f>ND代替値</f>
        <v>5.0000000000000001E-3</v>
      </c>
      <c r="K225" s="175">
        <v>31722</v>
      </c>
      <c r="L225" s="442"/>
      <c r="M225" s="177"/>
      <c r="N225" s="178"/>
      <c r="O225" s="708"/>
      <c r="P225" s="718"/>
      <c r="Q225" s="700"/>
      <c r="R225" s="177"/>
      <c r="S225" s="197"/>
      <c r="T225" s="708"/>
      <c r="U225" s="718"/>
      <c r="V225" s="182"/>
      <c r="W225" s="183"/>
      <c r="X225" s="184"/>
      <c r="Y225" s="178"/>
      <c r="Z225" s="178"/>
      <c r="AA225" s="178"/>
      <c r="AB225" s="185"/>
      <c r="AC225" s="186"/>
      <c r="AD225" s="187"/>
      <c r="AE225" s="182"/>
      <c r="AF225" s="188"/>
      <c r="AG225" s="184"/>
      <c r="AH225" s="178"/>
      <c r="AI225" s="708"/>
      <c r="AJ225" s="718"/>
      <c r="AK225" s="182"/>
      <c r="AL225" s="188"/>
      <c r="AM225" s="184"/>
      <c r="AN225" s="178"/>
      <c r="AO225" s="708"/>
      <c r="AP225" s="718"/>
      <c r="AR225" s="485">
        <f t="shared" si="10"/>
        <v>0.98783116264452653</v>
      </c>
      <c r="AS225" s="485">
        <f t="shared" si="11"/>
        <v>0.83648569637977754</v>
      </c>
      <c r="AT225" s="486">
        <f t="shared" si="12"/>
        <v>0.80187882990691772</v>
      </c>
      <c r="AU225" s="487">
        <f t="shared" si="13"/>
        <v>199.99999994233963</v>
      </c>
      <c r="AV225" s="488">
        <f t="shared" si="14"/>
        <v>0.97058236898359329</v>
      </c>
      <c r="AW225" s="486">
        <f t="shared" si="15"/>
        <v>9.8729753471965651E-2</v>
      </c>
      <c r="AX225" s="805">
        <f t="shared" si="16"/>
        <v>6.1695594308397071E-9</v>
      </c>
    </row>
    <row r="226" spans="2:50" ht="11.1" customHeight="1" x14ac:dyDescent="0.2">
      <c r="B226" s="182">
        <v>31763</v>
      </c>
      <c r="C226" s="176"/>
      <c r="D226" s="177"/>
      <c r="E226" s="178"/>
      <c r="F226" s="178"/>
      <c r="G226" s="178"/>
      <c r="H226" s="179"/>
      <c r="I226" s="186"/>
      <c r="J226" s="498"/>
      <c r="K226" s="182">
        <v>31763</v>
      </c>
      <c r="L226" s="442"/>
      <c r="M226" s="177"/>
      <c r="N226" s="178"/>
      <c r="O226" s="708"/>
      <c r="P226" s="718"/>
      <c r="Q226" s="441"/>
      <c r="R226" s="177"/>
      <c r="S226" s="178"/>
      <c r="T226" s="708"/>
      <c r="U226" s="718"/>
      <c r="V226" s="182">
        <v>31798</v>
      </c>
      <c r="W226" s="433">
        <f>ND代替値</f>
        <v>0.17499999999999999</v>
      </c>
      <c r="X226" s="184">
        <f>O428/27</f>
        <v>437.03703703703701</v>
      </c>
      <c r="Y226" s="435">
        <f>ND代替値*2.71828^(-(0.69315/2.062)*(V226-事故日Cb)/365.25)</f>
        <v>1.5209539161662265E-2</v>
      </c>
      <c r="Z226" s="195">
        <f>(P428/27*1000)/1000</f>
        <v>0.1037037037037037</v>
      </c>
      <c r="AA226" s="178"/>
      <c r="AB226" s="185"/>
      <c r="AC226" s="186"/>
      <c r="AD226" s="187"/>
      <c r="AE226" s="182">
        <v>31798</v>
      </c>
      <c r="AF226" s="433">
        <f>ND代替値2</f>
        <v>0.17499999999999999</v>
      </c>
      <c r="AG226" s="184">
        <f>T428/27</f>
        <v>444.44444444444446</v>
      </c>
      <c r="AH226" s="435">
        <f>ND代替値2*2.71828^(-(0.69315/2.062)*(V226-事故日Cb)/365.25)</f>
        <v>3.7828853812339483E-2</v>
      </c>
      <c r="AI226" s="731">
        <f>(U428/27*1000)/1000</f>
        <v>0.10740740740740741</v>
      </c>
      <c r="AJ226" s="718"/>
      <c r="AK226" s="182"/>
      <c r="AL226" s="188"/>
      <c r="AM226" s="184"/>
      <c r="AN226" s="178"/>
      <c r="AO226" s="708"/>
      <c r="AP226" s="718"/>
      <c r="AR226" s="485">
        <f t="shared" si="10"/>
        <v>0.98527841369657831</v>
      </c>
      <c r="AS226" s="485">
        <f t="shared" si="11"/>
        <v>0.80550990758147323</v>
      </c>
      <c r="AT226" s="486">
        <f t="shared" si="12"/>
        <v>0.47043850896963724</v>
      </c>
      <c r="AU226" s="487">
        <f t="shared" si="13"/>
        <v>199.99999993015365</v>
      </c>
      <c r="AV226" s="488">
        <f t="shared" si="14"/>
        <v>0.96447688183237879</v>
      </c>
      <c r="AW226" s="486">
        <f t="shared" si="15"/>
        <v>9.846337159816046E-2</v>
      </c>
      <c r="AX226" s="805">
        <f t="shared" si="16"/>
        <v>1.8473321054809972E-10</v>
      </c>
    </row>
    <row r="227" spans="2:50" ht="11.1" customHeight="1" x14ac:dyDescent="0.2">
      <c r="B227" s="175">
        <v>31798</v>
      </c>
      <c r="C227" s="433">
        <f>ND代替値</f>
        <v>0.18518518518518517</v>
      </c>
      <c r="D227" s="177">
        <f>D429/27</f>
        <v>408.14814814814815</v>
      </c>
      <c r="E227" s="435">
        <f>ND代替値*2.71828^(-(0.69315/2.062)*(B227-事故日Cb)/365.25)</f>
        <v>1.559952734529463E-2</v>
      </c>
      <c r="F227" s="178">
        <f>(E429/27*1000)/1000</f>
        <v>9.6296296296296297E-2</v>
      </c>
      <c r="G227" s="178"/>
      <c r="H227" s="437">
        <f>ND代替値*2.71828^(-(0.69315/28.799)*(B227-調査開始日)/365.25)</f>
        <v>8.8255083544444973E-3</v>
      </c>
      <c r="I227" s="186">
        <v>1.6</v>
      </c>
      <c r="J227" s="203">
        <f>ND代替値</f>
        <v>5.0000000000000001E-3</v>
      </c>
      <c r="K227" s="175">
        <v>31798</v>
      </c>
      <c r="L227" s="433">
        <f>ND代替値2</f>
        <v>0.20499999999999999</v>
      </c>
      <c r="M227" s="438">
        <f>ND代替値2</f>
        <v>104.44444444444444</v>
      </c>
      <c r="N227" s="435">
        <f>ND代替値2*2.71828^(-(0.69315/2.062)*(B227-事故日Cb)/365.25)</f>
        <v>1.5209539161662265E-2</v>
      </c>
      <c r="O227" s="709">
        <f>ND代替値2*2.71828^(-(0.69315/30.07)*(B227-事故日Cb)/365.25)</f>
        <v>1.9170536926823176E-2</v>
      </c>
      <c r="P227" s="640"/>
      <c r="Q227" s="433">
        <f>ND代替値</f>
        <v>0.215</v>
      </c>
      <c r="R227" s="177">
        <f>L429/27</f>
        <v>372.96296296296299</v>
      </c>
      <c r="S227" s="435">
        <f>ND代替値*2.71828^(-(0.69315/2.062)*(B227-事故日Cb)/365.25)</f>
        <v>1.8329444630721191E-2</v>
      </c>
      <c r="T227" s="708">
        <f>(M429/27*1000)/1000</f>
        <v>6.6666666666666666E-2</v>
      </c>
      <c r="U227" s="640"/>
      <c r="V227" s="182"/>
      <c r="W227" s="183"/>
      <c r="X227" s="184"/>
      <c r="Y227" s="178"/>
      <c r="Z227" s="178"/>
      <c r="AA227" s="178"/>
      <c r="AB227" s="185"/>
      <c r="AC227" s="186"/>
      <c r="AD227" s="187"/>
      <c r="AE227" s="182"/>
      <c r="AF227" s="188"/>
      <c r="AG227" s="184"/>
      <c r="AH227" s="178"/>
      <c r="AI227" s="708"/>
      <c r="AJ227" s="640"/>
      <c r="AK227" s="182"/>
      <c r="AL227" s="188"/>
      <c r="AM227" s="184"/>
      <c r="AN227" s="178"/>
      <c r="AO227" s="708"/>
      <c r="AP227" s="640"/>
      <c r="AR227" s="485">
        <f t="shared" si="10"/>
        <v>0.98310445778580391</v>
      </c>
      <c r="AS227" s="485">
        <f t="shared" si="11"/>
        <v>0.77997636726473152</v>
      </c>
      <c r="AT227" s="486">
        <f t="shared" si="12"/>
        <v>0.29839430183232812</v>
      </c>
      <c r="AU227" s="487">
        <f t="shared" si="13"/>
        <v>199.99999991975099</v>
      </c>
      <c r="AV227" s="488">
        <f t="shared" si="14"/>
        <v>0.95929527725125774</v>
      </c>
      <c r="AW227" s="486">
        <f t="shared" si="15"/>
        <v>9.8236541162718752E-2</v>
      </c>
      <c r="AX227" s="805">
        <f t="shared" si="16"/>
        <v>9.2430996325043831E-12</v>
      </c>
    </row>
    <row r="228" spans="2:50" ht="11.1" customHeight="1" x14ac:dyDescent="0.2">
      <c r="B228" s="175">
        <v>31825</v>
      </c>
      <c r="C228" s="176"/>
      <c r="D228" s="177"/>
      <c r="E228" s="178"/>
      <c r="F228" s="178"/>
      <c r="G228" s="178"/>
      <c r="H228" s="179"/>
      <c r="I228" s="186"/>
      <c r="J228" s="181"/>
      <c r="K228" s="175">
        <v>31825</v>
      </c>
      <c r="L228" s="442"/>
      <c r="M228" s="177"/>
      <c r="N228" s="178"/>
      <c r="O228" s="708"/>
      <c r="P228" s="718"/>
      <c r="Q228" s="441"/>
      <c r="R228" s="177"/>
      <c r="S228" s="178"/>
      <c r="T228" s="708"/>
      <c r="U228" s="718"/>
      <c r="V228" s="182">
        <v>31873</v>
      </c>
      <c r="W228" s="204">
        <f>N430/27</f>
        <v>0.70370370370370372</v>
      </c>
      <c r="X228" s="184">
        <f>O430/27</f>
        <v>306.2962962962963</v>
      </c>
      <c r="Y228" s="435">
        <f>ND代替値*2.71828^(-(0.69315/2.062)*(V228-事故日Cb)/365.25)</f>
        <v>1.4195107270818911E-2</v>
      </c>
      <c r="Z228" s="195">
        <f>(P430/27*1000)/1000</f>
        <v>8.8888888888888892E-2</v>
      </c>
      <c r="AA228" s="178"/>
      <c r="AB228" s="185">
        <f>Q430/27</f>
        <v>6.2962962962962957E-2</v>
      </c>
      <c r="AC228" s="186">
        <v>1.4</v>
      </c>
      <c r="AD228" s="187">
        <f>R430/27</f>
        <v>4.4444444444444446E-2</v>
      </c>
      <c r="AE228" s="182">
        <v>31873</v>
      </c>
      <c r="AF228" s="433">
        <f>ND代替値2</f>
        <v>0.17499999999999999</v>
      </c>
      <c r="AG228" s="184">
        <f>T430/27</f>
        <v>288.51851851851853</v>
      </c>
      <c r="AH228" s="435">
        <f>ND代替値2*2.71828^(-(0.69315/2.062)*(V228-事故日Cb)/365.25)</f>
        <v>3.5305779622293192E-2</v>
      </c>
      <c r="AI228" s="731">
        <f>(U430/27*1000)/1000</f>
        <v>8.1481481481481502E-2</v>
      </c>
      <c r="AJ228" s="718"/>
      <c r="AK228" s="182"/>
      <c r="AL228" s="188"/>
      <c r="AM228" s="184"/>
      <c r="AN228" s="178"/>
      <c r="AO228" s="708"/>
      <c r="AP228" s="718"/>
      <c r="AR228" s="485">
        <f t="shared" si="10"/>
        <v>0.98143068405277833</v>
      </c>
      <c r="AS228" s="485">
        <f t="shared" si="11"/>
        <v>0.76083343317861185</v>
      </c>
      <c r="AT228" s="486">
        <f t="shared" si="12"/>
        <v>0.21002431557242154</v>
      </c>
      <c r="AU228" s="487">
        <f t="shared" si="13"/>
        <v>199.99999991172612</v>
      </c>
      <c r="AV228" s="488">
        <f t="shared" si="14"/>
        <v>0.95531706791206628</v>
      </c>
      <c r="AW228" s="486">
        <f t="shared" si="15"/>
        <v>9.8061914787027929E-2</v>
      </c>
      <c r="AX228" s="805">
        <f t="shared" si="16"/>
        <v>9.1706347752559357E-13</v>
      </c>
    </row>
    <row r="229" spans="2:50" ht="11.1" customHeight="1" x14ac:dyDescent="0.2">
      <c r="B229" s="175">
        <v>31884</v>
      </c>
      <c r="C229" s="198"/>
      <c r="D229" s="177"/>
      <c r="E229" s="178"/>
      <c r="F229" s="178"/>
      <c r="G229" s="178"/>
      <c r="H229" s="197"/>
      <c r="I229" s="186"/>
      <c r="J229" s="498"/>
      <c r="K229" s="175">
        <v>31884</v>
      </c>
      <c r="L229" s="442"/>
      <c r="M229" s="177"/>
      <c r="N229" s="178"/>
      <c r="O229" s="708"/>
      <c r="P229" s="718"/>
      <c r="Q229" s="441"/>
      <c r="R229" s="177"/>
      <c r="S229" s="178"/>
      <c r="T229" s="708"/>
      <c r="U229" s="718"/>
      <c r="V229" s="182"/>
      <c r="W229" s="183"/>
      <c r="X229" s="184"/>
      <c r="Y229" s="178"/>
      <c r="Z229" s="178"/>
      <c r="AA229" s="178"/>
      <c r="AB229" s="185"/>
      <c r="AC229" s="186"/>
      <c r="AD229" s="187"/>
      <c r="AE229" s="182"/>
      <c r="AF229" s="188"/>
      <c r="AG229" s="184"/>
      <c r="AH229" s="178"/>
      <c r="AI229" s="708"/>
      <c r="AJ229" s="718"/>
      <c r="AK229" s="182"/>
      <c r="AL229" s="188"/>
      <c r="AM229" s="184"/>
      <c r="AN229" s="178"/>
      <c r="AO229" s="708"/>
      <c r="AP229" s="718"/>
      <c r="AR229" s="485">
        <f t="shared" si="10"/>
        <v>0.9777830889656246</v>
      </c>
      <c r="AS229" s="485">
        <f t="shared" si="11"/>
        <v>0.72062178242308228</v>
      </c>
      <c r="AT229" s="486">
        <f t="shared" si="12"/>
        <v>9.7495161566055352E-2</v>
      </c>
      <c r="AU229" s="487">
        <f t="shared" si="13"/>
        <v>199.99999989419024</v>
      </c>
      <c r="AV229" s="488">
        <f t="shared" si="14"/>
        <v>0.94668126350400539</v>
      </c>
      <c r="AW229" s="486">
        <f t="shared" si="15"/>
        <v>9.7681403347351162E-2</v>
      </c>
      <c r="AX229" s="805">
        <f t="shared" si="16"/>
        <v>5.8849764970453178E-15</v>
      </c>
    </row>
    <row r="230" spans="2:50" ht="11.1" customHeight="1" x14ac:dyDescent="0.2">
      <c r="B230" s="175">
        <v>31908</v>
      </c>
      <c r="C230" s="433">
        <f>ND代替値</f>
        <v>0.18518518518518517</v>
      </c>
      <c r="D230" s="177">
        <f>D432/27</f>
        <v>238.14814814814815</v>
      </c>
      <c r="E230" s="435">
        <f t="shared" ref="E230:E258" si="17">ND代替値*2.71828^(-(0.69315/2.062)*(B230-事故日Cb)/365.25)</f>
        <v>1.4097581716609291E-2</v>
      </c>
      <c r="F230" s="178">
        <f>(E432/27*1000)/1000</f>
        <v>0.12592592592592591</v>
      </c>
      <c r="G230" s="178"/>
      <c r="H230" s="197"/>
      <c r="I230" s="186"/>
      <c r="J230" s="498"/>
      <c r="K230" s="175">
        <v>31908</v>
      </c>
      <c r="L230" s="183"/>
      <c r="M230" s="177">
        <f>I432/27</f>
        <v>238.14814814814815</v>
      </c>
      <c r="N230" s="435">
        <f>ND代替値2*2.71828^(-(0.69315/2.062)*(B230-事故日Cb)/365.25)</f>
        <v>1.3745142173694059E-2</v>
      </c>
      <c r="O230" s="708">
        <f>(J432/27*1000)/1000</f>
        <v>0.12592592592592591</v>
      </c>
      <c r="P230" s="718"/>
      <c r="Q230" s="433">
        <f>ND代替値</f>
        <v>0.215</v>
      </c>
      <c r="R230" s="177">
        <f>L432/27</f>
        <v>337.77777777777777</v>
      </c>
      <c r="S230" s="435">
        <f>ND代替値*2.71828^(-(0.69315/2.062)*(B230-事故日Cb)/365.25)</f>
        <v>1.6564658517015916E-2</v>
      </c>
      <c r="T230" s="708">
        <f>(M432/27*1000)/1000</f>
        <v>0.15555555555555556</v>
      </c>
      <c r="U230" s="718"/>
      <c r="V230" s="182">
        <v>31972</v>
      </c>
      <c r="W230" s="206">
        <f>N432/27</f>
        <v>0.62962962962962965</v>
      </c>
      <c r="X230" s="184">
        <f>O432/27</f>
        <v>280.37037037037038</v>
      </c>
      <c r="Y230" s="435">
        <f>ND代替値*2.71828^(-(0.69315/2.062)*(V230-事故日Cb)/365.25)</f>
        <v>1.2958912026880468E-2</v>
      </c>
      <c r="Z230" s="178">
        <f>(P432/27*1000)/1000</f>
        <v>9.2592592592592587E-2</v>
      </c>
      <c r="AA230" s="178"/>
      <c r="AB230" s="185"/>
      <c r="AC230" s="186"/>
      <c r="AD230" s="187"/>
      <c r="AE230" s="182">
        <v>31972</v>
      </c>
      <c r="AF230" s="198">
        <f>ND代替値</f>
        <v>0.26</v>
      </c>
      <c r="AG230" s="184">
        <f>T432/27</f>
        <v>263.7037037037037</v>
      </c>
      <c r="AH230" s="435">
        <f>ND代替値2*2.71828^(-(0.69315/2.062)*(V230-事故日Cb)/365.25)</f>
        <v>3.223114016942065E-2</v>
      </c>
      <c r="AI230" s="708">
        <f>(U432/27*1000)/1000</f>
        <v>8.1481481481481502E-2</v>
      </c>
      <c r="AJ230" s="718"/>
      <c r="AK230" s="182"/>
      <c r="AL230" s="188"/>
      <c r="AM230" s="184"/>
      <c r="AN230" s="178"/>
      <c r="AO230" s="708"/>
      <c r="AP230" s="718"/>
      <c r="AR230" s="485">
        <f t="shared" si="10"/>
        <v>0.97630320323054032</v>
      </c>
      <c r="AS230" s="485">
        <f t="shared" si="11"/>
        <v>0.70487908583046455</v>
      </c>
      <c r="AT230" s="486">
        <f t="shared" si="12"/>
        <v>7.1352449656591085E-2</v>
      </c>
      <c r="AU230" s="487">
        <f t="shared" si="13"/>
        <v>199.99999988705696</v>
      </c>
      <c r="AV230" s="488">
        <f t="shared" si="14"/>
        <v>0.94319077039543475</v>
      </c>
      <c r="AW230" s="486">
        <f t="shared" si="15"/>
        <v>9.7527041822219884E-2</v>
      </c>
      <c r="AX230" s="805">
        <f t="shared" si="16"/>
        <v>7.547748340460913E-16</v>
      </c>
    </row>
    <row r="231" spans="2:50" ht="11.1" customHeight="1" x14ac:dyDescent="0.2">
      <c r="B231" s="175">
        <v>32009</v>
      </c>
      <c r="C231" s="183">
        <f>C433/27</f>
        <v>0.66666666666666663</v>
      </c>
      <c r="D231" s="177">
        <f>D433/27</f>
        <v>249.62962962962962</v>
      </c>
      <c r="E231" s="435">
        <f t="shared" si="17"/>
        <v>1.2846212056406483E-2</v>
      </c>
      <c r="F231" s="178">
        <f>(E433/27*1000)/1000</f>
        <v>0.15925925925925924</v>
      </c>
      <c r="G231" s="178"/>
      <c r="H231" s="179">
        <f>F433/27</f>
        <v>0.1</v>
      </c>
      <c r="I231" s="186">
        <v>2.9</v>
      </c>
      <c r="J231" s="181">
        <f>H231/I231</f>
        <v>3.4482758620689655E-2</v>
      </c>
      <c r="K231" s="175">
        <v>32009</v>
      </c>
      <c r="L231" s="183">
        <f>H433/27</f>
        <v>0.66666666666666663</v>
      </c>
      <c r="M231" s="177">
        <f>I433/27</f>
        <v>249.62962962962962</v>
      </c>
      <c r="N231" s="435">
        <f>ND代替値2*2.71828^(-(0.69315/2.062)*(B231-事故日Cb)/365.25)</f>
        <v>1.252505675499632E-2</v>
      </c>
      <c r="O231" s="708">
        <f>(J433/27*1000)/1000</f>
        <v>0.15925925925925924</v>
      </c>
      <c r="P231" s="718"/>
      <c r="Q231" s="442">
        <f>K433/27</f>
        <v>0.55555555555555558</v>
      </c>
      <c r="R231" s="177">
        <f>L433/27</f>
        <v>278.14814814814815</v>
      </c>
      <c r="S231" s="435">
        <f>ND代替値*2.71828^(-(0.69315/2.062)*(B231-事故日Cb)/365.25)</f>
        <v>1.5094299166277617E-2</v>
      </c>
      <c r="T231" s="708">
        <f>(M433/27*1000)/1000</f>
        <v>0.12592592592592591</v>
      </c>
      <c r="U231" s="718"/>
      <c r="V231" s="182"/>
      <c r="W231" s="198"/>
      <c r="X231" s="184"/>
      <c r="Y231" s="178"/>
      <c r="Z231" s="178"/>
      <c r="AA231" s="178"/>
      <c r="AB231" s="185"/>
      <c r="AC231" s="186"/>
      <c r="AD231" s="187"/>
      <c r="AE231" s="182"/>
      <c r="AF231" s="188"/>
      <c r="AG231" s="184"/>
      <c r="AH231" s="178"/>
      <c r="AI231" s="708"/>
      <c r="AJ231" s="718"/>
      <c r="AK231" s="182"/>
      <c r="AL231" s="188"/>
      <c r="AM231" s="184"/>
      <c r="AN231" s="178"/>
      <c r="AO231" s="708"/>
      <c r="AP231" s="718"/>
      <c r="AR231" s="485">
        <f t="shared" si="10"/>
        <v>0.97009985774318941</v>
      </c>
      <c r="AS231" s="485">
        <f t="shared" si="11"/>
        <v>0.64231060282032415</v>
      </c>
      <c r="AT231" s="486">
        <f t="shared" si="12"/>
        <v>1.9180837494503236E-2</v>
      </c>
      <c r="AU231" s="487">
        <f t="shared" si="13"/>
        <v>199.99999985703792</v>
      </c>
      <c r="AV231" s="488">
        <f t="shared" si="14"/>
        <v>0.92864209895782501</v>
      </c>
      <c r="AW231" s="486">
        <f t="shared" si="15"/>
        <v>9.688010584097545E-2</v>
      </c>
      <c r="AX231" s="805">
        <f t="shared" si="16"/>
        <v>1.3313429223285188E-19</v>
      </c>
    </row>
    <row r="232" spans="2:50" ht="11.1" customHeight="1" x14ac:dyDescent="0.2">
      <c r="B232" s="175">
        <v>32098</v>
      </c>
      <c r="C232" s="433">
        <f>ND代替値</f>
        <v>0.18518518518518517</v>
      </c>
      <c r="D232" s="177">
        <f>D434/27</f>
        <v>392.59259259259261</v>
      </c>
      <c r="E232" s="435">
        <f t="shared" si="17"/>
        <v>1.1835917604050684E-2</v>
      </c>
      <c r="F232" s="178">
        <f>(E434/27*1000)/1000</f>
        <v>0.18148148148148149</v>
      </c>
      <c r="G232" s="178"/>
      <c r="H232" s="179"/>
      <c r="I232" s="186"/>
      <c r="J232" s="498"/>
      <c r="K232" s="175">
        <v>32098</v>
      </c>
      <c r="L232" s="442"/>
      <c r="M232" s="177"/>
      <c r="N232" s="178"/>
      <c r="O232" s="708"/>
      <c r="P232" s="718"/>
      <c r="Q232" s="433">
        <f>ND代替値</f>
        <v>0.215</v>
      </c>
      <c r="R232" s="177">
        <f>L434/27</f>
        <v>418.51851851851853</v>
      </c>
      <c r="S232" s="435">
        <f>ND代替値*2.71828^(-(0.69315/2.062)*(B232-事故日Cb)/365.25)</f>
        <v>1.3907203184759553E-2</v>
      </c>
      <c r="T232" s="708">
        <f>(M434/27*1000)/1000</f>
        <v>0.17037037037037034</v>
      </c>
      <c r="U232" s="718"/>
      <c r="V232" s="182">
        <v>32074</v>
      </c>
      <c r="W232" s="433">
        <f>ND代替値</f>
        <v>0.17499999999999999</v>
      </c>
      <c r="X232" s="184">
        <f>O434/27</f>
        <v>320.74074074074076</v>
      </c>
      <c r="Y232" s="435">
        <f>ND代替値*2.71828^(-(0.69315/2.062)*(V232-事故日Cb)/365.25)</f>
        <v>1.1797753269463276E-2</v>
      </c>
      <c r="Z232" s="178">
        <f>(P434/27*1000)/1000</f>
        <v>0.14814814814814814</v>
      </c>
      <c r="AA232" s="178"/>
      <c r="AB232" s="185"/>
      <c r="AC232" s="186"/>
      <c r="AD232" s="187"/>
      <c r="AE232" s="182">
        <v>32074</v>
      </c>
      <c r="AF232" s="204">
        <f>S434/27</f>
        <v>0.66666666666666663</v>
      </c>
      <c r="AG232" s="184">
        <f>T434/27</f>
        <v>339.25925925925924</v>
      </c>
      <c r="AH232" s="435">
        <f>ND代替値2*2.71828^(-(0.69315/2.062)*(V232-事故日Cb)/365.25)</f>
        <v>2.9343129926613788E-2</v>
      </c>
      <c r="AI232" s="708">
        <f>(U434/27*1000)/1000</f>
        <v>0.162962962962963</v>
      </c>
      <c r="AJ232" s="718"/>
      <c r="AK232" s="182">
        <v>32109</v>
      </c>
      <c r="AL232" s="433">
        <f>ND代替値2</f>
        <v>0.21</v>
      </c>
      <c r="AM232" s="184">
        <f>W434/27</f>
        <v>369.62962962962962</v>
      </c>
      <c r="AN232" s="435">
        <f>ND代替値2*2.71828^(-(0.69315/2.062)*(AK232-事故日Cb)/365.25)</f>
        <v>1.1716698409920366E-2</v>
      </c>
      <c r="AO232" s="708">
        <f>(X434/27*1000)/1000</f>
        <v>0.11851851851851852</v>
      </c>
      <c r="AP232" s="718"/>
      <c r="AR232" s="485">
        <f t="shared" si="10"/>
        <v>0.96466622080746589</v>
      </c>
      <c r="AS232" s="485">
        <f t="shared" si="11"/>
        <v>0.59179588020253415</v>
      </c>
      <c r="AT232" s="486">
        <f t="shared" si="12"/>
        <v>6.0271684808055875E-3</v>
      </c>
      <c r="AU232" s="487">
        <f t="shared" si="13"/>
        <v>199.99999983058547</v>
      </c>
      <c r="AV232" s="488">
        <f t="shared" si="14"/>
        <v>0.91600809882545353</v>
      </c>
      <c r="AW232" s="486">
        <f t="shared" si="15"/>
        <v>9.6313591350380132E-2</v>
      </c>
      <c r="AX232" s="805">
        <f t="shared" si="16"/>
        <v>6.5573160603617874E-23</v>
      </c>
    </row>
    <row r="233" spans="2:50" ht="11.1" customHeight="1" x14ac:dyDescent="0.2">
      <c r="B233" s="175">
        <v>32206</v>
      </c>
      <c r="C233" s="433">
        <f>ND代替値</f>
        <v>0.18518518518518517</v>
      </c>
      <c r="D233" s="177">
        <f>D435/27</f>
        <v>324.07407407407408</v>
      </c>
      <c r="E233" s="435">
        <f t="shared" si="17"/>
        <v>1.0716044558375389E-2</v>
      </c>
      <c r="F233" s="178">
        <f>(E435/27*1000)/1000</f>
        <v>5.9259259259259262E-2</v>
      </c>
      <c r="G233" s="178"/>
      <c r="H233" s="437">
        <f>ND代替値*2.71828^(-(0.69315/28.799)*(B233-調査開始日)/365.25)</f>
        <v>8.5913907097697993E-3</v>
      </c>
      <c r="I233" s="186">
        <v>1.4</v>
      </c>
      <c r="J233" s="203">
        <f>ND代替値</f>
        <v>5.0000000000000001E-3</v>
      </c>
      <c r="K233" s="175">
        <v>32206</v>
      </c>
      <c r="L233" s="433">
        <f>ND代替値2</f>
        <v>0.20499999999999999</v>
      </c>
      <c r="M233" s="177">
        <f>I435/27</f>
        <v>324.07407407407408</v>
      </c>
      <c r="N233" s="435">
        <f>ND代替値2*2.71828^(-(0.69315/2.062)*(B233-事故日Cb)/365.25)</f>
        <v>1.0448143444416004E-2</v>
      </c>
      <c r="O233" s="708">
        <f>(J435/27*1000)/1000</f>
        <v>5.9259259259259262E-2</v>
      </c>
      <c r="P233" s="718"/>
      <c r="Q233" s="433">
        <f>ND代替値</f>
        <v>0.215</v>
      </c>
      <c r="R233" s="177">
        <f>L435/27</f>
        <v>322.22222222222223</v>
      </c>
      <c r="S233" s="435">
        <f>ND代替値*2.71828^(-(0.69315/2.062)*(B233-事故日Cb)/365.25)</f>
        <v>1.2591352356091082E-2</v>
      </c>
      <c r="T233" s="708">
        <f>(M435/27*1000)/1000</f>
        <v>7.7777777777777779E-2</v>
      </c>
      <c r="U233" s="718"/>
      <c r="V233" s="182">
        <v>32161</v>
      </c>
      <c r="W233" s="433">
        <f>ND代替値</f>
        <v>0.17499999999999999</v>
      </c>
      <c r="X233" s="184">
        <f>O435/27</f>
        <v>374.07407407407408</v>
      </c>
      <c r="Y233" s="435">
        <f>ND代替値*2.71828^(-(0.69315/2.062)*(V233-事故日Cb)/365.25)</f>
        <v>1.0889941643009183E-2</v>
      </c>
      <c r="Z233" s="434">
        <f>ND代替値*2.71828^(-(0.69315/30.07)*(V233-調査開始日)/365.25)</f>
        <v>1.8643280198868031E-2</v>
      </c>
      <c r="AA233" s="178"/>
      <c r="AB233" s="207"/>
      <c r="AC233" s="208"/>
      <c r="AD233" s="209"/>
      <c r="AE233" s="182">
        <v>32161</v>
      </c>
      <c r="AF233" s="433">
        <f>ND代替値2</f>
        <v>0.17499999999999999</v>
      </c>
      <c r="AG233" s="184">
        <f>T435/27</f>
        <v>425.92592592592592</v>
      </c>
      <c r="AH233" s="435">
        <f>ND代替値2*2.71828^(-(0.69315/2.062)*(V233-事故日Cb)/365.25)</f>
        <v>2.7085239471074121E-2</v>
      </c>
      <c r="AI233" s="731">
        <f>(U435/27*1000)/1000</f>
        <v>8.8888888888888892E-2</v>
      </c>
      <c r="AJ233" s="718"/>
      <c r="AK233" s="182"/>
      <c r="AL233" s="188"/>
      <c r="AM233" s="184"/>
      <c r="AN233" s="178"/>
      <c r="AO233" s="708"/>
      <c r="AP233" s="718"/>
      <c r="AR233" s="485">
        <f t="shared" si="10"/>
        <v>0.95811345143101079</v>
      </c>
      <c r="AS233" s="485">
        <f t="shared" si="11"/>
        <v>0.53580222791876941</v>
      </c>
      <c r="AT233" s="486">
        <f t="shared" si="12"/>
        <v>1.4792090047064026E-3</v>
      </c>
      <c r="AU233" s="487">
        <f t="shared" si="13"/>
        <v>199.99999979848587</v>
      </c>
      <c r="AV233" s="488">
        <f t="shared" si="14"/>
        <v>0.90090756973065234</v>
      </c>
      <c r="AW233" s="486">
        <f t="shared" si="15"/>
        <v>9.5630582761872321E-2</v>
      </c>
      <c r="AX233" s="805">
        <f t="shared" si="16"/>
        <v>6.3540872031294225E-27</v>
      </c>
    </row>
    <row r="234" spans="2:50" ht="11.1" customHeight="1" x14ac:dyDescent="0.2">
      <c r="B234" s="538">
        <v>32247</v>
      </c>
      <c r="C234" s="433">
        <f>ND代替値</f>
        <v>0.18518518518518517</v>
      </c>
      <c r="D234" s="370">
        <v>327</v>
      </c>
      <c r="E234" s="469">
        <f t="shared" si="17"/>
        <v>1.0319220160265482E-2</v>
      </c>
      <c r="F234" s="371">
        <v>8.6999999999999994E-2</v>
      </c>
      <c r="G234" s="371"/>
      <c r="H234" s="539"/>
      <c r="I234" s="396"/>
      <c r="J234" s="540"/>
      <c r="K234" s="538">
        <v>32247</v>
      </c>
      <c r="L234" s="541"/>
      <c r="M234" s="370"/>
      <c r="N234" s="371"/>
      <c r="O234" s="711"/>
      <c r="P234" s="718"/>
      <c r="Q234" s="541"/>
      <c r="R234" s="370"/>
      <c r="S234" s="371"/>
      <c r="T234" s="711"/>
      <c r="U234" s="718"/>
      <c r="V234" s="288">
        <v>32247</v>
      </c>
      <c r="W234" s="472">
        <f>ND代替値</f>
        <v>0.17499999999999999</v>
      </c>
      <c r="X234" s="374">
        <v>366</v>
      </c>
      <c r="Y234" s="469">
        <f>ND代替値*2.71828^(-(0.69315/2.062)*(V234-事故日Cb)/365.25)</f>
        <v>1.0061239656258844E-2</v>
      </c>
      <c r="Z234" s="542">
        <v>0.1</v>
      </c>
      <c r="AA234" s="371"/>
      <c r="AB234" s="395">
        <v>4.9000000000000002E-2</v>
      </c>
      <c r="AC234" s="396">
        <v>1.6</v>
      </c>
      <c r="AD234" s="397">
        <v>0.03</v>
      </c>
      <c r="AE234" s="288">
        <v>32247</v>
      </c>
      <c r="AF234" s="472">
        <f>ND代替値2</f>
        <v>0.17499999999999999</v>
      </c>
      <c r="AG234" s="374">
        <v>338</v>
      </c>
      <c r="AH234" s="469">
        <f>ND代替値2*2.71828^(-(0.69315/2.062)*(V234-事故日Cb)/365.25)</f>
        <v>2.5024108888643794E-2</v>
      </c>
      <c r="AI234" s="711">
        <v>0.08</v>
      </c>
      <c r="AJ234" s="718"/>
      <c r="AK234" s="288"/>
      <c r="AL234" s="380"/>
      <c r="AM234" s="374"/>
      <c r="AN234" s="371"/>
      <c r="AO234" s="711"/>
      <c r="AP234" s="718"/>
      <c r="AR234" s="485">
        <f t="shared" si="10"/>
        <v>0.95563749886173965</v>
      </c>
      <c r="AS234" s="485">
        <f t="shared" si="11"/>
        <v>0.51596100801327405</v>
      </c>
      <c r="AT234" s="486">
        <f t="shared" si="12"/>
        <v>8.6780801871190157E-4</v>
      </c>
      <c r="AU234" s="487">
        <f t="shared" si="13"/>
        <v>199.99999978629992</v>
      </c>
      <c r="AV234" s="488">
        <f t="shared" si="14"/>
        <v>0.89524037468652384</v>
      </c>
      <c r="AW234" s="486">
        <f t="shared" si="15"/>
        <v>9.5372562733123611E-2</v>
      </c>
      <c r="AX234" s="805">
        <f t="shared" si="16"/>
        <v>1.9025846858191889E-28</v>
      </c>
    </row>
    <row r="235" spans="2:50" ht="11.1" customHeight="1" x14ac:dyDescent="0.2">
      <c r="B235" s="175">
        <v>32283</v>
      </c>
      <c r="C235" s="433">
        <f>ND代替値</f>
        <v>0.18518518518518517</v>
      </c>
      <c r="D235" s="177">
        <v>361</v>
      </c>
      <c r="E235" s="435">
        <f t="shared" si="17"/>
        <v>9.9829233697212184E-3</v>
      </c>
      <c r="F235" s="178">
        <v>6.0999999999999999E-2</v>
      </c>
      <c r="G235" s="178"/>
      <c r="H235" s="179"/>
      <c r="I235" s="186"/>
      <c r="J235" s="498"/>
      <c r="K235" s="175">
        <v>32283</v>
      </c>
      <c r="L235" s="433">
        <f>ND代替値2</f>
        <v>0.20499999999999999</v>
      </c>
      <c r="M235" s="177">
        <v>267</v>
      </c>
      <c r="N235" s="435">
        <f>ND代替値2*2.71828^(-(0.69315/2.062)*(B235-事故日Cb)/365.25)</f>
        <v>9.733350285478188E-3</v>
      </c>
      <c r="O235" s="708">
        <v>9.1999999999999998E-2</v>
      </c>
      <c r="P235" s="718"/>
      <c r="Q235" s="433">
        <f>ND代替値</f>
        <v>0.215</v>
      </c>
      <c r="R235" s="177">
        <v>298</v>
      </c>
      <c r="S235" s="435">
        <f>ND代替値*2.71828^(-(0.69315/2.062)*(B235-事故日Cb)/365.25)</f>
        <v>1.1729934959422431E-2</v>
      </c>
      <c r="T235" s="708">
        <v>0.1</v>
      </c>
      <c r="U235" s="718"/>
      <c r="V235" s="182"/>
      <c r="W235" s="183"/>
      <c r="X235" s="184"/>
      <c r="Y235" s="178"/>
      <c r="Z235" s="178"/>
      <c r="AA235" s="178"/>
      <c r="AB235" s="185"/>
      <c r="AC235" s="186"/>
      <c r="AD235" s="187"/>
      <c r="AE235" s="182"/>
      <c r="AF235" s="188"/>
      <c r="AG235" s="184"/>
      <c r="AH235" s="178"/>
      <c r="AI235" s="708"/>
      <c r="AJ235" s="718"/>
      <c r="AK235" s="182"/>
      <c r="AL235" s="188"/>
      <c r="AM235" s="184"/>
      <c r="AN235" s="178"/>
      <c r="AO235" s="708"/>
      <c r="AP235" s="718"/>
      <c r="AR235" s="485">
        <f t="shared" si="10"/>
        <v>0.9534687677773952</v>
      </c>
      <c r="AS235" s="485">
        <f t="shared" si="11"/>
        <v>0.49914616848606091</v>
      </c>
      <c r="AT235" s="486">
        <f t="shared" si="12"/>
        <v>5.4332838640906928E-4</v>
      </c>
      <c r="AU235" s="487">
        <f t="shared" si="13"/>
        <v>199.99999977560003</v>
      </c>
      <c r="AV235" s="488">
        <f t="shared" si="14"/>
        <v>0.89029370203900915</v>
      </c>
      <c r="AW235" s="486">
        <f t="shared" si="15"/>
        <v>9.51465826161631E-2</v>
      </c>
      <c r="AX235" s="805">
        <f t="shared" si="16"/>
        <v>8.7388244407041301E-30</v>
      </c>
    </row>
    <row r="236" spans="2:50" ht="11.1" customHeight="1" x14ac:dyDescent="0.2">
      <c r="B236" s="175">
        <v>32364</v>
      </c>
      <c r="C236" s="183">
        <v>0.81</v>
      </c>
      <c r="D236" s="177">
        <v>351</v>
      </c>
      <c r="E236" s="435">
        <f t="shared" si="17"/>
        <v>9.2657839732554394E-3</v>
      </c>
      <c r="F236" s="178">
        <v>0.14000000000000001</v>
      </c>
      <c r="G236" s="178"/>
      <c r="H236" s="437">
        <f>ND代替値*2.71828^(-(0.69315/28.799)*(B236-調査開始日)/365.25)</f>
        <v>8.5024048549317104E-3</v>
      </c>
      <c r="I236" s="186">
        <v>2.2000000000000002</v>
      </c>
      <c r="J236" s="203">
        <f>ND代替値</f>
        <v>5.0000000000000001E-3</v>
      </c>
      <c r="K236" s="175">
        <v>32364</v>
      </c>
      <c r="L236" s="433">
        <f>ND代替値2</f>
        <v>0.20499999999999999</v>
      </c>
      <c r="M236" s="177">
        <v>285</v>
      </c>
      <c r="N236" s="435">
        <f>ND代替値2*2.71828^(-(0.69315/2.062)*(B236-事故日Cb)/365.25)</f>
        <v>9.0341393739240532E-3</v>
      </c>
      <c r="O236" s="708">
        <v>0.12</v>
      </c>
      <c r="P236" s="718"/>
      <c r="Q236" s="433">
        <f>ND代替値</f>
        <v>0.215</v>
      </c>
      <c r="R236" s="177">
        <v>347</v>
      </c>
      <c r="S236" s="435">
        <f>ND代替値*2.71828^(-(0.69315/2.062)*(B236-事故日Cb)/365.25)</f>
        <v>1.0887296168575141E-2</v>
      </c>
      <c r="T236" s="708">
        <v>0.1</v>
      </c>
      <c r="U236" s="718"/>
      <c r="V236" s="182">
        <v>32344</v>
      </c>
      <c r="W236" s="773">
        <v>0.61</v>
      </c>
      <c r="X236" s="184">
        <v>277</v>
      </c>
      <c r="Y236" s="435">
        <f>ND代替値*2.71828^(-(0.69315/2.062)*(V236-事故日Cb)/365.25)</f>
        <v>9.201968737001574E-3</v>
      </c>
      <c r="Z236" s="195">
        <v>7.2999999999999995E-2</v>
      </c>
      <c r="AA236" s="178"/>
      <c r="AB236" s="185"/>
      <c r="AC236" s="186"/>
      <c r="AD236" s="187"/>
      <c r="AE236" s="182">
        <v>32344</v>
      </c>
      <c r="AF236" s="188">
        <v>0.78</v>
      </c>
      <c r="AG236" s="184">
        <v>318</v>
      </c>
      <c r="AH236" s="435">
        <f>ND代替値2*2.71828^(-(0.69315/2.062)*(V236-事故日Cb)/365.25)</f>
        <v>2.288694788433725E-2</v>
      </c>
      <c r="AI236" s="708">
        <v>9.1999999999999998E-2</v>
      </c>
      <c r="AJ236" s="718"/>
      <c r="AK236" s="182"/>
      <c r="AL236" s="188"/>
      <c r="AM236" s="184"/>
      <c r="AN236" s="178"/>
      <c r="AO236" s="708"/>
      <c r="AP236" s="718"/>
      <c r="AR236" s="485">
        <f t="shared" si="10"/>
        <v>0.94860710091767453</v>
      </c>
      <c r="AS236" s="485">
        <f t="shared" si="11"/>
        <v>0.46328919866277196</v>
      </c>
      <c r="AT236" s="486">
        <f t="shared" si="12"/>
        <v>1.8945215651945194E-4</v>
      </c>
      <c r="AU236" s="487">
        <f t="shared" si="13"/>
        <v>199.99999975152534</v>
      </c>
      <c r="AV236" s="488">
        <f t="shared" si="14"/>
        <v>0.87926339471726223</v>
      </c>
      <c r="AW236" s="486">
        <f t="shared" si="15"/>
        <v>9.4640083150900986E-2</v>
      </c>
      <c r="AX236" s="805">
        <f t="shared" si="16"/>
        <v>8.5348974044842822E-33</v>
      </c>
    </row>
    <row r="237" spans="2:50" ht="11.1" customHeight="1" x14ac:dyDescent="0.2">
      <c r="B237" s="175">
        <v>32485</v>
      </c>
      <c r="C237" s="183">
        <v>0.82</v>
      </c>
      <c r="D237" s="177">
        <v>436</v>
      </c>
      <c r="E237" s="435">
        <f t="shared" si="17"/>
        <v>8.2893155000445563E-3</v>
      </c>
      <c r="F237" s="178">
        <v>8.6999999999999994E-2</v>
      </c>
      <c r="G237" s="178"/>
      <c r="H237" s="179"/>
      <c r="I237" s="186"/>
      <c r="J237" s="498"/>
      <c r="K237" s="175">
        <v>32485</v>
      </c>
      <c r="L237" s="441">
        <v>0.62</v>
      </c>
      <c r="M237" s="177">
        <v>414</v>
      </c>
      <c r="N237" s="435">
        <f>ND代替値2*2.71828^(-(0.69315/2.062)*(B237-事故日Cb)/365.25)</f>
        <v>8.0820826125434422E-3</v>
      </c>
      <c r="O237" s="708">
        <v>0.15</v>
      </c>
      <c r="P237" s="718"/>
      <c r="Q237" s="433">
        <f>ND代替値</f>
        <v>0.215</v>
      </c>
      <c r="R237" s="177">
        <v>446</v>
      </c>
      <c r="S237" s="435">
        <f>ND代替値*2.71828^(-(0.69315/2.062)*(B237-事故日Cb)/365.25)</f>
        <v>9.7399457125523538E-3</v>
      </c>
      <c r="T237" s="708">
        <v>0.13</v>
      </c>
      <c r="U237" s="718"/>
      <c r="V237" s="182">
        <v>32441</v>
      </c>
      <c r="W237" s="773">
        <v>0.87</v>
      </c>
      <c r="X237" s="184">
        <v>357</v>
      </c>
      <c r="Y237" s="435">
        <f>ND代替値*2.71828^(-(0.69315/2.062)*(V237-事故日Cb)/365.25)</f>
        <v>8.4160830603095139E-3</v>
      </c>
      <c r="Z237" s="178">
        <v>0.15</v>
      </c>
      <c r="AA237" s="178"/>
      <c r="AB237" s="185"/>
      <c r="AC237" s="186"/>
      <c r="AD237" s="187"/>
      <c r="AE237" s="182">
        <v>32441</v>
      </c>
      <c r="AF237" s="433">
        <f>ND代替値2</f>
        <v>0.17499999999999999</v>
      </c>
      <c r="AG237" s="184">
        <v>355</v>
      </c>
      <c r="AH237" s="435">
        <f>ND代替値2*2.71828^(-(0.69315/2.062)*(V237-事故日Cb)/365.25)</f>
        <v>2.0932309150000585E-2</v>
      </c>
      <c r="AI237" s="708">
        <v>0.14000000000000001</v>
      </c>
      <c r="AJ237" s="718"/>
      <c r="AK237" s="182">
        <v>32469</v>
      </c>
      <c r="AL237" s="188">
        <v>0.81</v>
      </c>
      <c r="AM237" s="184">
        <v>431</v>
      </c>
      <c r="AN237" s="435">
        <f>ND代替値2*2.71828^(-(0.69315/2.062)*(AK237-事故日Cb)/365.25)</f>
        <v>8.4122823967211942E-3</v>
      </c>
      <c r="AO237" s="708">
        <v>0.13</v>
      </c>
      <c r="AP237" s="718"/>
      <c r="AR237" s="485">
        <f t="shared" si="10"/>
        <v>0.9413907464694018</v>
      </c>
      <c r="AS237" s="485">
        <f t="shared" si="11"/>
        <v>0.41446577500222781</v>
      </c>
      <c r="AT237" s="486">
        <f t="shared" si="12"/>
        <v>3.9262662934112991E-5</v>
      </c>
      <c r="AU237" s="487">
        <f t="shared" si="13"/>
        <v>199.99999971556193</v>
      </c>
      <c r="AV237" s="488">
        <f t="shared" si="14"/>
        <v>0.86304005533273398</v>
      </c>
      <c r="AW237" s="486">
        <f t="shared" si="15"/>
        <v>9.3888478375675724E-2</v>
      </c>
      <c r="AX237" s="805">
        <f t="shared" si="16"/>
        <v>2.7189302064885143E-37</v>
      </c>
    </row>
    <row r="238" spans="2:50" ht="11.1" customHeight="1" x14ac:dyDescent="0.2">
      <c r="B238" s="175">
        <v>32547</v>
      </c>
      <c r="C238" s="433">
        <f>ND代替値</f>
        <v>0.18518518518518517</v>
      </c>
      <c r="D238" s="177">
        <v>450</v>
      </c>
      <c r="E238" s="435">
        <f t="shared" si="17"/>
        <v>7.8295602713759089E-3</v>
      </c>
      <c r="F238" s="178">
        <v>7.1999999999999995E-2</v>
      </c>
      <c r="G238" s="178"/>
      <c r="H238" s="179">
        <v>0.1</v>
      </c>
      <c r="I238" s="186">
        <v>1.4</v>
      </c>
      <c r="J238" s="498">
        <v>7.3999999999999996E-2</v>
      </c>
      <c r="K238" s="175">
        <v>32547</v>
      </c>
      <c r="L238" s="433">
        <f>ND代替値2</f>
        <v>0.20499999999999999</v>
      </c>
      <c r="M238" s="177">
        <v>419</v>
      </c>
      <c r="N238" s="435">
        <f>ND代替値2*2.71828^(-(0.69315/2.062)*(B238-事故日Cb)/365.25)</f>
        <v>7.6338212645915109E-3</v>
      </c>
      <c r="O238" s="712">
        <v>5.8000000000000003E-2</v>
      </c>
      <c r="P238" s="728"/>
      <c r="Q238" s="433">
        <f>ND代替値</f>
        <v>0.215</v>
      </c>
      <c r="R238" s="177">
        <v>427</v>
      </c>
      <c r="S238" s="435">
        <f>ND代替値*2.71828^(-(0.69315/2.062)*(B238-事故日Cb)/365.25)</f>
        <v>9.1997333188666916E-3</v>
      </c>
      <c r="T238" s="708">
        <v>0.08</v>
      </c>
      <c r="U238" s="728"/>
      <c r="V238" s="182">
        <v>32525</v>
      </c>
      <c r="W238" s="206">
        <v>0.98</v>
      </c>
      <c r="X238" s="184">
        <v>432</v>
      </c>
      <c r="Y238" s="435">
        <f>ND代替値*2.71828^(-(0.69315/2.062)*(V238-事故日Cb)/365.25)</f>
        <v>7.7899622149521499E-3</v>
      </c>
      <c r="Z238" s="178">
        <v>0.11</v>
      </c>
      <c r="AA238" s="178"/>
      <c r="AB238" s="185"/>
      <c r="AC238" s="186"/>
      <c r="AD238" s="187"/>
      <c r="AE238" s="182">
        <v>32525</v>
      </c>
      <c r="AF238" s="433">
        <f>ND代替値2</f>
        <v>0.17499999999999999</v>
      </c>
      <c r="AG238" s="184">
        <v>459</v>
      </c>
      <c r="AH238" s="435">
        <f>ND代替値2*2.71828^(-(0.69315/2.062)*(V238-事故日Cb)/365.25)</f>
        <v>1.9375034226932271E-2</v>
      </c>
      <c r="AI238" s="687"/>
      <c r="AJ238" s="728"/>
      <c r="AK238" s="182"/>
      <c r="AL238" s="188"/>
      <c r="AM238" s="184"/>
      <c r="AN238" s="178"/>
      <c r="AO238" s="708"/>
      <c r="AP238" s="728"/>
      <c r="AR238" s="485">
        <f t="shared" si="10"/>
        <v>0.93771440785156945</v>
      </c>
      <c r="AS238" s="485">
        <f t="shared" si="11"/>
        <v>0.39147801356879541</v>
      </c>
      <c r="AT238" s="486">
        <f t="shared" si="12"/>
        <v>1.7528569096838101E-5</v>
      </c>
      <c r="AU238" s="487">
        <f t="shared" si="13"/>
        <v>199.99999969713434</v>
      </c>
      <c r="AV238" s="488">
        <f t="shared" si="14"/>
        <v>0.85484360556650929</v>
      </c>
      <c r="AW238" s="486">
        <f t="shared" si="15"/>
        <v>9.3505674409906536E-2</v>
      </c>
      <c r="AX238" s="805">
        <f t="shared" si="16"/>
        <v>1.3497473372079625E-39</v>
      </c>
    </row>
    <row r="239" spans="2:50" ht="11.1" customHeight="1" x14ac:dyDescent="0.2">
      <c r="B239" s="175">
        <v>32616</v>
      </c>
      <c r="C239" s="433">
        <f>ND代替値</f>
        <v>0.18518518518518517</v>
      </c>
      <c r="D239" s="177">
        <v>332</v>
      </c>
      <c r="E239" s="435">
        <f t="shared" si="17"/>
        <v>7.3478145230982004E-3</v>
      </c>
      <c r="F239" s="178">
        <v>7.2999999999999995E-2</v>
      </c>
      <c r="G239" s="178"/>
      <c r="H239" s="211"/>
      <c r="I239" s="186"/>
      <c r="J239" s="500"/>
      <c r="K239" s="175">
        <v>32616</v>
      </c>
      <c r="L239" s="441"/>
      <c r="M239" s="177"/>
      <c r="N239" s="178"/>
      <c r="O239" s="708"/>
      <c r="P239" s="718"/>
      <c r="Q239" s="441"/>
      <c r="R239" s="177"/>
      <c r="S239" s="178"/>
      <c r="T239" s="708"/>
      <c r="U239" s="718"/>
      <c r="V239" s="182">
        <v>32616</v>
      </c>
      <c r="W239" s="206">
        <v>1.4</v>
      </c>
      <c r="X239" s="184">
        <v>374</v>
      </c>
      <c r="Y239" s="435">
        <f>ND代替値*2.71828^(-(0.69315/2.062)*(V239-事故日Cb)/365.25)</f>
        <v>7.1641191600207458E-3</v>
      </c>
      <c r="Z239" s="195">
        <v>0.1</v>
      </c>
      <c r="AA239" s="178"/>
      <c r="AB239" s="437">
        <f>ND代替値*2.71828^(-(0.69315/28.799)*(V239-調査開始日)/365.25)</f>
        <v>7.5261432828641044E-3</v>
      </c>
      <c r="AC239" s="186">
        <v>0.71</v>
      </c>
      <c r="AD239" s="203">
        <f>ND代替値</f>
        <v>4.1379310344827587E-3</v>
      </c>
      <c r="AE239" s="182">
        <v>32616</v>
      </c>
      <c r="AF239" s="433">
        <f>ND代替値2</f>
        <v>0.17499999999999999</v>
      </c>
      <c r="AG239" s="184">
        <v>404</v>
      </c>
      <c r="AH239" s="435">
        <f>ND代替値2*2.71828^(-(0.69315/2.062)*(V239-事故日Cb)/365.25)</f>
        <v>1.7818450218513138E-2</v>
      </c>
      <c r="AI239" s="708">
        <v>0.11</v>
      </c>
      <c r="AJ239" s="718"/>
      <c r="AK239" s="182"/>
      <c r="AL239" s="188"/>
      <c r="AM239" s="184"/>
      <c r="AN239" s="178"/>
      <c r="AO239" s="708"/>
      <c r="AP239" s="718"/>
      <c r="AR239" s="485">
        <f t="shared" si="10"/>
        <v>0.93363987609283228</v>
      </c>
      <c r="AS239" s="485">
        <f t="shared" si="11"/>
        <v>0.36739072615491003</v>
      </c>
      <c r="AT239" s="486">
        <f t="shared" si="12"/>
        <v>7.1444814071692481E-6</v>
      </c>
      <c r="AU239" s="487">
        <f t="shared" si="13"/>
        <v>199.99999967662626</v>
      </c>
      <c r="AV239" s="488">
        <f t="shared" si="14"/>
        <v>0.8458132398471373</v>
      </c>
      <c r="AW239" s="486">
        <f t="shared" si="15"/>
        <v>9.3081485408306186E-2</v>
      </c>
      <c r="AX239" s="805">
        <f t="shared" si="16"/>
        <v>3.6809628161480837E-42</v>
      </c>
    </row>
    <row r="240" spans="2:50" ht="11.1" customHeight="1" x14ac:dyDescent="0.2">
      <c r="B240" s="175">
        <v>32644</v>
      </c>
      <c r="C240" s="774">
        <v>0.78</v>
      </c>
      <c r="D240" s="177">
        <v>295</v>
      </c>
      <c r="E240" s="435">
        <f t="shared" si="17"/>
        <v>7.1608838774506077E-3</v>
      </c>
      <c r="F240" s="178">
        <v>6.3E-2</v>
      </c>
      <c r="G240" s="178"/>
      <c r="H240" s="212"/>
      <c r="I240" s="215"/>
      <c r="J240" s="501"/>
      <c r="K240" s="175">
        <v>32644</v>
      </c>
      <c r="L240" s="433">
        <f>ND代替値2</f>
        <v>0.20499999999999999</v>
      </c>
      <c r="M240" s="177">
        <v>256</v>
      </c>
      <c r="N240" s="435">
        <f t="shared" ref="N240:N258" si="18">ND代替値2*2.71828^(-(0.69315/2.062)*(B240-事故日Cb)/365.25)</f>
        <v>6.9818617805143431E-3</v>
      </c>
      <c r="O240" s="712">
        <v>4.3999999999999997E-2</v>
      </c>
      <c r="P240" s="728"/>
      <c r="Q240" s="441">
        <v>0.96</v>
      </c>
      <c r="R240" s="177">
        <v>292</v>
      </c>
      <c r="S240" s="435">
        <f t="shared" ref="S240:S250" si="19">ND代替値*2.71828^(-(0.69315/2.062)*(B240-事故日Cb)/365.25)</f>
        <v>8.4140385560044634E-3</v>
      </c>
      <c r="T240" s="708">
        <v>8.5999999999999993E-2</v>
      </c>
      <c r="U240" s="728"/>
      <c r="V240" s="182"/>
      <c r="W240" s="183"/>
      <c r="X240" s="191"/>
      <c r="Y240" s="192"/>
      <c r="Z240" s="192"/>
      <c r="AA240" s="178"/>
      <c r="AB240" s="214"/>
      <c r="AC240" s="215"/>
      <c r="AD240" s="216"/>
      <c r="AE240" s="182"/>
      <c r="AF240" s="188"/>
      <c r="AG240" s="191"/>
      <c r="AH240" s="192"/>
      <c r="AI240" s="688"/>
      <c r="AJ240" s="728"/>
      <c r="AK240" s="182"/>
      <c r="AL240" s="188"/>
      <c r="AM240" s="184"/>
      <c r="AN240" s="178"/>
      <c r="AO240" s="708"/>
      <c r="AP240" s="728"/>
      <c r="AR240" s="485">
        <f t="shared" si="10"/>
        <v>0.93199149721136798</v>
      </c>
      <c r="AS240" s="485">
        <f t="shared" si="11"/>
        <v>0.35804419387253039</v>
      </c>
      <c r="AT240" s="486">
        <f t="shared" si="12"/>
        <v>4.9636464371987309E-6</v>
      </c>
      <c r="AU240" s="487">
        <f t="shared" si="13"/>
        <v>199.99999966830418</v>
      </c>
      <c r="AV240" s="488">
        <f t="shared" si="14"/>
        <v>0.84217601060202363</v>
      </c>
      <c r="AW240" s="486">
        <f t="shared" si="15"/>
        <v>9.2909900121425859E-2</v>
      </c>
      <c r="AX240" s="805">
        <f t="shared" si="16"/>
        <v>3.3525831306113056E-43</v>
      </c>
    </row>
    <row r="241" spans="2:50" ht="11.1" customHeight="1" x14ac:dyDescent="0.2">
      <c r="B241" s="175">
        <v>32722</v>
      </c>
      <c r="C241" s="183">
        <v>0.57999999999999996</v>
      </c>
      <c r="D241" s="177">
        <v>227</v>
      </c>
      <c r="E241" s="435">
        <f t="shared" si="17"/>
        <v>6.6648466219674553E-3</v>
      </c>
      <c r="F241" s="178">
        <v>8.5000000000000006E-2</v>
      </c>
      <c r="G241" s="178"/>
      <c r="H241" s="437">
        <f>ND代替値*2.71828^(-(0.69315/28.799)*(B241-調査開始日)/365.25)</f>
        <v>8.3041738841345882E-3</v>
      </c>
      <c r="I241" s="186">
        <v>2.2000000000000002</v>
      </c>
      <c r="J241" s="203">
        <f>ND代替値</f>
        <v>5.0000000000000001E-3</v>
      </c>
      <c r="K241" s="175">
        <v>32722</v>
      </c>
      <c r="L241" s="433">
        <f>ND代替値2</f>
        <v>0.20499999999999999</v>
      </c>
      <c r="M241" s="177">
        <v>215</v>
      </c>
      <c r="N241" s="435">
        <f t="shared" si="18"/>
        <v>6.4982254564182685E-3</v>
      </c>
      <c r="O241" s="708">
        <v>0.11</v>
      </c>
      <c r="P241" s="718"/>
      <c r="Q241" s="433">
        <f t="shared" ref="Q241:Q249" si="20">ND代替値</f>
        <v>0.215</v>
      </c>
      <c r="R241" s="177">
        <v>271</v>
      </c>
      <c r="S241" s="435">
        <f t="shared" si="19"/>
        <v>7.8311947808117604E-3</v>
      </c>
      <c r="T241" s="708">
        <v>7.6999999999999999E-2</v>
      </c>
      <c r="U241" s="718"/>
      <c r="V241" s="182">
        <v>32708</v>
      </c>
      <c r="W241" s="433">
        <f>ND代替値</f>
        <v>0.17499999999999999</v>
      </c>
      <c r="X241" s="191">
        <v>348</v>
      </c>
      <c r="Y241" s="435">
        <f t="shared" ref="Y241:Y272" si="21">ND代替値*2.71828^(-(0.69315/2.062)*(V241-事故日Cb)/365.25)</f>
        <v>6.5824952157048731E-3</v>
      </c>
      <c r="Z241" s="434">
        <f>ND代替値*2.71828^(-(0.69315/30.07)*(V241-調査開始日)/365.25)</f>
        <v>1.8010667018592611E-2</v>
      </c>
      <c r="AA241" s="178"/>
      <c r="AB241" s="199"/>
      <c r="AC241" s="200"/>
      <c r="AD241" s="201"/>
      <c r="AE241" s="182">
        <v>32708</v>
      </c>
      <c r="AF241" s="433">
        <f>ND代替値2</f>
        <v>0.17499999999999999</v>
      </c>
      <c r="AG241" s="191">
        <v>329</v>
      </c>
      <c r="AH241" s="435">
        <f t="shared" ref="AH241:AH272" si="22">ND代替値2*2.71828^(-(0.69315/2.062)*(V241-事故日Cb)/365.25)</f>
        <v>1.6371847074958274E-2</v>
      </c>
      <c r="AI241" s="688">
        <v>9.6000000000000002E-2</v>
      </c>
      <c r="AJ241" s="718"/>
      <c r="AK241" s="182"/>
      <c r="AL241" s="190"/>
      <c r="AM241" s="191"/>
      <c r="AN241" s="192"/>
      <c r="AO241" s="688"/>
      <c r="AP241" s="718"/>
      <c r="AR241" s="485">
        <f t="shared" si="10"/>
        <v>0.92741491427615907</v>
      </c>
      <c r="AS241" s="485">
        <f t="shared" si="11"/>
        <v>0.33324233109837276</v>
      </c>
      <c r="AT241" s="486">
        <f t="shared" si="12"/>
        <v>1.7996363990919481E-6</v>
      </c>
      <c r="AU241" s="487">
        <f t="shared" si="13"/>
        <v>199.99999964512111</v>
      </c>
      <c r="AV241" s="488">
        <f t="shared" si="14"/>
        <v>0.83212599300371204</v>
      </c>
      <c r="AW241" s="486">
        <f t="shared" si="15"/>
        <v>9.2433578534922664E-2</v>
      </c>
      <c r="AX241" s="805">
        <f t="shared" si="16"/>
        <v>4.2326831656878918E-46</v>
      </c>
    </row>
    <row r="242" spans="2:50" ht="11.1" customHeight="1" x14ac:dyDescent="0.2">
      <c r="B242" s="175">
        <v>32834</v>
      </c>
      <c r="C242" s="183">
        <v>1.1000000000000001</v>
      </c>
      <c r="D242" s="177">
        <v>378</v>
      </c>
      <c r="E242" s="435">
        <f t="shared" si="17"/>
        <v>6.0120688249548629E-3</v>
      </c>
      <c r="F242" s="195">
        <v>7.3999999999999996E-2</v>
      </c>
      <c r="G242" s="178"/>
      <c r="H242" s="212"/>
      <c r="I242" s="215"/>
      <c r="J242" s="501"/>
      <c r="K242" s="175">
        <v>32834</v>
      </c>
      <c r="L242" s="774">
        <v>0.79</v>
      </c>
      <c r="M242" s="177">
        <v>399</v>
      </c>
      <c r="N242" s="435">
        <f t="shared" si="18"/>
        <v>5.8617671043309913E-3</v>
      </c>
      <c r="O242" s="708">
        <v>9.6000000000000002E-2</v>
      </c>
      <c r="P242" s="718"/>
      <c r="Q242" s="433">
        <f t="shared" si="20"/>
        <v>0.215</v>
      </c>
      <c r="R242" s="177">
        <v>396</v>
      </c>
      <c r="S242" s="435">
        <f t="shared" si="19"/>
        <v>7.064180869321964E-3</v>
      </c>
      <c r="T242" s="708">
        <v>9.4E-2</v>
      </c>
      <c r="U242" s="718"/>
      <c r="V242" s="182">
        <v>32805</v>
      </c>
      <c r="W242" s="206">
        <v>1.5</v>
      </c>
      <c r="X242" s="191">
        <v>379</v>
      </c>
      <c r="Y242" s="435">
        <f t="shared" si="21"/>
        <v>6.0203232659007807E-3</v>
      </c>
      <c r="Z242" s="192">
        <v>0.17</v>
      </c>
      <c r="AA242" s="178"/>
      <c r="AB242" s="214"/>
      <c r="AC242" s="215"/>
      <c r="AD242" s="216"/>
      <c r="AE242" s="182">
        <v>32805</v>
      </c>
      <c r="AF242" s="433">
        <f>ND代替値2</f>
        <v>0.17499999999999999</v>
      </c>
      <c r="AG242" s="191">
        <v>390</v>
      </c>
      <c r="AH242" s="435">
        <f t="shared" si="22"/>
        <v>1.4973624533137839E-2</v>
      </c>
      <c r="AI242" s="688">
        <v>0.1</v>
      </c>
      <c r="AJ242" s="718"/>
      <c r="AK242" s="182">
        <v>32839</v>
      </c>
      <c r="AL242" s="433">
        <f>ND代替値</f>
        <v>0.32500000000000001</v>
      </c>
      <c r="AM242" s="191">
        <v>427</v>
      </c>
      <c r="AN242" s="435">
        <f>ND代替値2*2.71828^(-(0.69315/2.062)*(AK242-事故日Cb)/365.25)</f>
        <v>5.9844666607484168E-3</v>
      </c>
      <c r="AO242" s="709">
        <f>ND代替値2*2.71828^(-(0.69315/30.07)*(AK242-事故日Cb)/365.25)</f>
        <v>1.8411842863579431E-2</v>
      </c>
      <c r="AP242" s="718"/>
      <c r="AR242" s="485">
        <f t="shared" si="10"/>
        <v>0.9208826852812052</v>
      </c>
      <c r="AS242" s="485">
        <f t="shared" si="11"/>
        <v>0.30060344124774313</v>
      </c>
      <c r="AT242" s="486">
        <f t="shared" si="12"/>
        <v>4.1928109686678023E-7</v>
      </c>
      <c r="AU242" s="487">
        <f t="shared" si="13"/>
        <v>199.99999961183269</v>
      </c>
      <c r="AV242" s="488">
        <f t="shared" si="14"/>
        <v>0.81790457515242321</v>
      </c>
      <c r="AW242" s="486">
        <f t="shared" si="15"/>
        <v>9.1753897026956466E-2</v>
      </c>
      <c r="AX242" s="805">
        <f t="shared" si="16"/>
        <v>2.9126497353134468E-50</v>
      </c>
    </row>
    <row r="243" spans="2:50" ht="11.1" customHeight="1" x14ac:dyDescent="0.2">
      <c r="B243" s="175">
        <v>32938</v>
      </c>
      <c r="C243" s="433">
        <f>ND代替値</f>
        <v>0.18518518518518517</v>
      </c>
      <c r="D243" s="177">
        <v>334</v>
      </c>
      <c r="E243" s="435">
        <f t="shared" si="17"/>
        <v>5.4633033414170111E-3</v>
      </c>
      <c r="F243" s="178">
        <v>8.5000000000000006E-2</v>
      </c>
      <c r="G243" s="178"/>
      <c r="H243" s="212">
        <v>0.06</v>
      </c>
      <c r="I243" s="215">
        <v>1.3</v>
      </c>
      <c r="J243" s="501">
        <v>4.5999999999999999E-2</v>
      </c>
      <c r="K243" s="175">
        <v>32938</v>
      </c>
      <c r="L243" s="433">
        <f>ND代替値2</f>
        <v>0.20499999999999999</v>
      </c>
      <c r="M243" s="177">
        <v>368</v>
      </c>
      <c r="N243" s="435">
        <f t="shared" si="18"/>
        <v>5.3267207578815857E-3</v>
      </c>
      <c r="O243" s="712">
        <v>3.9E-2</v>
      </c>
      <c r="P243" s="728"/>
      <c r="Q243" s="433">
        <f t="shared" si="20"/>
        <v>0.215</v>
      </c>
      <c r="R243" s="177">
        <v>334</v>
      </c>
      <c r="S243" s="435">
        <f t="shared" si="19"/>
        <v>6.4193814261649879E-3</v>
      </c>
      <c r="T243" s="708">
        <v>6.4000000000000001E-2</v>
      </c>
      <c r="U243" s="728"/>
      <c r="V243" s="182">
        <v>32883</v>
      </c>
      <c r="W243" s="433">
        <f>ND代替値</f>
        <v>0.17499999999999999</v>
      </c>
      <c r="X243" s="191">
        <v>479</v>
      </c>
      <c r="Y243" s="435">
        <f t="shared" si="21"/>
        <v>5.6032930946194699E-3</v>
      </c>
      <c r="Z243" s="195">
        <v>0.11</v>
      </c>
      <c r="AA243" s="178"/>
      <c r="AB243" s="214"/>
      <c r="AC243" s="215"/>
      <c r="AD243" s="216"/>
      <c r="AE243" s="182">
        <v>32883</v>
      </c>
      <c r="AF243" s="433">
        <f>ND代替値2</f>
        <v>0.17499999999999999</v>
      </c>
      <c r="AG243" s="191">
        <v>428</v>
      </c>
      <c r="AH243" s="435">
        <f t="shared" si="22"/>
        <v>1.3936395645592015E-2</v>
      </c>
      <c r="AI243" s="688">
        <v>9.7000000000000003E-2</v>
      </c>
      <c r="AJ243" s="728"/>
      <c r="AK243" s="182"/>
      <c r="AL243" s="190"/>
      <c r="AM243" s="191"/>
      <c r="AN243" s="192"/>
      <c r="AO243" s="688"/>
      <c r="AP243" s="728"/>
      <c r="AR243" s="485">
        <f t="shared" si="10"/>
        <v>0.91485824839048058</v>
      </c>
      <c r="AS243" s="485">
        <f t="shared" si="11"/>
        <v>0.27316516707085053</v>
      </c>
      <c r="AT243" s="486">
        <f t="shared" si="12"/>
        <v>1.0839698157002359E-7</v>
      </c>
      <c r="AU243" s="487">
        <f t="shared" si="13"/>
        <v>199.99999958092195</v>
      </c>
      <c r="AV243" s="488">
        <f t="shared" si="14"/>
        <v>0.80491669132254873</v>
      </c>
      <c r="AW243" s="486">
        <f t="shared" si="15"/>
        <v>9.1127240077457566E-2</v>
      </c>
      <c r="AX243" s="805">
        <f t="shared" si="16"/>
        <v>3.9743843899844365E-54</v>
      </c>
    </row>
    <row r="244" spans="2:50" ht="11.1" customHeight="1" x14ac:dyDescent="0.2">
      <c r="B244" s="175">
        <v>33015</v>
      </c>
      <c r="C244" s="433">
        <f>ND代替値</f>
        <v>0.18518518518518517</v>
      </c>
      <c r="D244" s="177">
        <v>300</v>
      </c>
      <c r="E244" s="435">
        <f t="shared" si="17"/>
        <v>5.0895401102341456E-3</v>
      </c>
      <c r="F244" s="178">
        <v>6.2E-2</v>
      </c>
      <c r="G244" s="178"/>
      <c r="H244" s="212"/>
      <c r="I244" s="215"/>
      <c r="J244" s="501"/>
      <c r="K244" s="175">
        <v>33015</v>
      </c>
      <c r="L244" s="433">
        <f>ND代替値2</f>
        <v>0.20499999999999999</v>
      </c>
      <c r="M244" s="177">
        <v>333</v>
      </c>
      <c r="N244" s="435">
        <f t="shared" si="18"/>
        <v>4.9623016074782913E-3</v>
      </c>
      <c r="O244" s="708">
        <v>5.2999999999999999E-2</v>
      </c>
      <c r="P244" s="718"/>
      <c r="Q244" s="433">
        <f t="shared" si="20"/>
        <v>0.215</v>
      </c>
      <c r="R244" s="177">
        <v>359</v>
      </c>
      <c r="S244" s="435">
        <f t="shared" si="19"/>
        <v>5.9802096295251206E-3</v>
      </c>
      <c r="T244" s="708">
        <v>9.0999999999999998E-2</v>
      </c>
      <c r="U244" s="718"/>
      <c r="V244" s="182">
        <v>33000</v>
      </c>
      <c r="W244" s="433">
        <f>ND代替値</f>
        <v>0.17499999999999999</v>
      </c>
      <c r="X244" s="191">
        <v>325</v>
      </c>
      <c r="Y244" s="435">
        <f t="shared" si="21"/>
        <v>5.0312816809058424E-3</v>
      </c>
      <c r="Z244" s="192">
        <v>0.1</v>
      </c>
      <c r="AA244" s="178"/>
      <c r="AB244" s="214">
        <v>4.9000000000000002E-2</v>
      </c>
      <c r="AC244" s="215">
        <v>1.2</v>
      </c>
      <c r="AD244" s="216">
        <v>0.04</v>
      </c>
      <c r="AE244" s="182">
        <v>33000</v>
      </c>
      <c r="AF244" s="433">
        <f>ND代替値2</f>
        <v>0.17499999999999999</v>
      </c>
      <c r="AG244" s="191">
        <v>415</v>
      </c>
      <c r="AH244" s="435">
        <f t="shared" si="22"/>
        <v>1.2513700590970943E-2</v>
      </c>
      <c r="AI244" s="709">
        <f>ND代替値2*2.71828^(-(0.69315/30.07)*(V244-事故日Cb)/365.25)</f>
        <v>4.4197347964101887E-2</v>
      </c>
      <c r="AJ244" s="718"/>
      <c r="AK244" s="182"/>
      <c r="AL244" s="190"/>
      <c r="AM244" s="191"/>
      <c r="AN244" s="192"/>
      <c r="AO244" s="688"/>
      <c r="AP244" s="718"/>
      <c r="AR244" s="485">
        <f t="shared" si="10"/>
        <v>0.91042325465844587</v>
      </c>
      <c r="AS244" s="485">
        <f t="shared" si="11"/>
        <v>0.25447700551170727</v>
      </c>
      <c r="AT244" s="486">
        <f t="shared" si="12"/>
        <v>3.981530459905807E-8</v>
      </c>
      <c r="AU244" s="487">
        <f t="shared" si="13"/>
        <v>199.99999955803611</v>
      </c>
      <c r="AV244" s="488">
        <f t="shared" si="14"/>
        <v>0.79543372153570691</v>
      </c>
      <c r="AW244" s="486">
        <f t="shared" si="15"/>
        <v>9.0666031997345853E-2</v>
      </c>
      <c r="AX244" s="805">
        <f t="shared" si="16"/>
        <v>5.4660010688621471E-57</v>
      </c>
    </row>
    <row r="245" spans="2:50" ht="11.1" customHeight="1" x14ac:dyDescent="0.2">
      <c r="B245" s="175">
        <v>33087</v>
      </c>
      <c r="C245" s="433">
        <f>ND代替値</f>
        <v>0.18518518518518517</v>
      </c>
      <c r="D245" s="177">
        <v>219</v>
      </c>
      <c r="E245" s="435">
        <f t="shared" si="17"/>
        <v>4.7632158205547052E-3</v>
      </c>
      <c r="F245" s="178">
        <v>9.6000000000000002E-2</v>
      </c>
      <c r="G245" s="178"/>
      <c r="H245" s="212">
        <v>7.2999999999999995E-2</v>
      </c>
      <c r="I245" s="215">
        <v>3.6</v>
      </c>
      <c r="J245" s="501">
        <v>0.02</v>
      </c>
      <c r="K245" s="175">
        <v>33087</v>
      </c>
      <c r="L245" s="433">
        <f>ND代替値2</f>
        <v>0.20499999999999999</v>
      </c>
      <c r="M245" s="177">
        <v>251</v>
      </c>
      <c r="N245" s="435">
        <f t="shared" si="18"/>
        <v>4.6441354250408374E-3</v>
      </c>
      <c r="O245" s="708">
        <v>0.1</v>
      </c>
      <c r="P245" s="718"/>
      <c r="Q245" s="433">
        <f t="shared" si="20"/>
        <v>0.215</v>
      </c>
      <c r="R245" s="177">
        <v>265</v>
      </c>
      <c r="S245" s="435">
        <f t="shared" si="19"/>
        <v>5.5967785891517787E-3</v>
      </c>
      <c r="T245" s="708">
        <v>0.12</v>
      </c>
      <c r="U245" s="718"/>
      <c r="V245" s="182">
        <v>33059</v>
      </c>
      <c r="W245" s="433">
        <f>ND代替値</f>
        <v>0.17499999999999999</v>
      </c>
      <c r="X245" s="191">
        <v>351</v>
      </c>
      <c r="Y245" s="435">
        <f t="shared" si="21"/>
        <v>4.7653678382924307E-3</v>
      </c>
      <c r="Z245" s="195">
        <v>9.4E-2</v>
      </c>
      <c r="AA245" s="178"/>
      <c r="AB245" s="214"/>
      <c r="AC245" s="215"/>
      <c r="AD245" s="216"/>
      <c r="AE245" s="182">
        <v>33059</v>
      </c>
      <c r="AF245" s="433">
        <f>ND代替値2</f>
        <v>0.17499999999999999</v>
      </c>
      <c r="AG245" s="191">
        <v>297</v>
      </c>
      <c r="AH245" s="435">
        <f t="shared" si="22"/>
        <v>1.1852325136265789E-2</v>
      </c>
      <c r="AI245" s="688">
        <v>0.11</v>
      </c>
      <c r="AJ245" s="718"/>
      <c r="AK245" s="182"/>
      <c r="AL245" s="190"/>
      <c r="AM245" s="191"/>
      <c r="AN245" s="192"/>
      <c r="AO245" s="688"/>
      <c r="AP245" s="718"/>
      <c r="AR245" s="485">
        <f t="shared" si="10"/>
        <v>0.9062957004684048</v>
      </c>
      <c r="AS245" s="485">
        <f t="shared" si="11"/>
        <v>0.23816079102773527</v>
      </c>
      <c r="AT245" s="486">
        <f t="shared" si="12"/>
        <v>1.5607290572713527E-8</v>
      </c>
      <c r="AU245" s="487">
        <f t="shared" si="13"/>
        <v>199.99999953663638</v>
      </c>
      <c r="AV245" s="488">
        <f t="shared" si="14"/>
        <v>0.78666763018254215</v>
      </c>
      <c r="AW245" s="486">
        <f t="shared" si="15"/>
        <v>9.0236884526157149E-2</v>
      </c>
      <c r="AX245" s="805">
        <f t="shared" si="16"/>
        <v>1.153155163840884E-59</v>
      </c>
    </row>
    <row r="246" spans="2:50" ht="11.1" customHeight="1" x14ac:dyDescent="0.2">
      <c r="B246" s="175">
        <v>33212</v>
      </c>
      <c r="C246" s="433">
        <f>ND代替値</f>
        <v>0.18518518518518517</v>
      </c>
      <c r="D246" s="177">
        <v>380</v>
      </c>
      <c r="E246" s="435">
        <f t="shared" si="17"/>
        <v>4.2455891560429764E-3</v>
      </c>
      <c r="F246" s="178">
        <v>8.5000000000000006E-2</v>
      </c>
      <c r="G246" s="178"/>
      <c r="H246" s="212"/>
      <c r="I246" s="215"/>
      <c r="J246" s="501"/>
      <c r="K246" s="175">
        <v>33212</v>
      </c>
      <c r="L246" s="441">
        <v>0.62</v>
      </c>
      <c r="M246" s="177">
        <v>401</v>
      </c>
      <c r="N246" s="435">
        <f t="shared" si="18"/>
        <v>4.1394494271419016E-3</v>
      </c>
      <c r="O246" s="708">
        <v>0.11</v>
      </c>
      <c r="P246" s="718"/>
      <c r="Q246" s="433">
        <f t="shared" si="20"/>
        <v>0.215</v>
      </c>
      <c r="R246" s="177">
        <v>388</v>
      </c>
      <c r="S246" s="435">
        <f t="shared" si="19"/>
        <v>4.9885672583504966E-3</v>
      </c>
      <c r="T246" s="708">
        <v>9.8000000000000004E-2</v>
      </c>
      <c r="U246" s="718"/>
      <c r="V246" s="182">
        <v>33177</v>
      </c>
      <c r="W246" s="433">
        <f>ND代替値</f>
        <v>0.17499999999999999</v>
      </c>
      <c r="X246" s="191">
        <v>378</v>
      </c>
      <c r="Y246" s="435">
        <f t="shared" si="21"/>
        <v>4.2749596852381796E-3</v>
      </c>
      <c r="Z246" s="192">
        <v>0.12</v>
      </c>
      <c r="AA246" s="178"/>
      <c r="AB246" s="214"/>
      <c r="AC246" s="215"/>
      <c r="AD246" s="216"/>
      <c r="AE246" s="182">
        <v>33177</v>
      </c>
      <c r="AF246" s="773">
        <v>0.85</v>
      </c>
      <c r="AG246" s="191">
        <v>358</v>
      </c>
      <c r="AH246" s="435">
        <f t="shared" si="22"/>
        <v>1.0632592037643678E-2</v>
      </c>
      <c r="AI246" s="688">
        <v>0.16</v>
      </c>
      <c r="AJ246" s="718"/>
      <c r="AK246" s="182">
        <v>33206</v>
      </c>
      <c r="AL246" s="217">
        <v>1</v>
      </c>
      <c r="AM246" s="191">
        <v>383</v>
      </c>
      <c r="AN246" s="435">
        <f>ND代替値2*2.71828^(-(0.69315/2.062)*(AK246-事故日Cb)/365.25)</f>
        <v>4.2690983052574996E-3</v>
      </c>
      <c r="AO246" s="688">
        <v>0.14000000000000001</v>
      </c>
      <c r="AP246" s="718"/>
      <c r="AR246" s="485">
        <f t="shared" si="10"/>
        <v>0.89917420337852993</v>
      </c>
      <c r="AS246" s="485">
        <f t="shared" si="11"/>
        <v>0.2122794578021488</v>
      </c>
      <c r="AT246" s="486">
        <f t="shared" si="12"/>
        <v>3.0705206227273767E-9</v>
      </c>
      <c r="AU246" s="487">
        <f t="shared" si="13"/>
        <v>199.99999949948406</v>
      </c>
      <c r="AV246" s="488">
        <f t="shared" si="14"/>
        <v>0.77167755129211268</v>
      </c>
      <c r="AW246" s="486">
        <f t="shared" si="15"/>
        <v>8.9496655699828731E-2</v>
      </c>
      <c r="AX246" s="805">
        <f t="shared" si="16"/>
        <v>2.6087529261960284E-64</v>
      </c>
    </row>
    <row r="247" spans="2:50" ht="11.1" customHeight="1" x14ac:dyDescent="0.2">
      <c r="B247" s="175">
        <v>33303</v>
      </c>
      <c r="C247" s="433">
        <f>ND代替値</f>
        <v>0.18518518518518517</v>
      </c>
      <c r="D247" s="177">
        <v>335</v>
      </c>
      <c r="E247" s="435">
        <f t="shared" si="17"/>
        <v>3.9044998908984601E-3</v>
      </c>
      <c r="F247" s="195">
        <v>4.9000000000000002E-2</v>
      </c>
      <c r="G247" s="178"/>
      <c r="H247" s="437">
        <f>ND代替値*2.71828^(-(0.69315/28.799)*(B247-調査開始日)/365.25)</f>
        <v>7.9922527639461477E-3</v>
      </c>
      <c r="I247" s="200">
        <v>0.94</v>
      </c>
      <c r="J247" s="203">
        <f>ND代替値</f>
        <v>5.0000000000000001E-3</v>
      </c>
      <c r="K247" s="175">
        <v>33303</v>
      </c>
      <c r="L247" s="433">
        <f>ND代替値2</f>
        <v>0.20499999999999999</v>
      </c>
      <c r="M247" s="177">
        <v>324</v>
      </c>
      <c r="N247" s="435">
        <f t="shared" si="18"/>
        <v>3.8068873936259987E-3</v>
      </c>
      <c r="O247" s="708">
        <v>7.1999999999999995E-2</v>
      </c>
      <c r="P247" s="718"/>
      <c r="Q247" s="433">
        <f t="shared" si="20"/>
        <v>0.215</v>
      </c>
      <c r="R247" s="177">
        <v>304</v>
      </c>
      <c r="S247" s="435">
        <f t="shared" si="19"/>
        <v>4.5877873718056907E-3</v>
      </c>
      <c r="T247" s="708">
        <v>8.6999999999999994E-2</v>
      </c>
      <c r="U247" s="718"/>
      <c r="V247" s="182">
        <v>33259</v>
      </c>
      <c r="W247" s="433">
        <f>ND代替値</f>
        <v>0.17499999999999999</v>
      </c>
      <c r="X247" s="191">
        <v>447</v>
      </c>
      <c r="Y247" s="435">
        <f t="shared" si="21"/>
        <v>3.9642109641736091E-3</v>
      </c>
      <c r="Z247" s="434">
        <f>ND代替値*2.71828^(-(0.69315/30.07)*(V247-調査開始日)/365.25)</f>
        <v>1.7395128155534342E-2</v>
      </c>
      <c r="AA247" s="178"/>
      <c r="AB247" s="199"/>
      <c r="AC247" s="200"/>
      <c r="AD247" s="201"/>
      <c r="AE247" s="182">
        <v>33259</v>
      </c>
      <c r="AF247" s="198"/>
      <c r="AG247" s="191">
        <v>432</v>
      </c>
      <c r="AH247" s="435">
        <f t="shared" si="22"/>
        <v>9.8597041929446173E-3</v>
      </c>
      <c r="AI247" s="709">
        <f>ND代替値2*2.71828^(-(0.69315/30.07)*(V247-事故日Cb)/365.25)</f>
        <v>4.3480784480743662E-2</v>
      </c>
      <c r="AJ247" s="718"/>
      <c r="AK247" s="182"/>
      <c r="AL247" s="190"/>
      <c r="AM247" s="191"/>
      <c r="AN247" s="192"/>
      <c r="AO247" s="688"/>
      <c r="AP247" s="718"/>
      <c r="AR247" s="485">
        <f t="shared" si="10"/>
        <v>0.89402497662168834</v>
      </c>
      <c r="AS247" s="485">
        <f t="shared" si="11"/>
        <v>0.19522499454492301</v>
      </c>
      <c r="AT247" s="486">
        <f t="shared" si="12"/>
        <v>9.4006944370655768E-10</v>
      </c>
      <c r="AU247" s="487">
        <f t="shared" si="13"/>
        <v>199.9999994724372</v>
      </c>
      <c r="AV247" s="488">
        <f t="shared" si="14"/>
        <v>0.76094475041144094</v>
      </c>
      <c r="AW247" s="486">
        <f t="shared" si="15"/>
        <v>8.896159134367132E-2</v>
      </c>
      <c r="AX247" s="805">
        <f t="shared" si="16"/>
        <v>1.0827840646216467E-67</v>
      </c>
    </row>
    <row r="248" spans="2:50" ht="11.1" customHeight="1" x14ac:dyDescent="0.2">
      <c r="B248" s="175">
        <v>33378</v>
      </c>
      <c r="C248" s="183">
        <v>0.69</v>
      </c>
      <c r="D248" s="177">
        <v>274</v>
      </c>
      <c r="E248" s="435">
        <f t="shared" si="17"/>
        <v>3.6440811388888219E-3</v>
      </c>
      <c r="F248" s="195">
        <v>0.04</v>
      </c>
      <c r="G248" s="178"/>
      <c r="H248" s="212"/>
      <c r="I248" s="215"/>
      <c r="J248" s="501"/>
      <c r="K248" s="175">
        <v>33378</v>
      </c>
      <c r="L248" s="433">
        <f>ND代替値2</f>
        <v>0.20499999999999999</v>
      </c>
      <c r="M248" s="177">
        <v>232</v>
      </c>
      <c r="N248" s="435">
        <f t="shared" si="18"/>
        <v>3.5529791104166012E-3</v>
      </c>
      <c r="O248" s="712">
        <v>0.04</v>
      </c>
      <c r="P248" s="728"/>
      <c r="Q248" s="433">
        <f t="shared" si="20"/>
        <v>0.215</v>
      </c>
      <c r="R248" s="177">
        <v>278</v>
      </c>
      <c r="S248" s="435">
        <f t="shared" si="19"/>
        <v>4.2817953381943654E-3</v>
      </c>
      <c r="T248" s="712">
        <v>3.6999999999999998E-2</v>
      </c>
      <c r="U248" s="728"/>
      <c r="V248" s="182">
        <v>33350</v>
      </c>
      <c r="W248" s="210">
        <v>1.4</v>
      </c>
      <c r="X248" s="191">
        <v>362</v>
      </c>
      <c r="Y248" s="435">
        <f t="shared" si="21"/>
        <v>3.6457275323221725E-3</v>
      </c>
      <c r="Z248" s="195">
        <v>9.0999999999999998E-2</v>
      </c>
      <c r="AA248" s="178"/>
      <c r="AB248" s="214">
        <v>4.1000000000000002E-2</v>
      </c>
      <c r="AC248" s="215">
        <v>1.4</v>
      </c>
      <c r="AD248" s="216">
        <v>2.9000000000000001E-2</v>
      </c>
      <c r="AE248" s="182">
        <v>33350</v>
      </c>
      <c r="AF248" s="433">
        <f t="shared" ref="AF248:AF253" si="23">ND代替値2</f>
        <v>0.17499999999999999</v>
      </c>
      <c r="AG248" s="191">
        <v>325</v>
      </c>
      <c r="AH248" s="435">
        <f t="shared" si="22"/>
        <v>9.0675787342371986E-3</v>
      </c>
      <c r="AI248" s="688">
        <v>8.8999999999999996E-2</v>
      </c>
      <c r="AJ248" s="728"/>
      <c r="AK248" s="182"/>
      <c r="AL248" s="190"/>
      <c r="AM248" s="191"/>
      <c r="AN248" s="192"/>
      <c r="AO248" s="688"/>
      <c r="AP248" s="728"/>
      <c r="AR248" s="485">
        <f t="shared" si="10"/>
        <v>0.88980328234941408</v>
      </c>
      <c r="AS248" s="485">
        <f t="shared" si="11"/>
        <v>0.18220405694444108</v>
      </c>
      <c r="AT248" s="486">
        <f t="shared" si="12"/>
        <v>3.5439749053710349E-10</v>
      </c>
      <c r="AU248" s="487">
        <f t="shared" si="13"/>
        <v>199.99999945014579</v>
      </c>
      <c r="AV248" s="488">
        <f t="shared" si="14"/>
        <v>0.75221134119647581</v>
      </c>
      <c r="AW248" s="486">
        <f t="shared" si="15"/>
        <v>8.8523009786025397E-2</v>
      </c>
      <c r="AX248" s="805">
        <f t="shared" si="16"/>
        <v>1.7671319386763295E-70</v>
      </c>
    </row>
    <row r="249" spans="2:50" ht="11.1" customHeight="1" x14ac:dyDescent="0.2">
      <c r="B249" s="175">
        <v>33462</v>
      </c>
      <c r="C249" s="183">
        <v>0.66</v>
      </c>
      <c r="D249" s="177">
        <v>317</v>
      </c>
      <c r="E249" s="435">
        <f t="shared" si="17"/>
        <v>3.3729769747685629E-3</v>
      </c>
      <c r="F249" s="178">
        <v>0.11</v>
      </c>
      <c r="G249" s="178"/>
      <c r="H249" s="437">
        <f>ND代替値*2.71828^(-(0.69315/28.799)*(B249-調査開始日)/365.25)</f>
        <v>7.9089513313042037E-3</v>
      </c>
      <c r="I249" s="200">
        <v>2.2000000000000002</v>
      </c>
      <c r="J249" s="203">
        <f>ND代替値</f>
        <v>5.0000000000000001E-3</v>
      </c>
      <c r="K249" s="175">
        <v>33462</v>
      </c>
      <c r="L249" s="774">
        <v>0.56999999999999995</v>
      </c>
      <c r="M249" s="177">
        <v>282</v>
      </c>
      <c r="N249" s="435">
        <f t="shared" si="18"/>
        <v>3.2886525503993489E-3</v>
      </c>
      <c r="O249" s="708">
        <v>8.6999999999999994E-2</v>
      </c>
      <c r="P249" s="718"/>
      <c r="Q249" s="433">
        <f t="shared" si="20"/>
        <v>0.215</v>
      </c>
      <c r="R249" s="177">
        <v>244</v>
      </c>
      <c r="S249" s="435">
        <f t="shared" si="19"/>
        <v>3.9632479453530611E-3</v>
      </c>
      <c r="T249" s="708">
        <v>0.11</v>
      </c>
      <c r="U249" s="718"/>
      <c r="V249" s="182">
        <v>33430</v>
      </c>
      <c r="W249" s="433">
        <f>ND代替値</f>
        <v>0.17499999999999999</v>
      </c>
      <c r="X249" s="191">
        <v>340</v>
      </c>
      <c r="Y249" s="435">
        <f t="shared" si="21"/>
        <v>3.3869465233729982E-3</v>
      </c>
      <c r="Z249" s="434">
        <f>ND代替値*2.71828^(-(0.69315/30.07)*(V249-調査開始日)/365.25)</f>
        <v>1.7208410367413302E-2</v>
      </c>
      <c r="AA249" s="178"/>
      <c r="AB249" s="199"/>
      <c r="AC249" s="200"/>
      <c r="AD249" s="201"/>
      <c r="AE249" s="182">
        <v>33430</v>
      </c>
      <c r="AF249" s="433">
        <f t="shared" si="23"/>
        <v>0.17499999999999999</v>
      </c>
      <c r="AG249" s="191">
        <v>307</v>
      </c>
      <c r="AH249" s="435">
        <f t="shared" si="22"/>
        <v>8.4239439171072007E-3</v>
      </c>
      <c r="AI249" s="688">
        <v>0.11</v>
      </c>
      <c r="AJ249" s="718"/>
      <c r="AK249" s="182"/>
      <c r="AL249" s="190"/>
      <c r="AM249" s="191"/>
      <c r="AN249" s="192"/>
      <c r="AO249" s="688"/>
      <c r="AP249" s="718"/>
      <c r="AR249" s="485">
        <f t="shared" si="10"/>
        <v>0.88509864753922163</v>
      </c>
      <c r="AS249" s="485">
        <f t="shared" si="11"/>
        <v>0.16864884873842814</v>
      </c>
      <c r="AT249" s="486">
        <f t="shared" si="12"/>
        <v>1.1884502976285148E-10</v>
      </c>
      <c r="AU249" s="487">
        <f t="shared" si="13"/>
        <v>199.99999942517945</v>
      </c>
      <c r="AV249" s="488">
        <f t="shared" si="14"/>
        <v>0.74254886575686074</v>
      </c>
      <c r="AW249" s="486">
        <f t="shared" si="15"/>
        <v>8.8034364912287014E-2</v>
      </c>
      <c r="AX249" s="805">
        <f t="shared" si="16"/>
        <v>1.3351293756942788E-73</v>
      </c>
    </row>
    <row r="250" spans="2:50" ht="11.1" customHeight="1" x14ac:dyDescent="0.2">
      <c r="B250" s="175">
        <v>33560</v>
      </c>
      <c r="C250" s="183">
        <v>0.91</v>
      </c>
      <c r="D250" s="177">
        <v>351</v>
      </c>
      <c r="E250" s="435">
        <f t="shared" si="17"/>
        <v>3.0820731192019112E-3</v>
      </c>
      <c r="F250" s="178">
        <v>0.1</v>
      </c>
      <c r="G250" s="178"/>
      <c r="H250" s="212"/>
      <c r="I250" s="215"/>
      <c r="J250" s="501"/>
      <c r="K250" s="175">
        <v>33560</v>
      </c>
      <c r="L250" s="774">
        <v>0.71</v>
      </c>
      <c r="M250" s="177">
        <v>381</v>
      </c>
      <c r="N250" s="435">
        <f t="shared" si="18"/>
        <v>3.0050212912218635E-3</v>
      </c>
      <c r="O250" s="708">
        <v>0.1</v>
      </c>
      <c r="P250" s="718"/>
      <c r="Q250" s="441">
        <v>1.6</v>
      </c>
      <c r="R250" s="177">
        <v>371</v>
      </c>
      <c r="S250" s="435">
        <f t="shared" si="19"/>
        <v>3.6214359150622457E-3</v>
      </c>
      <c r="T250" s="708">
        <v>0.1</v>
      </c>
      <c r="U250" s="718"/>
      <c r="V250" s="182">
        <v>33532</v>
      </c>
      <c r="W250" s="206">
        <v>2</v>
      </c>
      <c r="X250" s="191">
        <v>370</v>
      </c>
      <c r="Y250" s="435">
        <f t="shared" si="21"/>
        <v>3.0834655977859927E-3</v>
      </c>
      <c r="Z250" s="195">
        <v>0.11</v>
      </c>
      <c r="AA250" s="178"/>
      <c r="AB250" s="214"/>
      <c r="AC250" s="215"/>
      <c r="AD250" s="216"/>
      <c r="AE250" s="182">
        <v>33532</v>
      </c>
      <c r="AF250" s="433">
        <f t="shared" si="23"/>
        <v>0.17499999999999999</v>
      </c>
      <c r="AG250" s="191">
        <v>372</v>
      </c>
      <c r="AH250" s="435">
        <f t="shared" si="22"/>
        <v>7.669132384236956E-3</v>
      </c>
      <c r="AI250" s="688">
        <v>0.14000000000000001</v>
      </c>
      <c r="AJ250" s="718"/>
      <c r="AK250" s="182">
        <v>33577</v>
      </c>
      <c r="AL250" s="433">
        <f>ND代替値</f>
        <v>0.32500000000000001</v>
      </c>
      <c r="AM250" s="191">
        <v>382</v>
      </c>
      <c r="AN250" s="435">
        <f>ND代替値2*2.71828^(-(0.69315/2.062)*(AK250-事故日Cb)/365.25)</f>
        <v>3.0342269796554901E-3</v>
      </c>
      <c r="AO250" s="688">
        <v>0.12</v>
      </c>
      <c r="AP250" s="718"/>
      <c r="AR250" s="485">
        <f t="shared" si="10"/>
        <v>0.87964133653787679</v>
      </c>
      <c r="AS250" s="485">
        <f t="shared" si="11"/>
        <v>0.15410365596009556</v>
      </c>
      <c r="AT250" s="486">
        <f t="shared" si="12"/>
        <v>3.3218993813783527E-11</v>
      </c>
      <c r="AU250" s="487">
        <f t="shared" si="13"/>
        <v>199.99999939605203</v>
      </c>
      <c r="AV250" s="488">
        <f t="shared" si="14"/>
        <v>0.73143273763491379</v>
      </c>
      <c r="AW250" s="486">
        <f t="shared" si="15"/>
        <v>8.74676872770727E-2</v>
      </c>
      <c r="AX250" s="805">
        <f t="shared" si="16"/>
        <v>3.0442953833532776E-77</v>
      </c>
    </row>
    <row r="251" spans="2:50" ht="11.1" customHeight="1" x14ac:dyDescent="0.2">
      <c r="B251" s="175">
        <v>33646</v>
      </c>
      <c r="C251" s="433">
        <f>ND代替値</f>
        <v>0.18518518518518517</v>
      </c>
      <c r="D251" s="177">
        <v>407</v>
      </c>
      <c r="E251" s="435">
        <f t="shared" si="17"/>
        <v>2.8475337432418875E-3</v>
      </c>
      <c r="F251" s="178">
        <v>6.5000000000000002E-2</v>
      </c>
      <c r="G251" s="178"/>
      <c r="H251" s="437">
        <f>ND代替値*2.71828^(-(0.69315/28.799)*(B251-調査開始日)/365.25)</f>
        <v>7.8136353316367608E-3</v>
      </c>
      <c r="I251" s="215">
        <v>1.44</v>
      </c>
      <c r="J251" s="203">
        <f>ND代替値</f>
        <v>5.0000000000000001E-3</v>
      </c>
      <c r="K251" s="175">
        <v>33646</v>
      </c>
      <c r="L251" s="433">
        <f>ND代替値2</f>
        <v>0.20499999999999999</v>
      </c>
      <c r="M251" s="177">
        <v>414</v>
      </c>
      <c r="N251" s="435">
        <f t="shared" si="18"/>
        <v>2.77634539966084E-3</v>
      </c>
      <c r="O251" s="712">
        <v>5.6000000000000001E-2</v>
      </c>
      <c r="P251" s="728"/>
      <c r="Q251" s="433">
        <f>ND代替値</f>
        <v>0.215</v>
      </c>
      <c r="R251" s="177">
        <v>385</v>
      </c>
      <c r="S251" s="178"/>
      <c r="T251" s="687"/>
      <c r="U251" s="728"/>
      <c r="V251" s="182">
        <v>33625</v>
      </c>
      <c r="W251" s="433">
        <f>ND代替値</f>
        <v>0.17499999999999999</v>
      </c>
      <c r="X251" s="191">
        <v>446</v>
      </c>
      <c r="Y251" s="435">
        <f t="shared" si="21"/>
        <v>2.8305260771914077E-3</v>
      </c>
      <c r="Z251" s="195">
        <v>0.12</v>
      </c>
      <c r="AA251" s="178"/>
      <c r="AB251" s="214"/>
      <c r="AC251" s="215"/>
      <c r="AD251" s="216"/>
      <c r="AE251" s="182">
        <v>33625</v>
      </c>
      <c r="AF251" s="433">
        <f t="shared" si="23"/>
        <v>0.17499999999999999</v>
      </c>
      <c r="AG251" s="191">
        <v>446</v>
      </c>
      <c r="AH251" s="435">
        <f t="shared" si="22"/>
        <v>7.0400263971170905E-3</v>
      </c>
      <c r="AI251" s="688">
        <v>0.13</v>
      </c>
      <c r="AJ251" s="728"/>
      <c r="AK251" s="182"/>
      <c r="AL251" s="190"/>
      <c r="AM251" s="191"/>
      <c r="AN251" s="192"/>
      <c r="AO251" s="688"/>
      <c r="AP251" s="728"/>
      <c r="AR251" s="485">
        <f t="shared" si="10"/>
        <v>0.87487999511161962</v>
      </c>
      <c r="AS251" s="485">
        <f t="shared" si="11"/>
        <v>0.14237668716209437</v>
      </c>
      <c r="AT251" s="486">
        <f t="shared" si="12"/>
        <v>1.0853729944067365E-11</v>
      </c>
      <c r="AU251" s="487">
        <f t="shared" si="13"/>
        <v>199.99999937049125</v>
      </c>
      <c r="AV251" s="488">
        <f t="shared" si="14"/>
        <v>0.72181494546340019</v>
      </c>
      <c r="AW251" s="486">
        <f t="shared" si="15"/>
        <v>8.6973404597170317E-2</v>
      </c>
      <c r="AX251" s="805">
        <f t="shared" si="16"/>
        <v>1.9382682750811496E-80</v>
      </c>
    </row>
    <row r="252" spans="2:50" ht="11.1" customHeight="1" x14ac:dyDescent="0.2">
      <c r="B252" s="175">
        <v>33735</v>
      </c>
      <c r="C252" s="183">
        <v>0.77</v>
      </c>
      <c r="D252" s="177">
        <v>309</v>
      </c>
      <c r="E252" s="435">
        <f t="shared" si="17"/>
        <v>2.6235885420369523E-3</v>
      </c>
      <c r="F252" s="178">
        <v>7.0000000000000007E-2</v>
      </c>
      <c r="G252" s="178"/>
      <c r="H252" s="218"/>
      <c r="I252" s="200"/>
      <c r="J252" s="500"/>
      <c r="K252" s="175">
        <v>33735</v>
      </c>
      <c r="L252" s="433">
        <f>ND代替値2</f>
        <v>0.20499999999999999</v>
      </c>
      <c r="M252" s="177">
        <v>260</v>
      </c>
      <c r="N252" s="435">
        <f t="shared" si="18"/>
        <v>2.5579988284860282E-3</v>
      </c>
      <c r="O252" s="708">
        <v>4.9000000000000002E-2</v>
      </c>
      <c r="P252" s="718"/>
      <c r="Q252" s="433">
        <f>ND代替値</f>
        <v>0.215</v>
      </c>
      <c r="R252" s="177">
        <v>254</v>
      </c>
      <c r="S252" s="435">
        <f t="shared" ref="S252:S258" si="24">ND代替値*2.71828^(-(0.69315/2.062)*(B252-事故日Cb)/365.25)</f>
        <v>3.0827165368934187E-3</v>
      </c>
      <c r="T252" s="708">
        <v>8.6999999999999994E-2</v>
      </c>
      <c r="U252" s="718"/>
      <c r="V252" s="182">
        <v>33716</v>
      </c>
      <c r="W252" s="433">
        <f>ND代替値</f>
        <v>0.17499999999999999</v>
      </c>
      <c r="X252" s="191">
        <v>429</v>
      </c>
      <c r="Y252" s="435">
        <f t="shared" si="21"/>
        <v>2.6031225239607778E-3</v>
      </c>
      <c r="Z252" s="434">
        <f>ND代替値*2.71828^(-(0.69315/30.07)*(V252-調査開始日)/365.25)</f>
        <v>1.6900590583604724E-2</v>
      </c>
      <c r="AA252" s="178"/>
      <c r="AB252" s="199">
        <v>4.9000000000000002E-2</v>
      </c>
      <c r="AC252" s="200">
        <v>1.24</v>
      </c>
      <c r="AD252" s="201">
        <v>3.9E-2</v>
      </c>
      <c r="AE252" s="182">
        <v>33716</v>
      </c>
      <c r="AF252" s="433">
        <f t="shared" si="23"/>
        <v>0.17499999999999999</v>
      </c>
      <c r="AG252" s="191">
        <v>377</v>
      </c>
      <c r="AH252" s="435">
        <f t="shared" si="22"/>
        <v>6.4744329442101402E-3</v>
      </c>
      <c r="AI252" s="709">
        <f>ND代替値2*2.71828^(-(0.69315/30.07)*(V252-事故日Cb)/365.25)</f>
        <v>4.2244640579391556E-2</v>
      </c>
      <c r="AJ252" s="718"/>
      <c r="AK252" s="182"/>
      <c r="AL252" s="190"/>
      <c r="AM252" s="191"/>
      <c r="AN252" s="192"/>
      <c r="AO252" s="688"/>
      <c r="AP252" s="718"/>
      <c r="AR252" s="485">
        <f t="shared" ref="AR252:AR283" si="25">1*2.71828^(-(0.69315/30.07)*(B252-事故日Cb)/365.25)</f>
        <v>0.86997969519113183</v>
      </c>
      <c r="AS252" s="485">
        <f t="shared" ref="AS252:AS283" si="26">1*2.71828^(-(0.69315/2.062)*(B252-事故日Cb)/365.25)</f>
        <v>0.1311794271018476</v>
      </c>
      <c r="AT252" s="486">
        <f t="shared" ref="AT252:AT283" si="27">10*2.71828^(-(0.69315/0.1459)*(B252-事故日Cb)/365.25)</f>
        <v>3.4105527997307631E-12</v>
      </c>
      <c r="AU252" s="487">
        <f t="shared" ref="AU252:AU283" si="28">200*2.71828^(-(0.69315/(1.277*10^9))*(B252-事故日Cb)/365.25)</f>
        <v>199.9999993440388</v>
      </c>
      <c r="AV252" s="488">
        <f t="shared" ref="AV252:AV283" si="29">1*2.71828^(-(0.69315/12.33)*(B252-事故日Cb)/365.25)</f>
        <v>0.71199478963935692</v>
      </c>
      <c r="AW252" s="486">
        <f t="shared" ref="AW252:AW283" si="30">0.1*2.71828^(-(0.69315/28.799)*(B252-事故日Cb)/365.25)</f>
        <v>8.6464820367487649E-2</v>
      </c>
      <c r="AX252" s="805">
        <f t="shared" ref="AX252:AX283" si="31">0.1*2.71828^(-(0.69315/0.022177)*(B252-事故日Cb)/365.25)</f>
        <v>9.5466295545029209E-84</v>
      </c>
    </row>
    <row r="253" spans="2:50" ht="11.1" customHeight="1" x14ac:dyDescent="0.2">
      <c r="B253" s="175">
        <v>33826</v>
      </c>
      <c r="C253" s="183">
        <v>0.64</v>
      </c>
      <c r="D253" s="177">
        <v>274</v>
      </c>
      <c r="E253" s="435">
        <f t="shared" si="17"/>
        <v>2.4128102837188501E-3</v>
      </c>
      <c r="F253" s="178">
        <v>5.8999999999999997E-2</v>
      </c>
      <c r="G253" s="178"/>
      <c r="H253" s="212">
        <v>4.9000000000000002E-2</v>
      </c>
      <c r="I253" s="215">
        <v>3.9</v>
      </c>
      <c r="J253" s="501">
        <v>1.2999999999999999E-2</v>
      </c>
      <c r="K253" s="175">
        <v>33826</v>
      </c>
      <c r="L253" s="774">
        <v>0.41</v>
      </c>
      <c r="M253" s="177">
        <v>248</v>
      </c>
      <c r="N253" s="435">
        <f t="shared" si="18"/>
        <v>2.3524900266258786E-3</v>
      </c>
      <c r="O253" s="708">
        <v>9.0999999999999998E-2</v>
      </c>
      <c r="P253" s="718"/>
      <c r="Q253" s="433">
        <f>ND代替値</f>
        <v>0.215</v>
      </c>
      <c r="R253" s="177">
        <v>275</v>
      </c>
      <c r="S253" s="435">
        <f t="shared" si="24"/>
        <v>2.8350520833696487E-3</v>
      </c>
      <c r="T253" s="708">
        <v>8.6999999999999994E-2</v>
      </c>
      <c r="U253" s="718"/>
      <c r="V253" s="182">
        <v>33791</v>
      </c>
      <c r="W253" s="206">
        <v>0.94</v>
      </c>
      <c r="X253" s="191">
        <v>332</v>
      </c>
      <c r="Y253" s="435">
        <f t="shared" si="21"/>
        <v>2.4295018457791092E-3</v>
      </c>
      <c r="Z253" s="195">
        <v>0.1</v>
      </c>
      <c r="AA253" s="178"/>
      <c r="AB253" s="214"/>
      <c r="AC253" s="215"/>
      <c r="AD253" s="216"/>
      <c r="AE253" s="182">
        <v>33791</v>
      </c>
      <c r="AF253" s="433">
        <f t="shared" si="23"/>
        <v>0.17499999999999999</v>
      </c>
      <c r="AG253" s="191">
        <v>378</v>
      </c>
      <c r="AH253" s="435">
        <f t="shared" si="22"/>
        <v>6.0426071548865031E-3</v>
      </c>
      <c r="AI253" s="688">
        <v>0.12</v>
      </c>
      <c r="AJ253" s="718"/>
      <c r="AK253" s="182"/>
      <c r="AL253" s="190"/>
      <c r="AM253" s="191"/>
      <c r="AN253" s="192"/>
      <c r="AO253" s="688"/>
      <c r="AP253" s="718"/>
      <c r="AR253" s="485">
        <f t="shared" si="25"/>
        <v>0.86499765421669661</v>
      </c>
      <c r="AS253" s="485">
        <f t="shared" si="26"/>
        <v>0.1206405141859425</v>
      </c>
      <c r="AT253" s="486">
        <f t="shared" si="27"/>
        <v>1.044173567649539E-12</v>
      </c>
      <c r="AU253" s="487">
        <f t="shared" si="28"/>
        <v>199.99999931699196</v>
      </c>
      <c r="AV253" s="488">
        <f t="shared" si="29"/>
        <v>0.70209208054476235</v>
      </c>
      <c r="AW253" s="486">
        <f t="shared" si="30"/>
        <v>8.5947882130204628E-2</v>
      </c>
      <c r="AX253" s="805">
        <f t="shared" si="31"/>
        <v>3.962406040320186E-87</v>
      </c>
    </row>
    <row r="254" spans="2:50" ht="11.1" customHeight="1" x14ac:dyDescent="0.2">
      <c r="B254" s="175">
        <v>33933</v>
      </c>
      <c r="C254" s="775">
        <v>0.68</v>
      </c>
      <c r="D254" s="177">
        <v>379</v>
      </c>
      <c r="E254" s="435">
        <f t="shared" si="17"/>
        <v>2.1865300543555443E-3</v>
      </c>
      <c r="F254" s="178">
        <v>6.9000000000000006E-2</v>
      </c>
      <c r="G254" s="178"/>
      <c r="H254" s="218"/>
      <c r="I254" s="200"/>
      <c r="J254" s="500"/>
      <c r="K254" s="175">
        <v>33933</v>
      </c>
      <c r="L254" s="774">
        <v>0.65</v>
      </c>
      <c r="M254" s="177">
        <v>397</v>
      </c>
      <c r="N254" s="435">
        <f t="shared" si="18"/>
        <v>2.1318668029966558E-3</v>
      </c>
      <c r="O254" s="708">
        <v>8.4000000000000005E-2</v>
      </c>
      <c r="P254" s="718"/>
      <c r="Q254" s="441">
        <v>0.84</v>
      </c>
      <c r="R254" s="177">
        <v>382</v>
      </c>
      <c r="S254" s="435">
        <f t="shared" si="24"/>
        <v>2.5691728138677646E-3</v>
      </c>
      <c r="T254" s="708">
        <v>8.3000000000000004E-2</v>
      </c>
      <c r="U254" s="718"/>
      <c r="V254" s="182">
        <v>33906</v>
      </c>
      <c r="W254" s="433">
        <f>ND代替値</f>
        <v>0.17499999999999999</v>
      </c>
      <c r="X254" s="191">
        <v>374</v>
      </c>
      <c r="Y254" s="435">
        <f t="shared" si="21"/>
        <v>2.185505594235962E-3</v>
      </c>
      <c r="Z254" s="434">
        <f>ND代替値*2.71828^(-(0.69315/30.07)*(V254-調査開始日)/365.25)</f>
        <v>1.6699145095245973E-2</v>
      </c>
      <c r="AA254" s="178"/>
      <c r="AB254" s="199"/>
      <c r="AC254" s="200"/>
      <c r="AD254" s="201"/>
      <c r="AE254" s="182">
        <v>33906</v>
      </c>
      <c r="AF254" s="206">
        <v>0.9</v>
      </c>
      <c r="AG254" s="191">
        <v>376</v>
      </c>
      <c r="AH254" s="435">
        <f t="shared" si="22"/>
        <v>5.4357446830997002E-3</v>
      </c>
      <c r="AI254" s="688">
        <v>0.12</v>
      </c>
      <c r="AJ254" s="718"/>
      <c r="AK254" s="182"/>
      <c r="AL254" s="190"/>
      <c r="AM254" s="191"/>
      <c r="AN254" s="192"/>
      <c r="AO254" s="688"/>
      <c r="AP254" s="718"/>
      <c r="AR254" s="485">
        <f t="shared" si="25"/>
        <v>0.85917613342752863</v>
      </c>
      <c r="AS254" s="485">
        <f t="shared" si="26"/>
        <v>0.10932650271777722</v>
      </c>
      <c r="AT254" s="486">
        <f t="shared" si="27"/>
        <v>2.5961981100130312E-13</v>
      </c>
      <c r="AU254" s="487">
        <f t="shared" si="28"/>
        <v>199.99999928518957</v>
      </c>
      <c r="AV254" s="488">
        <f t="shared" si="29"/>
        <v>0.69062427614074129</v>
      </c>
      <c r="AW254" s="486">
        <f t="shared" si="30"/>
        <v>8.5344005696483441E-2</v>
      </c>
      <c r="AX254" s="805">
        <f t="shared" si="31"/>
        <v>4.1826321288099655E-91</v>
      </c>
    </row>
    <row r="255" spans="2:50" ht="11.1" customHeight="1" x14ac:dyDescent="0.2">
      <c r="B255" s="175">
        <v>34002</v>
      </c>
      <c r="C255" s="433">
        <f>ND代替値</f>
        <v>0.18518518518518517</v>
      </c>
      <c r="D255" s="177">
        <v>386</v>
      </c>
      <c r="E255" s="435">
        <f t="shared" si="17"/>
        <v>2.0519948415648405E-3</v>
      </c>
      <c r="F255" s="178">
        <v>5.7000000000000002E-2</v>
      </c>
      <c r="G255" s="178"/>
      <c r="H255" s="437">
        <f>ND代替値*2.71828^(-(0.69315/28.799)*(B255-調査開始日)/365.25)</f>
        <v>7.6324686443872422E-3</v>
      </c>
      <c r="I255" s="215">
        <v>1.34</v>
      </c>
      <c r="J255" s="203">
        <f>ND代替値</f>
        <v>5.0000000000000001E-3</v>
      </c>
      <c r="K255" s="175">
        <v>34002</v>
      </c>
      <c r="L255" s="433">
        <f>ND代替値2</f>
        <v>0.20499999999999999</v>
      </c>
      <c r="M255" s="177">
        <v>394</v>
      </c>
      <c r="N255" s="435">
        <f t="shared" si="18"/>
        <v>2.0006949705257192E-3</v>
      </c>
      <c r="O255" s="708">
        <v>7.2999999999999995E-2</v>
      </c>
      <c r="P255" s="718"/>
      <c r="Q255" s="433">
        <f>ND代替値</f>
        <v>0.215</v>
      </c>
      <c r="R255" s="177">
        <v>450</v>
      </c>
      <c r="S255" s="435">
        <f t="shared" si="24"/>
        <v>2.4110939388386874E-3</v>
      </c>
      <c r="T255" s="712">
        <v>0.05</v>
      </c>
      <c r="U255" s="718"/>
      <c r="V255" s="182">
        <v>34001</v>
      </c>
      <c r="W255" s="433">
        <f>ND代替値</f>
        <v>0.17499999999999999</v>
      </c>
      <c r="X255" s="191">
        <v>468</v>
      </c>
      <c r="Y255" s="435">
        <f t="shared" si="21"/>
        <v>2.0025371366627614E-3</v>
      </c>
      <c r="Z255" s="195">
        <v>0.12</v>
      </c>
      <c r="AA255" s="178"/>
      <c r="AB255" s="214"/>
      <c r="AC255" s="215"/>
      <c r="AD255" s="216"/>
      <c r="AE255" s="182">
        <v>34001</v>
      </c>
      <c r="AF255" s="433">
        <f>ND代替値2</f>
        <v>0.17499999999999999</v>
      </c>
      <c r="AG255" s="191">
        <v>441</v>
      </c>
      <c r="AH255" s="435">
        <f t="shared" si="22"/>
        <v>4.9806692886227655E-3</v>
      </c>
      <c r="AI255" s="688">
        <v>0.12</v>
      </c>
      <c r="AJ255" s="718"/>
      <c r="AK255" s="182">
        <v>34032</v>
      </c>
      <c r="AL255" s="433">
        <f>ND代替値</f>
        <v>0.32500000000000001</v>
      </c>
      <c r="AM255" s="191">
        <v>350</v>
      </c>
      <c r="AN255" s="435">
        <f>ND代替値2*2.71828^(-(0.69315/2.062)*(AK255-事故日Cb)/365.25)</f>
        <v>1.9961138776860422E-3</v>
      </c>
      <c r="AO255" s="688">
        <v>0.1</v>
      </c>
      <c r="AP255" s="718"/>
      <c r="AR255" s="485">
        <f t="shared" si="25"/>
        <v>0.8554428640944699</v>
      </c>
      <c r="AS255" s="485">
        <f t="shared" si="26"/>
        <v>0.10259974207824202</v>
      </c>
      <c r="AT255" s="486">
        <f t="shared" si="27"/>
        <v>1.0581861544911929E-13</v>
      </c>
      <c r="AU255" s="487">
        <f t="shared" si="28"/>
        <v>199.99999926468149</v>
      </c>
      <c r="AV255" s="488">
        <f t="shared" si="29"/>
        <v>0.68332868458736651</v>
      </c>
      <c r="AW255" s="486">
        <f t="shared" si="30"/>
        <v>8.4956842149485595E-2</v>
      </c>
      <c r="AX255" s="805">
        <f t="shared" si="31"/>
        <v>1.1406663243821497E-93</v>
      </c>
    </row>
    <row r="256" spans="2:50" ht="11.1" customHeight="1" x14ac:dyDescent="0.2">
      <c r="B256" s="175">
        <v>34109</v>
      </c>
      <c r="C256" s="183">
        <v>1</v>
      </c>
      <c r="D256" s="177">
        <v>309</v>
      </c>
      <c r="E256" s="435">
        <f t="shared" si="17"/>
        <v>1.8595529133557357E-3</v>
      </c>
      <c r="F256" s="178">
        <v>5.6000000000000001E-2</v>
      </c>
      <c r="G256" s="178"/>
      <c r="H256" s="212"/>
      <c r="I256" s="215"/>
      <c r="J256" s="501"/>
      <c r="K256" s="175">
        <v>34109</v>
      </c>
      <c r="L256" s="433">
        <f>ND代替値2</f>
        <v>0.20499999999999999</v>
      </c>
      <c r="M256" s="177">
        <v>272</v>
      </c>
      <c r="N256" s="435">
        <f t="shared" si="18"/>
        <v>1.8130640905218423E-3</v>
      </c>
      <c r="O256" s="708">
        <v>8.8999999999999996E-2</v>
      </c>
      <c r="P256" s="718"/>
      <c r="Q256" s="441">
        <v>0.68</v>
      </c>
      <c r="R256" s="177">
        <v>254</v>
      </c>
      <c r="S256" s="435">
        <f t="shared" si="24"/>
        <v>2.1849746731929893E-3</v>
      </c>
      <c r="T256" s="708">
        <v>0.1</v>
      </c>
      <c r="U256" s="718"/>
      <c r="V256" s="182">
        <v>34085</v>
      </c>
      <c r="W256" s="433">
        <f>ND代替値</f>
        <v>0.17499999999999999</v>
      </c>
      <c r="X256" s="191">
        <v>260</v>
      </c>
      <c r="Y256" s="435">
        <f t="shared" si="21"/>
        <v>1.853556876382311E-3</v>
      </c>
      <c r="Z256" s="192">
        <v>6.3E-2</v>
      </c>
      <c r="AA256" s="178"/>
      <c r="AB256" s="214">
        <v>0.04</v>
      </c>
      <c r="AC256" s="215">
        <v>1.83</v>
      </c>
      <c r="AD256" s="216">
        <v>2.1999999999999999E-2</v>
      </c>
      <c r="AE256" s="182">
        <v>34085</v>
      </c>
      <c r="AF256" s="773">
        <v>0.35</v>
      </c>
      <c r="AG256" s="191">
        <v>271</v>
      </c>
      <c r="AH256" s="435">
        <f t="shared" si="22"/>
        <v>4.6101286412585686E-3</v>
      </c>
      <c r="AI256" s="688">
        <v>5.3999999999999999E-2</v>
      </c>
      <c r="AJ256" s="718"/>
      <c r="AK256" s="182"/>
      <c r="AL256" s="190"/>
      <c r="AM256" s="191"/>
      <c r="AN256" s="192"/>
      <c r="AO256" s="688"/>
      <c r="AP256" s="718"/>
      <c r="AR256" s="485">
        <f t="shared" si="25"/>
        <v>0.84968564799914881</v>
      </c>
      <c r="AS256" s="485">
        <f t="shared" si="26"/>
        <v>9.2977645667786782E-2</v>
      </c>
      <c r="AT256" s="486">
        <f t="shared" si="27"/>
        <v>2.6310385355914783E-14</v>
      </c>
      <c r="AU256" s="487">
        <f t="shared" si="28"/>
        <v>199.99999923287911</v>
      </c>
      <c r="AV256" s="488">
        <f t="shared" si="29"/>
        <v>0.67216735701274866</v>
      </c>
      <c r="AW256" s="486">
        <f t="shared" si="30"/>
        <v>8.4359928838931605E-2</v>
      </c>
      <c r="AX256" s="805">
        <f t="shared" si="31"/>
        <v>1.2040632807602991E-97</v>
      </c>
    </row>
    <row r="257" spans="2:50" ht="11.1" customHeight="1" x14ac:dyDescent="0.2">
      <c r="B257" s="175">
        <v>34201</v>
      </c>
      <c r="C257" s="183">
        <v>0.88</v>
      </c>
      <c r="D257" s="177">
        <v>288</v>
      </c>
      <c r="E257" s="435">
        <f t="shared" si="17"/>
        <v>1.7085838303502947E-3</v>
      </c>
      <c r="F257" s="178">
        <v>6.7000000000000004E-2</v>
      </c>
      <c r="G257" s="178"/>
      <c r="H257" s="437">
        <f>ND代替値*2.71828^(-(0.69315/28.799)*(B257-調査開始日)/365.25)</f>
        <v>7.5330350816734575E-3</v>
      </c>
      <c r="I257" s="215">
        <v>3</v>
      </c>
      <c r="J257" s="203">
        <f>ND代替値</f>
        <v>5.0000000000000001E-3</v>
      </c>
      <c r="K257" s="175">
        <v>34201</v>
      </c>
      <c r="L257" s="433">
        <f>ND代替値2</f>
        <v>0.20499999999999999</v>
      </c>
      <c r="M257" s="177">
        <v>277</v>
      </c>
      <c r="N257" s="435">
        <f t="shared" si="18"/>
        <v>1.6658692345915371E-3</v>
      </c>
      <c r="O257" s="708">
        <v>8.4000000000000005E-2</v>
      </c>
      <c r="P257" s="718"/>
      <c r="Q257" s="441">
        <v>0.88</v>
      </c>
      <c r="R257" s="177">
        <v>285</v>
      </c>
      <c r="S257" s="435">
        <f t="shared" si="24"/>
        <v>2.0075860006615962E-3</v>
      </c>
      <c r="T257" s="708">
        <v>6.6000000000000003E-2</v>
      </c>
      <c r="U257" s="718"/>
      <c r="V257" s="182">
        <v>34156</v>
      </c>
      <c r="W257" s="433">
        <f>ND代替値</f>
        <v>0.17499999999999999</v>
      </c>
      <c r="X257" s="191">
        <v>290</v>
      </c>
      <c r="Y257" s="435">
        <f t="shared" si="21"/>
        <v>1.7363102685273508E-3</v>
      </c>
      <c r="Z257" s="192">
        <v>5.1999999999999998E-2</v>
      </c>
      <c r="AA257" s="178"/>
      <c r="AB257" s="214"/>
      <c r="AC257" s="215"/>
      <c r="AD257" s="216"/>
      <c r="AE257" s="182">
        <v>34156</v>
      </c>
      <c r="AF257" s="433">
        <f>ND代替値2</f>
        <v>0.17499999999999999</v>
      </c>
      <c r="AG257" s="191">
        <v>309</v>
      </c>
      <c r="AH257" s="435">
        <f t="shared" si="22"/>
        <v>4.3185152832603338E-3</v>
      </c>
      <c r="AI257" s="688">
        <v>5.6000000000000001E-2</v>
      </c>
      <c r="AJ257" s="718"/>
      <c r="AK257" s="182"/>
      <c r="AL257" s="190"/>
      <c r="AM257" s="191"/>
      <c r="AN257" s="192"/>
      <c r="AO257" s="688"/>
      <c r="AP257" s="718"/>
      <c r="AR257" s="485">
        <f t="shared" si="25"/>
        <v>0.84476650774808348</v>
      </c>
      <c r="AS257" s="485">
        <f t="shared" si="26"/>
        <v>8.5429191517514727E-2</v>
      </c>
      <c r="AT257" s="486">
        <f t="shared" si="27"/>
        <v>7.9510814607277269E-15</v>
      </c>
      <c r="AU257" s="487">
        <f t="shared" si="28"/>
        <v>199.999999205535</v>
      </c>
      <c r="AV257" s="488">
        <f t="shared" si="29"/>
        <v>0.66271657567048248</v>
      </c>
      <c r="AW257" s="486">
        <f t="shared" si="30"/>
        <v>8.3850049329832366E-2</v>
      </c>
      <c r="AX257" s="805">
        <f t="shared" si="31"/>
        <v>4.587695453956797E-101</v>
      </c>
    </row>
    <row r="258" spans="2:50" ht="11.1" customHeight="1" x14ac:dyDescent="0.2">
      <c r="B258" s="175">
        <v>34298</v>
      </c>
      <c r="C258" s="183">
        <v>1.4</v>
      </c>
      <c r="D258" s="177">
        <v>405</v>
      </c>
      <c r="E258" s="435">
        <f t="shared" si="17"/>
        <v>1.5626637997485089E-3</v>
      </c>
      <c r="F258" s="178">
        <v>0.13</v>
      </c>
      <c r="G258" s="178"/>
      <c r="H258" s="212"/>
      <c r="I258" s="215"/>
      <c r="J258" s="501"/>
      <c r="K258" s="175">
        <v>34298</v>
      </c>
      <c r="L258" s="433">
        <f>ND代替値2</f>
        <v>0.20499999999999999</v>
      </c>
      <c r="M258" s="177">
        <v>402</v>
      </c>
      <c r="N258" s="435">
        <f t="shared" si="18"/>
        <v>1.523597204754796E-3</v>
      </c>
      <c r="O258" s="712">
        <v>5.7000000000000002E-2</v>
      </c>
      <c r="P258" s="728"/>
      <c r="Q258" s="433">
        <f>ND代替値</f>
        <v>0.215</v>
      </c>
      <c r="R258" s="177">
        <v>367</v>
      </c>
      <c r="S258" s="435">
        <f t="shared" si="24"/>
        <v>1.8361299647044979E-3</v>
      </c>
      <c r="T258" s="708">
        <v>0.13</v>
      </c>
      <c r="U258" s="728"/>
      <c r="V258" s="182">
        <v>34248</v>
      </c>
      <c r="W258" s="206">
        <v>0.85</v>
      </c>
      <c r="X258" s="191">
        <v>310</v>
      </c>
      <c r="Y258" s="435">
        <f t="shared" si="21"/>
        <v>1.5953467244572499E-3</v>
      </c>
      <c r="Z258" s="192">
        <v>0.1</v>
      </c>
      <c r="AA258" s="178"/>
      <c r="AB258" s="214"/>
      <c r="AC258" s="215"/>
      <c r="AD258" s="216"/>
      <c r="AE258" s="182">
        <v>34248</v>
      </c>
      <c r="AF258" s="206">
        <v>0.54</v>
      </c>
      <c r="AG258" s="191">
        <v>295</v>
      </c>
      <c r="AH258" s="435">
        <f t="shared" si="22"/>
        <v>3.9679136480090579E-3</v>
      </c>
      <c r="AI258" s="688">
        <v>0.12</v>
      </c>
      <c r="AJ258" s="728"/>
      <c r="AK258" s="182">
        <v>34291</v>
      </c>
      <c r="AL258" s="433">
        <f>ND代替値</f>
        <v>0.32500000000000001</v>
      </c>
      <c r="AM258" s="191">
        <v>332</v>
      </c>
      <c r="AN258" s="435">
        <f>ND代替値2*2.71828^(-(0.69315/2.062)*(AK258-事故日Cb)/365.25)</f>
        <v>1.57276356632798E-3</v>
      </c>
      <c r="AO258" s="688">
        <v>8.1000000000000003E-2</v>
      </c>
      <c r="AP258" s="728"/>
      <c r="AR258" s="485">
        <f t="shared" si="25"/>
        <v>0.83961086206833568</v>
      </c>
      <c r="AS258" s="485">
        <f t="shared" si="26"/>
        <v>7.8133189987425439E-2</v>
      </c>
      <c r="AT258" s="486">
        <f t="shared" si="27"/>
        <v>2.2515447180190664E-15</v>
      </c>
      <c r="AU258" s="487">
        <f t="shared" si="28"/>
        <v>199.99999917670479</v>
      </c>
      <c r="AV258" s="488">
        <f t="shared" si="29"/>
        <v>0.6528960364488301</v>
      </c>
      <c r="AW258" s="486">
        <f t="shared" si="30"/>
        <v>8.3315796154356025E-2</v>
      </c>
      <c r="AX258" s="805">
        <f t="shared" si="31"/>
        <v>1.1395192243263819E-104</v>
      </c>
    </row>
    <row r="259" spans="2:50" ht="11.1" customHeight="1" x14ac:dyDescent="0.2">
      <c r="B259" s="175">
        <v>34386</v>
      </c>
      <c r="C259" s="183"/>
      <c r="D259" s="177"/>
      <c r="E259" s="178"/>
      <c r="F259" s="178"/>
      <c r="G259" s="178"/>
      <c r="H259" s="437">
        <f>ND代替値*2.71828^(-(0.69315/28.799)*(B259-調査開始日)/365.25)</f>
        <v>7.4417590985830255E-3</v>
      </c>
      <c r="I259" s="200">
        <v>1.1000000000000001</v>
      </c>
      <c r="J259" s="203">
        <f>ND代替値</f>
        <v>5.0000000000000001E-3</v>
      </c>
      <c r="K259" s="175">
        <v>34386</v>
      </c>
      <c r="L259" s="225"/>
      <c r="M259" s="177"/>
      <c r="N259" s="178"/>
      <c r="O259" s="713"/>
      <c r="P259" s="720"/>
      <c r="Q259" s="225"/>
      <c r="R259" s="177"/>
      <c r="S259" s="178"/>
      <c r="T259" s="708"/>
      <c r="U259" s="720"/>
      <c r="V259" s="175">
        <v>34372</v>
      </c>
      <c r="W259" s="433">
        <f>ND代替値</f>
        <v>0.17499999999999999</v>
      </c>
      <c r="X259" s="191">
        <v>400</v>
      </c>
      <c r="Y259" s="435">
        <f t="shared" si="21"/>
        <v>1.423287020666934E-3</v>
      </c>
      <c r="Z259" s="434">
        <f>ND代替値*2.71828^(-(0.69315/30.07)*(V259-調査開始日)/365.25)</f>
        <v>1.6215181299593713E-2</v>
      </c>
      <c r="AA259" s="178"/>
      <c r="AB259" s="199"/>
      <c r="AC259" s="200"/>
      <c r="AD259" s="201"/>
      <c r="AE259" s="175">
        <v>34372</v>
      </c>
      <c r="AF259" s="433">
        <f>ND代替値2</f>
        <v>0.17499999999999999</v>
      </c>
      <c r="AG259" s="191">
        <v>380</v>
      </c>
      <c r="AH259" s="435">
        <f t="shared" si="22"/>
        <v>3.539970282171605E-3</v>
      </c>
      <c r="AI259" s="688">
        <v>5.6000000000000001E-2</v>
      </c>
      <c r="AJ259" s="720"/>
      <c r="AK259" s="182"/>
      <c r="AL259" s="190"/>
      <c r="AM259" s="191"/>
      <c r="AN259" s="192"/>
      <c r="AO259" s="688"/>
      <c r="AP259" s="720"/>
      <c r="AR259" s="485">
        <f t="shared" si="25"/>
        <v>0.83496080180767218</v>
      </c>
      <c r="AS259" s="485">
        <f t="shared" si="26"/>
        <v>7.2054664537772484E-2</v>
      </c>
      <c r="AT259" s="486">
        <f t="shared" si="27"/>
        <v>7.1676248540621769E-16</v>
      </c>
      <c r="AU259" s="487">
        <f t="shared" si="28"/>
        <v>199.99999915054957</v>
      </c>
      <c r="AV259" s="488">
        <f t="shared" si="29"/>
        <v>0.64411263864678603</v>
      </c>
      <c r="AW259" s="486">
        <f t="shared" si="30"/>
        <v>8.2834058351192008E-2</v>
      </c>
      <c r="AX259" s="805">
        <f t="shared" si="31"/>
        <v>6.1139443013721262E-108</v>
      </c>
    </row>
    <row r="260" spans="2:50" ht="11.1" customHeight="1" x14ac:dyDescent="0.2">
      <c r="B260" s="175">
        <v>34478</v>
      </c>
      <c r="C260" s="183">
        <v>0.64</v>
      </c>
      <c r="D260" s="177">
        <v>285</v>
      </c>
      <c r="E260" s="435">
        <f t="shared" ref="E260:E291" si="32">ND代替値*2.71828^(-(0.69315/2.062)*(B260-事故日Cb)/365.25)</f>
        <v>1.324097140192552E-3</v>
      </c>
      <c r="F260" s="178">
        <v>7.0999999999999994E-2</v>
      </c>
      <c r="G260" s="178"/>
      <c r="H260" s="212"/>
      <c r="I260" s="215"/>
      <c r="J260" s="501"/>
      <c r="K260" s="175">
        <v>34478</v>
      </c>
      <c r="L260" s="433">
        <f>ND代替値2</f>
        <v>0.20499999999999999</v>
      </c>
      <c r="M260" s="177">
        <v>244</v>
      </c>
      <c r="N260" s="435">
        <f t="shared" ref="N260:N291" si="33">ND代替値2*2.71828^(-(0.69315/2.062)*(B260-事故日Cb)/365.25)</f>
        <v>1.2909947116877382E-3</v>
      </c>
      <c r="O260" s="713">
        <v>6.0999999999999999E-2</v>
      </c>
      <c r="P260" s="720"/>
      <c r="Q260" s="433">
        <f>ND代替値</f>
        <v>0.215</v>
      </c>
      <c r="R260" s="177">
        <v>346</v>
      </c>
      <c r="S260" s="435">
        <f t="shared" ref="S260:S291" si="34">ND代替値*2.71828^(-(0.69315/2.062)*(B260-事故日Cb)/365.25)</f>
        <v>1.5558141397262486E-3</v>
      </c>
      <c r="T260" s="708">
        <v>8.6999999999999994E-2</v>
      </c>
      <c r="U260" s="720"/>
      <c r="V260" s="175">
        <v>34445</v>
      </c>
      <c r="W260" s="433">
        <f>ND代替値</f>
        <v>0.17499999999999999</v>
      </c>
      <c r="X260" s="191">
        <v>324</v>
      </c>
      <c r="Y260" s="435">
        <f t="shared" si="21"/>
        <v>1.3308052607473764E-3</v>
      </c>
      <c r="Z260" s="192">
        <v>5.8000000000000003E-2</v>
      </c>
      <c r="AA260" s="178"/>
      <c r="AB260" s="214">
        <v>1.7999999999999999E-2</v>
      </c>
      <c r="AC260" s="215">
        <v>1.52</v>
      </c>
      <c r="AD260" s="216">
        <v>1.2E-2</v>
      </c>
      <c r="AE260" s="175">
        <v>34445</v>
      </c>
      <c r="AF260" s="433">
        <f>ND代替値2</f>
        <v>0.17499999999999999</v>
      </c>
      <c r="AG260" s="191">
        <v>313</v>
      </c>
      <c r="AH260" s="435">
        <f t="shared" si="22"/>
        <v>3.3099515459614234E-3</v>
      </c>
      <c r="AI260" s="688">
        <v>5.5E-2</v>
      </c>
      <c r="AJ260" s="720"/>
      <c r="AK260" s="175"/>
      <c r="AL260" s="190"/>
      <c r="AM260" s="191"/>
      <c r="AN260" s="192"/>
      <c r="AO260" s="688"/>
      <c r="AP260" s="720"/>
      <c r="AR260" s="485">
        <f t="shared" si="25"/>
        <v>0.83012690906403719</v>
      </c>
      <c r="AS260" s="485">
        <f t="shared" si="26"/>
        <v>6.6204857009627596E-2</v>
      </c>
      <c r="AT260" s="486">
        <f t="shared" si="27"/>
        <v>2.1660788439106897E-16</v>
      </c>
      <c r="AU260" s="487">
        <f t="shared" si="28"/>
        <v>199.9999991232055</v>
      </c>
      <c r="AV260" s="488">
        <f t="shared" si="29"/>
        <v>0.63505631116504935</v>
      </c>
      <c r="AW260" s="486">
        <f t="shared" si="30"/>
        <v>8.2333401349815899E-2</v>
      </c>
      <c r="AX260" s="805">
        <f t="shared" si="31"/>
        <v>2.3295216227706095E-111</v>
      </c>
    </row>
    <row r="261" spans="2:50" ht="11.1" customHeight="1" x14ac:dyDescent="0.2">
      <c r="B261" s="175">
        <v>34556</v>
      </c>
      <c r="C261" s="183">
        <v>0.74</v>
      </c>
      <c r="D261" s="177">
        <v>252</v>
      </c>
      <c r="E261" s="435">
        <f t="shared" si="32"/>
        <v>1.2323764081356536E-3</v>
      </c>
      <c r="F261" s="178">
        <v>7.4999999999999997E-2</v>
      </c>
      <c r="G261" s="178"/>
      <c r="H261" s="212">
        <v>0.02</v>
      </c>
      <c r="I261" s="215">
        <v>1.8</v>
      </c>
      <c r="J261" s="501">
        <v>1.0999999999999999E-2</v>
      </c>
      <c r="K261" s="175">
        <v>34556</v>
      </c>
      <c r="L261" s="225">
        <v>0.42</v>
      </c>
      <c r="M261" s="177">
        <v>264</v>
      </c>
      <c r="N261" s="435">
        <f t="shared" si="33"/>
        <v>1.201566997932262E-3</v>
      </c>
      <c r="O261" s="713">
        <v>9.2999999999999999E-2</v>
      </c>
      <c r="P261" s="720"/>
      <c r="Q261" s="433">
        <f>ND代替値</f>
        <v>0.215</v>
      </c>
      <c r="R261" s="177">
        <v>278</v>
      </c>
      <c r="S261" s="435">
        <f t="shared" si="34"/>
        <v>1.4480422795593929E-3</v>
      </c>
      <c r="T261" s="708">
        <v>7.5999999999999998E-2</v>
      </c>
      <c r="U261" s="720"/>
      <c r="V261" s="175">
        <v>34541</v>
      </c>
      <c r="W261" s="206">
        <v>0.46</v>
      </c>
      <c r="X261" s="191">
        <v>281</v>
      </c>
      <c r="Y261" s="435">
        <f t="shared" si="21"/>
        <v>1.2182697673932287E-3</v>
      </c>
      <c r="Z261" s="192">
        <v>6.2E-2</v>
      </c>
      <c r="AA261" s="178"/>
      <c r="AB261" s="214"/>
      <c r="AC261" s="215"/>
      <c r="AD261" s="216"/>
      <c r="AE261" s="175">
        <v>34541</v>
      </c>
      <c r="AF261" s="773">
        <v>0.39</v>
      </c>
      <c r="AG261" s="191">
        <v>324</v>
      </c>
      <c r="AH261" s="435">
        <f t="shared" si="22"/>
        <v>3.0300555753113635E-3</v>
      </c>
      <c r="AI261" s="688">
        <v>0.1</v>
      </c>
      <c r="AJ261" s="720"/>
      <c r="AK261" s="175"/>
      <c r="AL261" s="190"/>
      <c r="AM261" s="191"/>
      <c r="AN261" s="192"/>
      <c r="AO261" s="688"/>
      <c r="AP261" s="720"/>
      <c r="AR261" s="485">
        <f t="shared" si="25"/>
        <v>0.82605053641745441</v>
      </c>
      <c r="AS261" s="485">
        <f t="shared" si="26"/>
        <v>6.1618820406782675E-2</v>
      </c>
      <c r="AT261" s="486">
        <f t="shared" si="27"/>
        <v>7.8534085377052939E-17</v>
      </c>
      <c r="AU261" s="487">
        <f t="shared" si="28"/>
        <v>199.99999910002245</v>
      </c>
      <c r="AV261" s="488">
        <f t="shared" si="29"/>
        <v>0.62747793440914379</v>
      </c>
      <c r="AW261" s="486">
        <f t="shared" si="30"/>
        <v>8.1911302345276063E-2</v>
      </c>
      <c r="AX261" s="805">
        <f t="shared" si="31"/>
        <v>2.9410536808997588E-114</v>
      </c>
    </row>
    <row r="262" spans="2:50" ht="11.1" customHeight="1" x14ac:dyDescent="0.2">
      <c r="B262" s="175">
        <v>34656</v>
      </c>
      <c r="C262" s="183">
        <v>1.6</v>
      </c>
      <c r="D262" s="177">
        <v>347</v>
      </c>
      <c r="E262" s="435">
        <f t="shared" si="32"/>
        <v>1.1240187098130138E-3</v>
      </c>
      <c r="F262" s="178">
        <v>0.13</v>
      </c>
      <c r="G262" s="178"/>
      <c r="H262" s="212"/>
      <c r="I262" s="215"/>
      <c r="J262" s="501"/>
      <c r="K262" s="175">
        <v>34656</v>
      </c>
      <c r="L262" s="225">
        <v>0.77</v>
      </c>
      <c r="M262" s="177">
        <v>371</v>
      </c>
      <c r="N262" s="435">
        <f t="shared" si="33"/>
        <v>1.0959182420676884E-3</v>
      </c>
      <c r="O262" s="713">
        <v>0.14000000000000001</v>
      </c>
      <c r="P262" s="720"/>
      <c r="Q262" s="433">
        <f>ND代替値</f>
        <v>0.215</v>
      </c>
      <c r="R262" s="177">
        <v>388</v>
      </c>
      <c r="S262" s="435">
        <f t="shared" si="34"/>
        <v>1.3207219840302912E-3</v>
      </c>
      <c r="T262" s="708">
        <v>7.8E-2</v>
      </c>
      <c r="U262" s="720"/>
      <c r="V262" s="175">
        <v>34618</v>
      </c>
      <c r="W262" s="206">
        <v>1.2</v>
      </c>
      <c r="X262" s="191">
        <v>281</v>
      </c>
      <c r="Y262" s="435">
        <f t="shared" si="21"/>
        <v>1.1349237739058547E-3</v>
      </c>
      <c r="Z262" s="192">
        <v>9.2999999999999999E-2</v>
      </c>
      <c r="AA262" s="178"/>
      <c r="AB262" s="214"/>
      <c r="AC262" s="215"/>
      <c r="AD262" s="216"/>
      <c r="AE262" s="175">
        <v>34618</v>
      </c>
      <c r="AF262" s="206">
        <v>0.98</v>
      </c>
      <c r="AG262" s="191">
        <v>281</v>
      </c>
      <c r="AH262" s="435">
        <f t="shared" si="22"/>
        <v>2.8227591299709721E-3</v>
      </c>
      <c r="AI262" s="688">
        <v>7.9000000000000001E-2</v>
      </c>
      <c r="AJ262" s="720"/>
      <c r="AK262" s="175">
        <v>34646</v>
      </c>
      <c r="AL262" s="217">
        <v>0.4</v>
      </c>
      <c r="AM262" s="191">
        <v>317</v>
      </c>
      <c r="AN262" s="435">
        <f>ND代替値2*2.71828^(-(0.69315/2.062)*(AK262-事故日Cb)/365.25)</f>
        <v>1.134411247659132E-3</v>
      </c>
      <c r="AO262" s="688">
        <v>9.6000000000000002E-2</v>
      </c>
      <c r="AP262" s="720"/>
      <c r="AR262" s="485">
        <f t="shared" si="25"/>
        <v>0.82085368633353162</v>
      </c>
      <c r="AS262" s="485">
        <f t="shared" si="26"/>
        <v>5.6200935490650687E-2</v>
      </c>
      <c r="AT262" s="486">
        <f t="shared" si="27"/>
        <v>2.138778414123938E-17</v>
      </c>
      <c r="AU262" s="487">
        <f t="shared" si="28"/>
        <v>199.99999907030056</v>
      </c>
      <c r="AV262" s="488">
        <f t="shared" si="29"/>
        <v>0.61789421227170793</v>
      </c>
      <c r="AW262" s="486">
        <f t="shared" si="30"/>
        <v>8.13733138289192E-2</v>
      </c>
      <c r="AX262" s="805">
        <f t="shared" si="31"/>
        <v>5.6511796325168789E-118</v>
      </c>
    </row>
    <row r="263" spans="2:50" ht="11.1" customHeight="1" x14ac:dyDescent="0.2">
      <c r="B263" s="175">
        <v>34758</v>
      </c>
      <c r="C263" s="433">
        <f>ND代替値</f>
        <v>0.18518518518518517</v>
      </c>
      <c r="D263" s="177">
        <v>428</v>
      </c>
      <c r="E263" s="435">
        <f t="shared" si="32"/>
        <v>1.0233031431286436E-3</v>
      </c>
      <c r="F263" s="178">
        <v>8.2000000000000003E-2</v>
      </c>
      <c r="G263" s="178"/>
      <c r="H263" s="437">
        <f>ND代替値*2.71828^(-(0.69315/28.799)*(B263-調査開始日)/365.25)</f>
        <v>7.2615545609435884E-3</v>
      </c>
      <c r="I263" s="215">
        <v>1.24</v>
      </c>
      <c r="J263" s="203">
        <f>ND代替値</f>
        <v>5.0000000000000001E-3</v>
      </c>
      <c r="K263" s="175">
        <v>34758</v>
      </c>
      <c r="L263" s="433">
        <f>ND代替値2</f>
        <v>0.20499999999999999</v>
      </c>
      <c r="M263" s="177">
        <v>403</v>
      </c>
      <c r="N263" s="435">
        <f t="shared" si="33"/>
        <v>9.9772056455042757E-4</v>
      </c>
      <c r="O263" s="713">
        <v>0.12</v>
      </c>
      <c r="P263" s="720"/>
      <c r="Q263" s="433">
        <f>ND代替値</f>
        <v>0.215</v>
      </c>
      <c r="R263" s="177">
        <v>423</v>
      </c>
      <c r="S263" s="435">
        <f t="shared" si="34"/>
        <v>1.2023811931761563E-3</v>
      </c>
      <c r="T263" s="708">
        <v>5.5E-2</v>
      </c>
      <c r="U263" s="720"/>
      <c r="V263" s="175">
        <v>34737</v>
      </c>
      <c r="W263" s="433">
        <f>ND代替値</f>
        <v>0.17499999999999999</v>
      </c>
      <c r="X263" s="191">
        <v>394</v>
      </c>
      <c r="Y263" s="435">
        <f t="shared" si="21"/>
        <v>1.0171911881191402E-3</v>
      </c>
      <c r="Z263" s="195">
        <v>4.9000000000000002E-2</v>
      </c>
      <c r="AA263" s="178"/>
      <c r="AB263" s="214"/>
      <c r="AC263" s="215"/>
      <c r="AD263" s="216"/>
      <c r="AE263" s="175">
        <v>34737</v>
      </c>
      <c r="AF263" s="433">
        <f>ND代替値2</f>
        <v>0.17499999999999999</v>
      </c>
      <c r="AG263" s="191">
        <v>432</v>
      </c>
      <c r="AH263" s="435">
        <f t="shared" si="22"/>
        <v>2.5299370576296566E-3</v>
      </c>
      <c r="AI263" s="688">
        <v>5.0999999999999997E-2</v>
      </c>
      <c r="AJ263" s="720"/>
      <c r="AK263" s="175"/>
      <c r="AL263" s="190"/>
      <c r="AM263" s="191"/>
      <c r="AN263" s="192"/>
      <c r="AO263" s="688"/>
      <c r="AP263" s="720"/>
      <c r="AR263" s="485">
        <f t="shared" si="25"/>
        <v>0.81558657963406989</v>
      </c>
      <c r="AS263" s="485">
        <f t="shared" si="26"/>
        <v>5.1165157156432182E-2</v>
      </c>
      <c r="AT263" s="486">
        <f t="shared" si="27"/>
        <v>5.6751264983172543E-18</v>
      </c>
      <c r="AU263" s="487">
        <f t="shared" si="28"/>
        <v>199.99999903998429</v>
      </c>
      <c r="AV263" s="488">
        <f t="shared" si="29"/>
        <v>0.60826959686704496</v>
      </c>
      <c r="AW263" s="486">
        <f t="shared" si="30"/>
        <v>8.0828205569849376E-2</v>
      </c>
      <c r="AX263" s="805">
        <f t="shared" si="31"/>
        <v>9.1505668138335469E-122</v>
      </c>
    </row>
    <row r="264" spans="2:50" ht="11.1" customHeight="1" x14ac:dyDescent="0.2">
      <c r="B264" s="175">
        <v>34844</v>
      </c>
      <c r="C264" s="183">
        <v>0.76</v>
      </c>
      <c r="D264" s="177">
        <v>340</v>
      </c>
      <c r="E264" s="435">
        <f t="shared" si="32"/>
        <v>9.4543189500281399E-4</v>
      </c>
      <c r="F264" s="178">
        <v>0.05</v>
      </c>
      <c r="G264" s="178"/>
      <c r="H264" s="212"/>
      <c r="I264" s="215"/>
      <c r="J264" s="501"/>
      <c r="K264" s="175">
        <v>34844</v>
      </c>
      <c r="L264" s="433">
        <f>ND代替値2</f>
        <v>0.20499999999999999</v>
      </c>
      <c r="M264" s="177">
        <v>285</v>
      </c>
      <c r="N264" s="435">
        <f t="shared" si="33"/>
        <v>9.2179609762774368E-4</v>
      </c>
      <c r="O264" s="713">
        <v>7.5999999999999998E-2</v>
      </c>
      <c r="P264" s="720"/>
      <c r="Q264" s="433">
        <f>ND代替値</f>
        <v>0.215</v>
      </c>
      <c r="R264" s="177">
        <v>328</v>
      </c>
      <c r="S264" s="435">
        <f t="shared" si="34"/>
        <v>1.1108824766283064E-3</v>
      </c>
      <c r="T264" s="708">
        <v>4.7E-2</v>
      </c>
      <c r="U264" s="720"/>
      <c r="V264" s="175">
        <v>34810</v>
      </c>
      <c r="W264" s="206">
        <v>0.52</v>
      </c>
      <c r="X264" s="191">
        <v>336</v>
      </c>
      <c r="Y264" s="435">
        <f t="shared" si="21"/>
        <v>9.5109655654732745E-4</v>
      </c>
      <c r="Z264" s="195">
        <v>5.6000000000000001E-2</v>
      </c>
      <c r="AA264" s="178"/>
      <c r="AB264" s="214">
        <v>0.04</v>
      </c>
      <c r="AC264" s="215">
        <v>1.42</v>
      </c>
      <c r="AD264" s="216">
        <v>2.8000000000000001E-2</v>
      </c>
      <c r="AE264" s="175">
        <v>34810</v>
      </c>
      <c r="AF264" s="433">
        <f>ND代替値2</f>
        <v>0.17499999999999999</v>
      </c>
      <c r="AG264" s="191">
        <v>380</v>
      </c>
      <c r="AH264" s="435">
        <f t="shared" si="22"/>
        <v>2.3655478457715582E-3</v>
      </c>
      <c r="AI264" s="688">
        <v>7.0000000000000007E-2</v>
      </c>
      <c r="AJ264" s="720"/>
      <c r="AK264" s="175"/>
      <c r="AL264" s="190"/>
      <c r="AM264" s="191"/>
      <c r="AN264" s="192"/>
      <c r="AO264" s="688"/>
      <c r="AP264" s="720"/>
      <c r="AR264" s="485">
        <f t="shared" si="25"/>
        <v>0.81117195516497087</v>
      </c>
      <c r="AS264" s="485">
        <f t="shared" si="26"/>
        <v>4.72715947501407E-2</v>
      </c>
      <c r="AT264" s="486">
        <f t="shared" si="27"/>
        <v>1.8542491309775394E-18</v>
      </c>
      <c r="AU264" s="487">
        <f t="shared" si="28"/>
        <v>199.99999901442354</v>
      </c>
      <c r="AV264" s="488">
        <f t="shared" si="29"/>
        <v>0.60027130766572445</v>
      </c>
      <c r="AW264" s="486">
        <f t="shared" si="30"/>
        <v>8.0371442812029903E-2</v>
      </c>
      <c r="AX264" s="805">
        <f t="shared" si="31"/>
        <v>5.8260619029445359E-125</v>
      </c>
    </row>
    <row r="265" spans="2:50" ht="11.1" customHeight="1" x14ac:dyDescent="0.2">
      <c r="B265" s="175">
        <v>34919</v>
      </c>
      <c r="C265" s="183">
        <v>0.93</v>
      </c>
      <c r="D265" s="177">
        <v>292</v>
      </c>
      <c r="E265" s="435">
        <f t="shared" si="32"/>
        <v>8.8237434574262291E-4</v>
      </c>
      <c r="F265" s="178">
        <v>6.4000000000000001E-2</v>
      </c>
      <c r="G265" s="178"/>
      <c r="H265" s="437">
        <f>ND代替値*2.71828^(-(0.69315/28.799)*(B265-調査開始日)/365.25)</f>
        <v>7.1849220512741428E-3</v>
      </c>
      <c r="I265" s="215">
        <v>1.8</v>
      </c>
      <c r="J265" s="203">
        <f>ND代替値</f>
        <v>5.0000000000000001E-3</v>
      </c>
      <c r="K265" s="175">
        <v>34919</v>
      </c>
      <c r="L265" s="225">
        <v>0.63</v>
      </c>
      <c r="M265" s="177">
        <v>214</v>
      </c>
      <c r="N265" s="435">
        <f t="shared" si="33"/>
        <v>8.6031498709905738E-4</v>
      </c>
      <c r="O265" s="713">
        <v>8.7999999999999995E-2</v>
      </c>
      <c r="P265" s="720"/>
      <c r="Q265" s="701">
        <v>0.76</v>
      </c>
      <c r="R265" s="177">
        <v>282</v>
      </c>
      <c r="S265" s="435">
        <f t="shared" si="34"/>
        <v>1.0367898562475819E-3</v>
      </c>
      <c r="T265" s="708">
        <v>7.6999999999999999E-2</v>
      </c>
      <c r="U265" s="720"/>
      <c r="V265" s="175">
        <v>34905</v>
      </c>
      <c r="W265" s="206">
        <v>0.46</v>
      </c>
      <c r="X265" s="191">
        <v>378</v>
      </c>
      <c r="Y265" s="435">
        <f t="shared" si="21"/>
        <v>8.7147165400138643E-4</v>
      </c>
      <c r="Z265" s="192">
        <v>8.5999999999999993E-2</v>
      </c>
      <c r="AA265" s="178"/>
      <c r="AB265" s="214"/>
      <c r="AC265" s="215"/>
      <c r="AD265" s="216"/>
      <c r="AE265" s="175">
        <v>34905</v>
      </c>
      <c r="AF265" s="206">
        <v>0.57999999999999996</v>
      </c>
      <c r="AG265" s="191">
        <v>346</v>
      </c>
      <c r="AH265" s="435">
        <f t="shared" si="22"/>
        <v>2.167506421490628E-3</v>
      </c>
      <c r="AI265" s="688">
        <v>8.8999999999999996E-2</v>
      </c>
      <c r="AJ265" s="720"/>
      <c r="AK265" s="175"/>
      <c r="AL265" s="190"/>
      <c r="AM265" s="191"/>
      <c r="AN265" s="192"/>
      <c r="AO265" s="688"/>
      <c r="AP265" s="720"/>
      <c r="AR265" s="485">
        <f t="shared" si="25"/>
        <v>0.80734150289965512</v>
      </c>
      <c r="AS265" s="485">
        <f t="shared" si="26"/>
        <v>4.4118717287131147E-2</v>
      </c>
      <c r="AT265" s="486">
        <f t="shared" si="27"/>
        <v>6.9903478221569692E-19</v>
      </c>
      <c r="AU265" s="487">
        <f t="shared" si="28"/>
        <v>199.99999899213213</v>
      </c>
      <c r="AV265" s="488">
        <f t="shared" si="29"/>
        <v>0.59338195733245447</v>
      </c>
      <c r="AW265" s="486">
        <f t="shared" si="30"/>
        <v>7.9975210774738917E-2</v>
      </c>
      <c r="AX265" s="805">
        <f t="shared" si="31"/>
        <v>9.5082855407517302E-128</v>
      </c>
    </row>
    <row r="266" spans="2:50" ht="11.1" customHeight="1" x14ac:dyDescent="0.2">
      <c r="B266" s="175">
        <v>35019</v>
      </c>
      <c r="C266" s="183">
        <v>2.1</v>
      </c>
      <c r="D266" s="177">
        <v>352</v>
      </c>
      <c r="E266" s="435">
        <f t="shared" si="32"/>
        <v>8.0479086351071389E-4</v>
      </c>
      <c r="F266" s="178">
        <v>5.7000000000000002E-2</v>
      </c>
      <c r="G266" s="178"/>
      <c r="H266" s="218"/>
      <c r="I266" s="200"/>
      <c r="J266" s="500"/>
      <c r="K266" s="175">
        <v>35019</v>
      </c>
      <c r="L266" s="225">
        <v>0.66</v>
      </c>
      <c r="M266" s="177">
        <v>332</v>
      </c>
      <c r="N266" s="435">
        <f t="shared" si="33"/>
        <v>7.8467109192294606E-4</v>
      </c>
      <c r="O266" s="713">
        <v>6.3E-2</v>
      </c>
      <c r="P266" s="720"/>
      <c r="Q266" s="701">
        <v>0.56999999999999995</v>
      </c>
      <c r="R266" s="177">
        <v>374</v>
      </c>
      <c r="S266" s="435">
        <f t="shared" si="34"/>
        <v>9.4562926462508879E-4</v>
      </c>
      <c r="T266" s="708">
        <v>7.5999999999999998E-2</v>
      </c>
      <c r="U266" s="720"/>
      <c r="V266" s="175">
        <v>34990</v>
      </c>
      <c r="W266" s="206">
        <v>1.7</v>
      </c>
      <c r="X266" s="191">
        <v>316</v>
      </c>
      <c r="Y266" s="435">
        <f t="shared" si="21"/>
        <v>8.0589582402432062E-4</v>
      </c>
      <c r="Z266" s="434">
        <f>ND代替値*2.71828^(-(0.69315/30.07)*(V266-調査開始日)/365.25)</f>
        <v>1.5594924089602159E-2</v>
      </c>
      <c r="AA266" s="178"/>
      <c r="AB266" s="199"/>
      <c r="AC266" s="200"/>
      <c r="AD266" s="201"/>
      <c r="AE266" s="175">
        <v>34990</v>
      </c>
      <c r="AF266" s="206">
        <v>0.97</v>
      </c>
      <c r="AG266" s="191">
        <v>335</v>
      </c>
      <c r="AH266" s="435">
        <f t="shared" si="22"/>
        <v>2.0044075623169002E-3</v>
      </c>
      <c r="AI266" s="688">
        <v>0.12</v>
      </c>
      <c r="AJ266" s="720"/>
      <c r="AK266" s="175">
        <v>35010</v>
      </c>
      <c r="AL266" s="433">
        <f>ND代替値</f>
        <v>0.32500000000000001</v>
      </c>
      <c r="AM266" s="191">
        <v>355</v>
      </c>
      <c r="AN266" s="435">
        <f>ND代替値2*2.71828^(-(0.69315/2.062)*(AK266-事故日Cb)/365.25)</f>
        <v>8.1148467504913639E-4</v>
      </c>
      <c r="AO266" s="688">
        <v>9.2999999999999999E-2</v>
      </c>
      <c r="AP266" s="720"/>
      <c r="AR266" s="485">
        <f t="shared" si="25"/>
        <v>0.8022623551088981</v>
      </c>
      <c r="AS266" s="485">
        <f t="shared" si="26"/>
        <v>4.0239543175535693E-2</v>
      </c>
      <c r="AT266" s="486">
        <f t="shared" si="27"/>
        <v>1.9037345322692353E-19</v>
      </c>
      <c r="AU266" s="487">
        <f t="shared" si="28"/>
        <v>199.9999989624103</v>
      </c>
      <c r="AV266" s="488">
        <f t="shared" si="29"/>
        <v>0.58431899672684051</v>
      </c>
      <c r="AW266" s="486">
        <f t="shared" si="30"/>
        <v>7.9449938391586414E-2</v>
      </c>
      <c r="AX266" s="805">
        <f t="shared" si="31"/>
        <v>1.8269992804622758E-131</v>
      </c>
    </row>
    <row r="267" spans="2:50" ht="11.1" customHeight="1" x14ac:dyDescent="0.2">
      <c r="B267" s="175">
        <v>35100</v>
      </c>
      <c r="C267" s="433">
        <f>ND代替値</f>
        <v>0.18518518518518517</v>
      </c>
      <c r="D267" s="177">
        <v>345</v>
      </c>
      <c r="E267" s="435">
        <f t="shared" si="32"/>
        <v>7.4697741420689883E-4</v>
      </c>
      <c r="F267" s="434">
        <f>ND代替値*2.71828^(-(0.69315/30.07)*(B267-事故日Cb)/365.25)</f>
        <v>1.5963433571699635E-2</v>
      </c>
      <c r="G267" s="178"/>
      <c r="H267" s="437">
        <f>ND代替値*2.71828^(-(0.69315/28.799)*(B267-調査開始日)/365.25)</f>
        <v>7.0997352015236296E-3</v>
      </c>
      <c r="I267" s="215">
        <v>1.3</v>
      </c>
      <c r="J267" s="203">
        <f>ND代替値</f>
        <v>5.0000000000000001E-3</v>
      </c>
      <c r="K267" s="175">
        <v>35100</v>
      </c>
      <c r="L267" s="433">
        <f>ND代替値2</f>
        <v>0.20499999999999999</v>
      </c>
      <c r="M267" s="177">
        <v>310</v>
      </c>
      <c r="N267" s="435">
        <f t="shared" si="33"/>
        <v>7.2830297885172635E-4</v>
      </c>
      <c r="O267" s="713">
        <v>0.04</v>
      </c>
      <c r="P267" s="720"/>
      <c r="Q267" s="433">
        <f>ND代替値</f>
        <v>0.215</v>
      </c>
      <c r="R267" s="177">
        <v>342</v>
      </c>
      <c r="S267" s="435">
        <f t="shared" si="34"/>
        <v>8.7769846169310616E-4</v>
      </c>
      <c r="T267" s="709">
        <f>ND代替値*2.71828^(-(0.69315/30.07)*(B267-事故日Cb)/365.25)</f>
        <v>2.1151549482502016E-2</v>
      </c>
      <c r="U267" s="720"/>
      <c r="V267" s="175">
        <v>35086</v>
      </c>
      <c r="W267" s="433">
        <f>ND代替値</f>
        <v>0.17499999999999999</v>
      </c>
      <c r="X267" s="191">
        <v>407</v>
      </c>
      <c r="Y267" s="435">
        <f t="shared" si="21"/>
        <v>7.3774769835663865E-4</v>
      </c>
      <c r="Z267" s="192">
        <v>0.11</v>
      </c>
      <c r="AA267" s="178"/>
      <c r="AB267" s="214"/>
      <c r="AC267" s="215"/>
      <c r="AD267" s="216"/>
      <c r="AE267" s="175">
        <v>35086</v>
      </c>
      <c r="AF267" s="433">
        <f>ND代替値2</f>
        <v>0.17499999999999999</v>
      </c>
      <c r="AG267" s="191">
        <v>420</v>
      </c>
      <c r="AH267" s="435">
        <f t="shared" si="22"/>
        <v>1.8349109420665115E-3</v>
      </c>
      <c r="AI267" s="688">
        <v>6.8000000000000005E-2</v>
      </c>
      <c r="AJ267" s="720"/>
      <c r="AK267" s="175"/>
      <c r="AL267" s="190"/>
      <c r="AM267" s="191"/>
      <c r="AN267" s="192"/>
      <c r="AO267" s="688"/>
      <c r="AP267" s="720"/>
      <c r="AR267" s="485">
        <f t="shared" si="25"/>
        <v>0.79817167858498173</v>
      </c>
      <c r="AS267" s="485">
        <f t="shared" si="26"/>
        <v>3.7348870710344942E-2</v>
      </c>
      <c r="AT267" s="486">
        <f t="shared" si="27"/>
        <v>6.6380962526667784E-20</v>
      </c>
      <c r="AU267" s="487">
        <f t="shared" si="28"/>
        <v>199.99999893833561</v>
      </c>
      <c r="AV267" s="488">
        <f t="shared" si="29"/>
        <v>0.57707956765633206</v>
      </c>
      <c r="AW267" s="486">
        <f t="shared" si="30"/>
        <v>7.9026997806607255E-2</v>
      </c>
      <c r="AX267" s="805">
        <f t="shared" si="31"/>
        <v>1.7843648791228205E-134</v>
      </c>
    </row>
    <row r="268" spans="2:50" ht="11.1" customHeight="1" x14ac:dyDescent="0.2">
      <c r="B268" s="175">
        <v>35205</v>
      </c>
      <c r="C268" s="433">
        <f>ND代替値</f>
        <v>0.18518518518518517</v>
      </c>
      <c r="D268" s="177">
        <v>326</v>
      </c>
      <c r="E268" s="435">
        <f t="shared" si="32"/>
        <v>6.7817088876865629E-4</v>
      </c>
      <c r="F268" s="178">
        <v>4.9000000000000002E-2</v>
      </c>
      <c r="G268" s="178"/>
      <c r="H268" s="212"/>
      <c r="I268" s="215"/>
      <c r="J268" s="501"/>
      <c r="K268" s="175">
        <v>35205</v>
      </c>
      <c r="L268" s="293"/>
      <c r="M268" s="177">
        <v>304</v>
      </c>
      <c r="N268" s="435">
        <f t="shared" si="33"/>
        <v>6.6121661654943993E-4</v>
      </c>
      <c r="O268" s="713">
        <v>4.5999999999999999E-2</v>
      </c>
      <c r="P268" s="720"/>
      <c r="Q268" s="433">
        <f>ND代替値</f>
        <v>0.215</v>
      </c>
      <c r="R268" s="177">
        <v>359</v>
      </c>
      <c r="S268" s="435">
        <f t="shared" si="34"/>
        <v>7.9685079430317119E-4</v>
      </c>
      <c r="T268" s="713">
        <v>4.2000000000000003E-2</v>
      </c>
      <c r="U268" s="720"/>
      <c r="V268" s="175">
        <v>35179</v>
      </c>
      <c r="W268" s="433">
        <f>ND代替値</f>
        <v>0.17499999999999999</v>
      </c>
      <c r="X268" s="191">
        <v>337</v>
      </c>
      <c r="Y268" s="435">
        <f t="shared" si="21"/>
        <v>6.7722957573640484E-4</v>
      </c>
      <c r="Z268" s="192">
        <v>7.1999999999999995E-2</v>
      </c>
      <c r="AA268" s="178"/>
      <c r="AB268" s="214">
        <v>4.4999999999999998E-2</v>
      </c>
      <c r="AC268" s="215">
        <v>1.58</v>
      </c>
      <c r="AD268" s="216">
        <v>2.8000000000000001E-2</v>
      </c>
      <c r="AE268" s="175">
        <v>35179</v>
      </c>
      <c r="AF268" s="433">
        <f>ND代替値2</f>
        <v>0.17499999999999999</v>
      </c>
      <c r="AG268" s="191">
        <v>362</v>
      </c>
      <c r="AH268" s="435">
        <f t="shared" si="22"/>
        <v>1.6843915088828531E-3</v>
      </c>
      <c r="AI268" s="688">
        <v>5.7000000000000002E-2</v>
      </c>
      <c r="AJ268" s="720"/>
      <c r="AK268" s="175"/>
      <c r="AL268" s="190"/>
      <c r="AM268" s="191"/>
      <c r="AN268" s="192"/>
      <c r="AO268" s="688"/>
      <c r="AP268" s="720"/>
      <c r="AR268" s="485">
        <f t="shared" si="25"/>
        <v>0.79289997799547995</v>
      </c>
      <c r="AS268" s="485">
        <f t="shared" si="26"/>
        <v>3.3908544438432817E-2</v>
      </c>
      <c r="AT268" s="486">
        <f t="shared" si="27"/>
        <v>1.6939731703482294E-20</v>
      </c>
      <c r="AU268" s="487">
        <f t="shared" si="28"/>
        <v>199.99999890712763</v>
      </c>
      <c r="AV268" s="488">
        <f t="shared" si="29"/>
        <v>0.56782845257803394</v>
      </c>
      <c r="AW268" s="486">
        <f t="shared" si="30"/>
        <v>7.8482090674816041E-2</v>
      </c>
      <c r="AX268" s="805">
        <f t="shared" si="31"/>
        <v>2.2351240703188539E-138</v>
      </c>
    </row>
    <row r="269" spans="2:50" ht="11.1" customHeight="1" x14ac:dyDescent="0.2">
      <c r="B269" s="175">
        <v>35285</v>
      </c>
      <c r="C269" s="183">
        <v>1.4</v>
      </c>
      <c r="D269" s="177">
        <v>271</v>
      </c>
      <c r="E269" s="435">
        <f t="shared" si="32"/>
        <v>6.3003296697401094E-4</v>
      </c>
      <c r="F269" s="178">
        <v>4.7E-2</v>
      </c>
      <c r="G269" s="178"/>
      <c r="H269" s="437">
        <f>ND代替値*2.71828^(-(0.69315/28.799)*(B269-調査開始日)/365.25)</f>
        <v>7.0137094093728194E-3</v>
      </c>
      <c r="I269" s="215">
        <v>1.8</v>
      </c>
      <c r="J269" s="203">
        <f>ND代替値</f>
        <v>5.0000000000000001E-3</v>
      </c>
      <c r="K269" s="175">
        <v>35285</v>
      </c>
      <c r="L269" s="433">
        <f>ND代替値2</f>
        <v>0.20499999999999999</v>
      </c>
      <c r="M269" s="177">
        <v>228</v>
      </c>
      <c r="N269" s="435">
        <f t="shared" si="33"/>
        <v>6.1428214279966073E-4</v>
      </c>
      <c r="O269" s="713">
        <v>7.4999999999999997E-2</v>
      </c>
      <c r="P269" s="720"/>
      <c r="Q269" s="701">
        <v>1.2</v>
      </c>
      <c r="R269" s="177">
        <v>337</v>
      </c>
      <c r="S269" s="435">
        <f t="shared" si="34"/>
        <v>7.4028873619446289E-4</v>
      </c>
      <c r="T269" s="713">
        <v>6.5000000000000002E-2</v>
      </c>
      <c r="U269" s="720"/>
      <c r="V269" s="175">
        <v>35277</v>
      </c>
      <c r="W269" s="206">
        <v>0.74</v>
      </c>
      <c r="X269" s="191">
        <v>320</v>
      </c>
      <c r="Y269" s="435">
        <f t="shared" si="21"/>
        <v>6.1882161856408892E-4</v>
      </c>
      <c r="Z269" s="192">
        <v>7.5999999999999998E-2</v>
      </c>
      <c r="AA269" s="178"/>
      <c r="AB269" s="214"/>
      <c r="AC269" s="215"/>
      <c r="AD269" s="216"/>
      <c r="AE269" s="175">
        <v>35277</v>
      </c>
      <c r="AF269" s="206">
        <v>0.42</v>
      </c>
      <c r="AG269" s="191">
        <v>286</v>
      </c>
      <c r="AH269" s="435">
        <f t="shared" si="22"/>
        <v>1.539120435915811E-3</v>
      </c>
      <c r="AI269" s="688">
        <v>4.2999999999999997E-2</v>
      </c>
      <c r="AJ269" s="720"/>
      <c r="AK269" s="175"/>
      <c r="AL269" s="190"/>
      <c r="AM269" s="191"/>
      <c r="AN269" s="192"/>
      <c r="AO269" s="688"/>
      <c r="AP269" s="720"/>
      <c r="AR269" s="485">
        <f t="shared" si="25"/>
        <v>0.78890682646503629</v>
      </c>
      <c r="AS269" s="485">
        <f t="shared" si="26"/>
        <v>3.1501648348700548E-2</v>
      </c>
      <c r="AT269" s="486">
        <f t="shared" si="27"/>
        <v>5.9840141142155205E-21</v>
      </c>
      <c r="AU269" s="487">
        <f t="shared" si="28"/>
        <v>199.99999888335017</v>
      </c>
      <c r="AV269" s="488">
        <f t="shared" si="29"/>
        <v>0.56087965304958098</v>
      </c>
      <c r="AW269" s="486">
        <f t="shared" si="30"/>
        <v>7.8069446588900596E-2</v>
      </c>
      <c r="AX269" s="805">
        <f t="shared" si="31"/>
        <v>2.3779929582885231E-141</v>
      </c>
    </row>
    <row r="270" spans="2:50" ht="11.1" customHeight="1" x14ac:dyDescent="0.2">
      <c r="B270" s="175">
        <v>35394</v>
      </c>
      <c r="C270" s="183">
        <v>0.54</v>
      </c>
      <c r="D270" s="177">
        <v>390</v>
      </c>
      <c r="E270" s="435">
        <f t="shared" si="32"/>
        <v>5.6989671566249137E-4</v>
      </c>
      <c r="F270" s="178">
        <v>8.5999999999999993E-2</v>
      </c>
      <c r="G270" s="178"/>
      <c r="H270" s="212"/>
      <c r="I270" s="215"/>
      <c r="J270" s="501"/>
      <c r="K270" s="175">
        <v>35394</v>
      </c>
      <c r="L270" s="225">
        <v>0.78</v>
      </c>
      <c r="M270" s="177">
        <v>396</v>
      </c>
      <c r="N270" s="435">
        <f t="shared" si="33"/>
        <v>5.5564929777092908E-4</v>
      </c>
      <c r="O270" s="713">
        <v>7.0999999999999994E-2</v>
      </c>
      <c r="P270" s="720"/>
      <c r="Q270" s="701">
        <v>0.62</v>
      </c>
      <c r="R270" s="177">
        <v>404</v>
      </c>
      <c r="S270" s="435">
        <f t="shared" si="34"/>
        <v>6.6962864090342735E-4</v>
      </c>
      <c r="T270" s="713">
        <v>5.3999999999999999E-2</v>
      </c>
      <c r="U270" s="720"/>
      <c r="V270" s="175">
        <v>35352</v>
      </c>
      <c r="W270" s="206">
        <v>0.71</v>
      </c>
      <c r="X270" s="191">
        <v>360</v>
      </c>
      <c r="Y270" s="435">
        <f t="shared" si="21"/>
        <v>5.7754802191251878E-4</v>
      </c>
      <c r="Z270" s="192">
        <v>7.4999999999999997E-2</v>
      </c>
      <c r="AA270" s="178"/>
      <c r="AB270" s="214"/>
      <c r="AC270" s="215"/>
      <c r="AD270" s="216"/>
      <c r="AE270" s="175">
        <v>35352</v>
      </c>
      <c r="AF270" s="206">
        <v>0.88</v>
      </c>
      <c r="AG270" s="191">
        <v>370</v>
      </c>
      <c r="AH270" s="435">
        <f t="shared" si="22"/>
        <v>1.4364655929619058E-3</v>
      </c>
      <c r="AI270" s="688">
        <v>0.12</v>
      </c>
      <c r="AJ270" s="720"/>
      <c r="AK270" s="175">
        <v>35374</v>
      </c>
      <c r="AL270" s="190">
        <v>0.76</v>
      </c>
      <c r="AM270" s="191">
        <v>337</v>
      </c>
      <c r="AN270" s="435">
        <f>ND代替値2*2.71828^(-(0.69315/2.062)*(AK270-事故日Cb)/365.25)</f>
        <v>5.8048382295083749E-4</v>
      </c>
      <c r="AO270" s="688">
        <v>8.8999999999999996E-2</v>
      </c>
      <c r="AP270" s="720"/>
      <c r="AR270" s="485">
        <f t="shared" si="25"/>
        <v>0.78349850397781007</v>
      </c>
      <c r="AS270" s="485">
        <f t="shared" si="26"/>
        <v>2.8494835783124568E-2</v>
      </c>
      <c r="AT270" s="486">
        <f t="shared" si="27"/>
        <v>1.4496391035588298E-21</v>
      </c>
      <c r="AU270" s="487">
        <f t="shared" si="28"/>
        <v>199.99999885095338</v>
      </c>
      <c r="AV270" s="488">
        <f t="shared" si="29"/>
        <v>0.55154857224647891</v>
      </c>
      <c r="AW270" s="486">
        <f t="shared" si="30"/>
        <v>7.7510708679178517E-2</v>
      </c>
      <c r="AX270" s="805">
        <f t="shared" si="31"/>
        <v>2.1153097910890885E-145</v>
      </c>
    </row>
    <row r="271" spans="2:50" ht="11.1" customHeight="1" x14ac:dyDescent="0.2">
      <c r="B271" s="175">
        <v>35482</v>
      </c>
      <c r="C271" s="433">
        <f>ND代替値</f>
        <v>0.18518518518518517</v>
      </c>
      <c r="D271" s="177">
        <v>415</v>
      </c>
      <c r="E271" s="435">
        <f t="shared" si="32"/>
        <v>5.2556047788203473E-4</v>
      </c>
      <c r="F271" s="434">
        <f>ND代替値*2.71828^(-(0.69315/30.07)*(B271-事故日Cb)/365.25)</f>
        <v>1.5583184273839935E-2</v>
      </c>
      <c r="G271" s="178"/>
      <c r="H271" s="437">
        <f>ND代替値*2.71828^(-(0.69315/28.799)*(B271-調査開始日)/365.25)</f>
        <v>6.9232492297408993E-3</v>
      </c>
      <c r="I271" s="215">
        <v>1.5</v>
      </c>
      <c r="J271" s="203">
        <f>ND代替値</f>
        <v>5.0000000000000001E-3</v>
      </c>
      <c r="K271" s="175">
        <v>35482</v>
      </c>
      <c r="L271" s="433">
        <f>ND代替値2</f>
        <v>0.20499999999999999</v>
      </c>
      <c r="M271" s="177">
        <v>405</v>
      </c>
      <c r="N271" s="435">
        <f t="shared" si="33"/>
        <v>5.1242146593498395E-4</v>
      </c>
      <c r="O271" s="713">
        <v>7.1999999999999995E-2</v>
      </c>
      <c r="P271" s="720"/>
      <c r="Q271" s="433">
        <f>ND代替値</f>
        <v>0.215</v>
      </c>
      <c r="R271" s="177">
        <v>457</v>
      </c>
      <c r="S271" s="435">
        <f t="shared" si="34"/>
        <v>6.1753356151139085E-4</v>
      </c>
      <c r="T271" s="709">
        <f>ND代替値*2.71828^(-(0.69315/30.07)*(B271-事故日Cb)/365.25)</f>
        <v>2.0647719162837912E-2</v>
      </c>
      <c r="U271" s="720"/>
      <c r="V271" s="175">
        <v>35492</v>
      </c>
      <c r="W271" s="433">
        <f>ND代替値</f>
        <v>0.17499999999999999</v>
      </c>
      <c r="X271" s="191">
        <v>414</v>
      </c>
      <c r="Y271" s="435">
        <f t="shared" si="21"/>
        <v>5.0772708416745276E-4</v>
      </c>
      <c r="Z271" s="195">
        <v>5.7000000000000002E-2</v>
      </c>
      <c r="AA271" s="178"/>
      <c r="AB271" s="214"/>
      <c r="AC271" s="215"/>
      <c r="AD271" s="216"/>
      <c r="AE271" s="175">
        <v>35492</v>
      </c>
      <c r="AF271" s="433">
        <f>ND代替値2</f>
        <v>0.17499999999999999</v>
      </c>
      <c r="AG271" s="191">
        <v>394</v>
      </c>
      <c r="AH271" s="435">
        <f t="shared" si="22"/>
        <v>1.2628083888267415E-3</v>
      </c>
      <c r="AI271" s="688">
        <v>5.0999999999999997E-2</v>
      </c>
      <c r="AJ271" s="720"/>
      <c r="AK271" s="175"/>
      <c r="AL271" s="190"/>
      <c r="AM271" s="191"/>
      <c r="AN271" s="192"/>
      <c r="AO271" s="688"/>
      <c r="AP271" s="720"/>
      <c r="AR271" s="485">
        <f t="shared" si="25"/>
        <v>0.7791592136919967</v>
      </c>
      <c r="AS271" s="485">
        <f t="shared" si="26"/>
        <v>2.6278023894101738E-2</v>
      </c>
      <c r="AT271" s="486">
        <f t="shared" si="27"/>
        <v>4.6148180779772979E-22</v>
      </c>
      <c r="AU271" s="487">
        <f t="shared" si="28"/>
        <v>199.9999988247981</v>
      </c>
      <c r="AV271" s="488">
        <f t="shared" si="29"/>
        <v>0.54412859992816032</v>
      </c>
      <c r="AW271" s="486">
        <f t="shared" si="30"/>
        <v>7.7062536300778459E-2</v>
      </c>
      <c r="AX271" s="805">
        <f t="shared" si="31"/>
        <v>1.134942348209261E-148</v>
      </c>
    </row>
    <row r="272" spans="2:50" ht="11.1" customHeight="1" x14ac:dyDescent="0.2">
      <c r="B272" s="182">
        <v>35563</v>
      </c>
      <c r="C272" s="433">
        <f>ND代替値</f>
        <v>0.18518518518518517</v>
      </c>
      <c r="D272" s="177">
        <v>300</v>
      </c>
      <c r="E272" s="799">
        <f t="shared" si="32"/>
        <v>4.8780599355355145E-4</v>
      </c>
      <c r="F272" s="178">
        <v>5.2999999999999999E-2</v>
      </c>
      <c r="G272" s="178"/>
      <c r="H272" s="219"/>
      <c r="I272" s="215"/>
      <c r="J272" s="500"/>
      <c r="K272" s="182">
        <v>35563</v>
      </c>
      <c r="L272" s="433">
        <f>ND代替値2</f>
        <v>0.20499999999999999</v>
      </c>
      <c r="M272" s="177">
        <v>314</v>
      </c>
      <c r="N272" s="799">
        <f t="shared" si="33"/>
        <v>4.7561084371471263E-4</v>
      </c>
      <c r="O272" s="708">
        <v>5.8000000000000003E-2</v>
      </c>
      <c r="P272" s="718"/>
      <c r="Q272" s="433">
        <f>ND代替値</f>
        <v>0.215</v>
      </c>
      <c r="R272" s="177">
        <v>286</v>
      </c>
      <c r="S272" s="435">
        <f t="shared" si="34"/>
        <v>5.7317204242542292E-4</v>
      </c>
      <c r="T272" s="708">
        <v>7.5999999999999998E-2</v>
      </c>
      <c r="U272" s="718"/>
      <c r="V272" s="182">
        <v>35535</v>
      </c>
      <c r="W272" s="206">
        <v>0.6</v>
      </c>
      <c r="X272" s="191">
        <v>337</v>
      </c>
      <c r="Y272" s="799">
        <f t="shared" si="21"/>
        <v>4.8802638397679564E-4</v>
      </c>
      <c r="Z272" s="195">
        <v>4.8000000000000001E-2</v>
      </c>
      <c r="AA272" s="178"/>
      <c r="AB272" s="437">
        <f>ND代替値*2.71828^(-(0.69315/28.799)*(V272-調査開始日)/365.25)</f>
        <v>6.2092008224748033E-3</v>
      </c>
      <c r="AC272" s="215">
        <v>1.36</v>
      </c>
      <c r="AD272" s="203">
        <f>ND代替値</f>
        <v>4.1379310344827587E-3</v>
      </c>
      <c r="AE272" s="182">
        <v>35535</v>
      </c>
      <c r="AF272" s="433">
        <f>ND代替値2</f>
        <v>0.17499999999999999</v>
      </c>
      <c r="AG272" s="191">
        <v>319</v>
      </c>
      <c r="AH272" s="435">
        <f t="shared" si="22"/>
        <v>1.2138092114294661E-3</v>
      </c>
      <c r="AI272" s="688">
        <v>5.0999999999999997E-2</v>
      </c>
      <c r="AJ272" s="718"/>
      <c r="AK272" s="182"/>
      <c r="AL272" s="190"/>
      <c r="AM272" s="191"/>
      <c r="AN272" s="192"/>
      <c r="AO272" s="688"/>
      <c r="AP272" s="718"/>
      <c r="AR272" s="485">
        <f t="shared" si="25"/>
        <v>0.77518633838063999</v>
      </c>
      <c r="AS272" s="485">
        <f t="shared" si="26"/>
        <v>2.4390299677677571E-2</v>
      </c>
      <c r="AT272" s="486">
        <f t="shared" si="27"/>
        <v>1.6091322645518868E-22</v>
      </c>
      <c r="AU272" s="487">
        <f t="shared" si="28"/>
        <v>199.9999988007234</v>
      </c>
      <c r="AV272" s="488">
        <f t="shared" si="29"/>
        <v>0.53738711038823284</v>
      </c>
      <c r="AW272" s="486">
        <f t="shared" si="30"/>
        <v>7.6652304715419797E-2</v>
      </c>
      <c r="AX272" s="805">
        <f t="shared" si="31"/>
        <v>1.1084576155176479E-151</v>
      </c>
    </row>
    <row r="273" spans="2:50" ht="11.1" customHeight="1" x14ac:dyDescent="0.2">
      <c r="B273" s="182">
        <v>35654</v>
      </c>
      <c r="C273" s="183">
        <v>0.76</v>
      </c>
      <c r="D273" s="177">
        <v>244</v>
      </c>
      <c r="E273" s="799">
        <f t="shared" si="32"/>
        <v>4.4861581717074126E-4</v>
      </c>
      <c r="F273" s="178">
        <v>0.06</v>
      </c>
      <c r="G273" s="178"/>
      <c r="H273" s="212">
        <v>4.9000000000000002E-2</v>
      </c>
      <c r="I273" s="215">
        <v>3.9</v>
      </c>
      <c r="J273" s="501">
        <v>1.2999999999999999E-2</v>
      </c>
      <c r="K273" s="182">
        <v>35654</v>
      </c>
      <c r="L273" s="225">
        <v>0.59</v>
      </c>
      <c r="M273" s="177">
        <v>298</v>
      </c>
      <c r="N273" s="799">
        <f t="shared" si="33"/>
        <v>4.3740042174147275E-4</v>
      </c>
      <c r="O273" s="708">
        <v>5.7000000000000002E-2</v>
      </c>
      <c r="P273" s="718"/>
      <c r="Q273" s="433">
        <f>ND代替値</f>
        <v>0.215</v>
      </c>
      <c r="R273" s="177">
        <v>278</v>
      </c>
      <c r="S273" s="435">
        <f t="shared" si="34"/>
        <v>5.2712358517562096E-4</v>
      </c>
      <c r="T273" s="708">
        <v>6.2E-2</v>
      </c>
      <c r="U273" s="718"/>
      <c r="V273" s="182">
        <v>35626</v>
      </c>
      <c r="W273" s="206">
        <v>0.6</v>
      </c>
      <c r="X273" s="191">
        <v>247</v>
      </c>
      <c r="Y273" s="799">
        <f t="shared" ref="Y273:Y304" si="35">ND代替値*2.71828^(-(0.69315/2.062)*(V273-事故日Cb)/365.25)</f>
        <v>4.4881850149837719E-4</v>
      </c>
      <c r="Z273" s="192">
        <v>6.8000000000000005E-2</v>
      </c>
      <c r="AA273" s="178"/>
      <c r="AB273" s="214"/>
      <c r="AC273" s="215"/>
      <c r="AD273" s="216"/>
      <c r="AE273" s="182">
        <v>35626</v>
      </c>
      <c r="AF273" s="206">
        <v>0.51</v>
      </c>
      <c r="AG273" s="191">
        <v>310</v>
      </c>
      <c r="AH273" s="435">
        <f t="shared" ref="AH273:AH304" si="36">ND代替値2*2.71828^(-(0.69315/2.062)*(V273-事故日Cb)/365.25)</f>
        <v>1.1162921703933998E-3</v>
      </c>
      <c r="AI273" s="688">
        <v>6.3E-2</v>
      </c>
      <c r="AJ273" s="718"/>
      <c r="AK273" s="182"/>
      <c r="AL273" s="190"/>
      <c r="AM273" s="191"/>
      <c r="AN273" s="192"/>
      <c r="AO273" s="688"/>
      <c r="AP273" s="718"/>
      <c r="AR273" s="485">
        <f t="shared" si="25"/>
        <v>0.77074714270517519</v>
      </c>
      <c r="AS273" s="485">
        <f t="shared" si="26"/>
        <v>2.2430790858537063E-2</v>
      </c>
      <c r="AT273" s="486">
        <f t="shared" si="27"/>
        <v>4.9265133137061296E-23</v>
      </c>
      <c r="AU273" s="487">
        <f t="shared" si="28"/>
        <v>199.99999877367657</v>
      </c>
      <c r="AV273" s="488">
        <f t="shared" si="29"/>
        <v>0.52991291492669723</v>
      </c>
      <c r="AW273" s="486">
        <f t="shared" si="30"/>
        <v>7.6194031545882612E-2</v>
      </c>
      <c r="AX273" s="805">
        <f t="shared" si="31"/>
        <v>4.6007432529885495E-155</v>
      </c>
    </row>
    <row r="274" spans="2:50" ht="11.1" customHeight="1" x14ac:dyDescent="0.2">
      <c r="B274" s="182">
        <v>35754</v>
      </c>
      <c r="C274" s="206">
        <v>2.8</v>
      </c>
      <c r="D274" s="177">
        <v>354</v>
      </c>
      <c r="E274" s="799">
        <f t="shared" si="32"/>
        <v>4.0917090646095972E-4</v>
      </c>
      <c r="F274" s="178">
        <v>7.3999999999999996E-2</v>
      </c>
      <c r="G274" s="178"/>
      <c r="H274" s="212"/>
      <c r="I274" s="215"/>
      <c r="J274" s="501"/>
      <c r="K274" s="182">
        <v>35754</v>
      </c>
      <c r="L274" s="225">
        <v>1.8</v>
      </c>
      <c r="M274" s="177">
        <v>398</v>
      </c>
      <c r="N274" s="799">
        <f t="shared" si="33"/>
        <v>3.9894163379943572E-4</v>
      </c>
      <c r="O274" s="708">
        <v>8.5999999999999993E-2</v>
      </c>
      <c r="P274" s="718"/>
      <c r="Q274" s="441">
        <v>0.87</v>
      </c>
      <c r="R274" s="177">
        <v>383</v>
      </c>
      <c r="S274" s="435">
        <f t="shared" si="34"/>
        <v>4.8077581509162767E-4</v>
      </c>
      <c r="T274" s="708">
        <v>5.6000000000000001E-2</v>
      </c>
      <c r="U274" s="718"/>
      <c r="V274" s="182">
        <v>35717</v>
      </c>
      <c r="W274" s="183">
        <v>1.7</v>
      </c>
      <c r="X274" s="191">
        <v>289</v>
      </c>
      <c r="Y274" s="799">
        <f t="shared" si="35"/>
        <v>4.1276056766805202E-4</v>
      </c>
      <c r="Z274" s="192">
        <v>7.2999999999999995E-2</v>
      </c>
      <c r="AA274" s="178"/>
      <c r="AB274" s="214"/>
      <c r="AC274" s="215"/>
      <c r="AD274" s="216"/>
      <c r="AE274" s="182">
        <v>35717</v>
      </c>
      <c r="AF274" s="188">
        <v>0.81</v>
      </c>
      <c r="AG274" s="191">
        <v>350</v>
      </c>
      <c r="AH274" s="435">
        <f t="shared" si="36"/>
        <v>1.0266096170205396E-3</v>
      </c>
      <c r="AI274" s="688">
        <v>5.7000000000000002E-2</v>
      </c>
      <c r="AJ274" s="718"/>
      <c r="AK274" s="182">
        <v>35744</v>
      </c>
      <c r="AL274" s="433">
        <f>ND代替値</f>
        <v>0.32500000000000001</v>
      </c>
      <c r="AM274" s="191">
        <v>340</v>
      </c>
      <c r="AN274" s="799">
        <f>ND代替値2*2.71828^(-(0.69315/2.062)*(AK274-事故日Cb)/365.25)</f>
        <v>4.1295405000990826E-4</v>
      </c>
      <c r="AO274" s="688">
        <v>8.4000000000000005E-2</v>
      </c>
      <c r="AP274" s="718"/>
      <c r="AR274" s="485">
        <f t="shared" si="25"/>
        <v>0.76589821739532415</v>
      </c>
      <c r="AS274" s="485">
        <f t="shared" si="26"/>
        <v>2.0458545323047986E-2</v>
      </c>
      <c r="AT274" s="486">
        <f t="shared" si="27"/>
        <v>1.3416748003953375E-23</v>
      </c>
      <c r="AU274" s="487">
        <f t="shared" si="28"/>
        <v>199.99999874395468</v>
      </c>
      <c r="AV274" s="488">
        <f t="shared" si="29"/>
        <v>0.52181934245951822</v>
      </c>
      <c r="AW274" s="486">
        <f t="shared" si="30"/>
        <v>7.5693593720906671E-2</v>
      </c>
      <c r="AX274" s="805">
        <f t="shared" si="31"/>
        <v>8.840242099142092E-159</v>
      </c>
    </row>
    <row r="275" spans="2:50" ht="11.1" customHeight="1" x14ac:dyDescent="0.2">
      <c r="B275" s="182">
        <v>35865</v>
      </c>
      <c r="C275" s="433">
        <f>ND代替値</f>
        <v>0.18518518518518517</v>
      </c>
      <c r="D275" s="177">
        <v>369</v>
      </c>
      <c r="E275" s="799">
        <f t="shared" si="32"/>
        <v>3.6943516246803153E-4</v>
      </c>
      <c r="F275" s="434">
        <f>ND代替値*2.71828^(-(0.69315/30.07)*(B275-事故日Cb)/365.25)</f>
        <v>1.5211032511809998E-2</v>
      </c>
      <c r="G275" s="178"/>
      <c r="H275" s="437">
        <f>ND代替値*2.71828^(-(0.69315/28.799)*(B275-調査開始日)/365.25)</f>
        <v>6.7507055055881348E-3</v>
      </c>
      <c r="I275" s="215">
        <v>1.3</v>
      </c>
      <c r="J275" s="203">
        <f>ND代替値</f>
        <v>5.0000000000000001E-3</v>
      </c>
      <c r="K275" s="182">
        <v>35865</v>
      </c>
      <c r="L275" s="433">
        <f>ND代替値2</f>
        <v>0.20499999999999999</v>
      </c>
      <c r="M275" s="177">
        <v>357</v>
      </c>
      <c r="N275" s="799">
        <f t="shared" si="33"/>
        <v>3.601992834063307E-4</v>
      </c>
      <c r="O275" s="709">
        <f>ND代替値2*2.71828^(-(0.69315/30.07)*(B275-事故日Cb)/365.25)</f>
        <v>1.4830756699014749E-2</v>
      </c>
      <c r="P275" s="640"/>
      <c r="Q275" s="433">
        <f>ND代替値</f>
        <v>0.215</v>
      </c>
      <c r="R275" s="177">
        <v>360</v>
      </c>
      <c r="S275" s="435">
        <f t="shared" si="34"/>
        <v>4.3408631589993699E-4</v>
      </c>
      <c r="T275" s="709">
        <f>ND代替値*2.71828^(-(0.69315/30.07)*(B275-事故日Cb)/365.25)</f>
        <v>2.0154618078148247E-2</v>
      </c>
      <c r="U275" s="640"/>
      <c r="V275" s="182">
        <v>35822</v>
      </c>
      <c r="W275" s="206">
        <v>0.46</v>
      </c>
      <c r="X275" s="191">
        <v>400</v>
      </c>
      <c r="Y275" s="799">
        <f t="shared" si="35"/>
        <v>3.7473984581087313E-4</v>
      </c>
      <c r="Z275" s="192">
        <v>7.9000000000000001E-2</v>
      </c>
      <c r="AA275" s="178"/>
      <c r="AB275" s="214"/>
      <c r="AC275" s="215"/>
      <c r="AD275" s="216"/>
      <c r="AE275" s="182">
        <v>35822</v>
      </c>
      <c r="AF275" s="433">
        <f>ND代替値2</f>
        <v>0.17499999999999999</v>
      </c>
      <c r="AG275" s="191">
        <v>445</v>
      </c>
      <c r="AH275" s="435">
        <f t="shared" si="36"/>
        <v>9.3204525752960761E-4</v>
      </c>
      <c r="AI275" s="709">
        <f>ND代替値2*2.71828^(-(0.69315/30.07)*(V275-事故日Cb)/365.25)</f>
        <v>3.6986991657004323E-2</v>
      </c>
      <c r="AJ275" s="640"/>
      <c r="AK275" s="182"/>
      <c r="AL275" s="190"/>
      <c r="AM275" s="191"/>
      <c r="AN275" s="782"/>
      <c r="AO275" s="688"/>
      <c r="AP275" s="640"/>
      <c r="AR275" s="485">
        <f t="shared" si="25"/>
        <v>0.76055162559049994</v>
      </c>
      <c r="AS275" s="485">
        <f t="shared" si="26"/>
        <v>1.8471758123401575E-2</v>
      </c>
      <c r="AT275" s="486">
        <f t="shared" si="27"/>
        <v>3.1667713057671357E-24</v>
      </c>
      <c r="AU275" s="487">
        <f t="shared" si="28"/>
        <v>199.99999871096344</v>
      </c>
      <c r="AV275" s="488">
        <f t="shared" si="29"/>
        <v>0.51298015663377161</v>
      </c>
      <c r="AW275" s="486">
        <f t="shared" si="30"/>
        <v>7.5141955867407073E-2</v>
      </c>
      <c r="AX275" s="805">
        <f t="shared" si="31"/>
        <v>6.6267455841078732E-163</v>
      </c>
    </row>
    <row r="276" spans="2:50" ht="11.1" customHeight="1" x14ac:dyDescent="0.2">
      <c r="B276" s="182">
        <v>35927</v>
      </c>
      <c r="C276" s="206">
        <v>0.76</v>
      </c>
      <c r="D276" s="177">
        <v>306</v>
      </c>
      <c r="E276" s="799">
        <f t="shared" si="32"/>
        <v>3.4894496064161808E-4</v>
      </c>
      <c r="F276" s="434">
        <f>ND代替値*2.71828^(-(0.69315/30.07)*(B276-事故日Cb)/365.25)</f>
        <v>1.5151630072971507E-2</v>
      </c>
      <c r="G276" s="178"/>
      <c r="H276" s="212"/>
      <c r="I276" s="215"/>
      <c r="J276" s="501"/>
      <c r="K276" s="182">
        <v>35927</v>
      </c>
      <c r="L276" s="774">
        <v>0.55000000000000004</v>
      </c>
      <c r="M276" s="177">
        <v>288</v>
      </c>
      <c r="N276" s="799">
        <f t="shared" si="33"/>
        <v>3.402213366255776E-4</v>
      </c>
      <c r="O276" s="708">
        <v>5.8000000000000003E-2</v>
      </c>
      <c r="P276" s="718"/>
      <c r="Q276" s="433">
        <f>ND代替値</f>
        <v>0.215</v>
      </c>
      <c r="R276" s="177">
        <v>345</v>
      </c>
      <c r="S276" s="435">
        <f t="shared" si="34"/>
        <v>4.100103287539012E-4</v>
      </c>
      <c r="T276" s="730">
        <v>5.6000000000000001E-2</v>
      </c>
      <c r="U276" s="718"/>
      <c r="V276" s="182">
        <v>35926</v>
      </c>
      <c r="W276" s="183">
        <v>0.48</v>
      </c>
      <c r="X276" s="191">
        <v>266</v>
      </c>
      <c r="Y276" s="799">
        <f t="shared" si="35"/>
        <v>3.4053459988392728E-4</v>
      </c>
      <c r="Z276" s="192">
        <v>4.2999999999999997E-2</v>
      </c>
      <c r="AA276" s="178"/>
      <c r="AB276" s="214">
        <v>3.3000000000000002E-2</v>
      </c>
      <c r="AC276" s="215">
        <v>1.88</v>
      </c>
      <c r="AD276" s="216">
        <v>1.7000000000000001E-2</v>
      </c>
      <c r="AE276" s="182">
        <v>35926</v>
      </c>
      <c r="AF276" s="433">
        <f>ND代替値2</f>
        <v>0.17499999999999999</v>
      </c>
      <c r="AG276" s="191">
        <v>302</v>
      </c>
      <c r="AH276" s="435">
        <f t="shared" si="36"/>
        <v>8.4697067150617809E-4</v>
      </c>
      <c r="AI276" s="731">
        <v>4.5999999999999999E-2</v>
      </c>
      <c r="AJ276" s="718"/>
      <c r="AK276" s="182"/>
      <c r="AL276" s="220"/>
      <c r="AM276" s="191"/>
      <c r="AN276" s="782"/>
      <c r="AO276" s="688"/>
      <c r="AP276" s="718"/>
      <c r="AR276" s="485">
        <f t="shared" si="25"/>
        <v>0.75758150364857535</v>
      </c>
      <c r="AS276" s="485">
        <f t="shared" si="26"/>
        <v>1.7447248032080902E-2</v>
      </c>
      <c r="AT276" s="486">
        <f t="shared" si="27"/>
        <v>1.4137851459584777E-24</v>
      </c>
      <c r="AU276" s="487">
        <f t="shared" si="28"/>
        <v>199.99999869253591</v>
      </c>
      <c r="AV276" s="488">
        <f t="shared" si="29"/>
        <v>0.50810828995859425</v>
      </c>
      <c r="AW276" s="486">
        <f t="shared" si="30"/>
        <v>7.4835585594937623E-2</v>
      </c>
      <c r="AX276" s="805">
        <f t="shared" si="31"/>
        <v>3.2896880490566344E-165</v>
      </c>
    </row>
    <row r="277" spans="2:50" ht="11.1" customHeight="1" x14ac:dyDescent="0.2">
      <c r="B277" s="182">
        <v>36025</v>
      </c>
      <c r="C277" s="433">
        <f>ND代替値</f>
        <v>0.18518518518518517</v>
      </c>
      <c r="D277" s="177">
        <v>280</v>
      </c>
      <c r="E277" s="799">
        <f t="shared" si="32"/>
        <v>3.1885005184427445E-4</v>
      </c>
      <c r="F277" s="178">
        <v>0.06</v>
      </c>
      <c r="G277" s="178"/>
      <c r="H277" s="437">
        <f>ND代替値*2.71828^(-(0.69315/28.799)*(B277-調査開始日)/365.25)</f>
        <v>6.6799042438910631E-3</v>
      </c>
      <c r="I277" s="215">
        <v>2</v>
      </c>
      <c r="J277" s="203">
        <f>ND代替値</f>
        <v>5.0000000000000001E-3</v>
      </c>
      <c r="K277" s="182">
        <v>36025</v>
      </c>
      <c r="L277" s="433">
        <f>ND代替値2</f>
        <v>0.20499999999999999</v>
      </c>
      <c r="M277" s="177">
        <v>278</v>
      </c>
      <c r="N277" s="799">
        <f t="shared" si="33"/>
        <v>3.1087880054816758E-4</v>
      </c>
      <c r="O277" s="708">
        <v>0.09</v>
      </c>
      <c r="P277" s="718"/>
      <c r="Q277" s="774">
        <v>0.76</v>
      </c>
      <c r="R277" s="177">
        <v>297</v>
      </c>
      <c r="S277" s="435">
        <f t="shared" si="34"/>
        <v>3.7464881091702249E-4</v>
      </c>
      <c r="T277" s="708">
        <v>7.3999999999999996E-2</v>
      </c>
      <c r="U277" s="718"/>
      <c r="V277" s="182">
        <v>36004</v>
      </c>
      <c r="W277" s="204">
        <v>0.38</v>
      </c>
      <c r="X277" s="191">
        <v>321</v>
      </c>
      <c r="Y277" s="799">
        <f t="shared" si="35"/>
        <v>3.1694563360346679E-4</v>
      </c>
      <c r="Z277" s="192">
        <v>6.0999999999999999E-2</v>
      </c>
      <c r="AA277" s="178"/>
      <c r="AB277" s="214"/>
      <c r="AC277" s="215"/>
      <c r="AD277" s="216"/>
      <c r="AE277" s="182">
        <v>36004</v>
      </c>
      <c r="AF277" s="204">
        <v>0.36</v>
      </c>
      <c r="AG277" s="191">
        <v>313</v>
      </c>
      <c r="AH277" s="435">
        <f t="shared" si="36"/>
        <v>7.8830067844964827E-4</v>
      </c>
      <c r="AI277" s="688">
        <v>7.8E-2</v>
      </c>
      <c r="AJ277" s="718"/>
      <c r="AK277" s="182"/>
      <c r="AL277" s="220"/>
      <c r="AM277" s="191"/>
      <c r="AN277" s="782"/>
      <c r="AO277" s="688"/>
      <c r="AP277" s="718"/>
      <c r="AR277" s="485">
        <f t="shared" si="25"/>
        <v>0.75291043349637121</v>
      </c>
      <c r="AS277" s="485">
        <f t="shared" si="26"/>
        <v>1.5942502592213723E-2</v>
      </c>
      <c r="AT277" s="486">
        <f t="shared" si="27"/>
        <v>3.951744562757841E-25</v>
      </c>
      <c r="AU277" s="487">
        <f t="shared" si="28"/>
        <v>199.99999866340849</v>
      </c>
      <c r="AV277" s="488">
        <f t="shared" si="29"/>
        <v>0.50050179143509832</v>
      </c>
      <c r="AW277" s="486">
        <f t="shared" si="30"/>
        <v>7.4353868566399167E-2</v>
      </c>
      <c r="AX277" s="805">
        <f t="shared" si="31"/>
        <v>7.5009825435138142E-169</v>
      </c>
    </row>
    <row r="278" spans="2:50" ht="11.1" customHeight="1" x14ac:dyDescent="0.2">
      <c r="B278" s="182">
        <v>36113</v>
      </c>
      <c r="C278" s="206">
        <v>1.3</v>
      </c>
      <c r="D278" s="177">
        <v>356</v>
      </c>
      <c r="E278" s="799">
        <f t="shared" si="32"/>
        <v>2.940444838766733E-4</v>
      </c>
      <c r="F278" s="178">
        <v>9.6000000000000002E-2</v>
      </c>
      <c r="G278" s="178"/>
      <c r="H278" s="212"/>
      <c r="I278" s="215"/>
      <c r="J278" s="501"/>
      <c r="K278" s="182">
        <v>36113</v>
      </c>
      <c r="L278" s="225">
        <v>1.4</v>
      </c>
      <c r="M278" s="177">
        <v>408</v>
      </c>
      <c r="N278" s="799">
        <f t="shared" si="33"/>
        <v>2.8669337177975648E-4</v>
      </c>
      <c r="O278" s="708">
        <v>0.11</v>
      </c>
      <c r="P278" s="718"/>
      <c r="Q278" s="441">
        <v>1.6</v>
      </c>
      <c r="R278" s="177">
        <v>380</v>
      </c>
      <c r="S278" s="435">
        <f t="shared" si="34"/>
        <v>3.4550226855509112E-4</v>
      </c>
      <c r="T278" s="730">
        <v>6.6000000000000003E-2</v>
      </c>
      <c r="U278" s="718"/>
      <c r="V278" s="182">
        <v>36074</v>
      </c>
      <c r="W278" s="183">
        <v>1.2</v>
      </c>
      <c r="X278" s="191">
        <v>290</v>
      </c>
      <c r="Y278" s="799">
        <f t="shared" si="35"/>
        <v>2.9717063222933033E-4</v>
      </c>
      <c r="Z278" s="192">
        <v>8.2000000000000003E-2</v>
      </c>
      <c r="AA278" s="178"/>
      <c r="AB278" s="214"/>
      <c r="AC278" s="215"/>
      <c r="AD278" s="216"/>
      <c r="AE278" s="182">
        <v>36074</v>
      </c>
      <c r="AF278" s="188">
        <v>1.2</v>
      </c>
      <c r="AG278" s="191">
        <v>288</v>
      </c>
      <c r="AH278" s="435">
        <f t="shared" si="36"/>
        <v>7.3911670067294984E-4</v>
      </c>
      <c r="AI278" s="688">
        <v>7.3999999999999996E-2</v>
      </c>
      <c r="AJ278" s="718"/>
      <c r="AK278" s="182">
        <v>36108</v>
      </c>
      <c r="AL278" s="221">
        <v>0.8</v>
      </c>
      <c r="AM278" s="191">
        <v>426</v>
      </c>
      <c r="AN278" s="799">
        <f>ND代替値2*2.71828^(-(0.69315/2.062)*(AK278-事故日Cb)/365.25)</f>
        <v>2.9540070567354588E-4</v>
      </c>
      <c r="AO278" s="688">
        <v>8.2000000000000003E-2</v>
      </c>
      <c r="AP278" s="718"/>
      <c r="AR278" s="485">
        <f t="shared" si="25"/>
        <v>0.74874055070326906</v>
      </c>
      <c r="AS278" s="485">
        <f t="shared" si="26"/>
        <v>1.4702224193833664E-2</v>
      </c>
      <c r="AT278" s="486">
        <f t="shared" si="27"/>
        <v>1.2580084383066786E-25</v>
      </c>
      <c r="AU278" s="487">
        <f t="shared" si="28"/>
        <v>199.99999863725327</v>
      </c>
      <c r="AV278" s="488">
        <f t="shared" si="29"/>
        <v>0.49376855047575513</v>
      </c>
      <c r="AW278" s="486">
        <f t="shared" si="30"/>
        <v>7.3923949259938213E-2</v>
      </c>
      <c r="AX278" s="805">
        <f t="shared" si="31"/>
        <v>4.0245560142893434E-172</v>
      </c>
    </row>
    <row r="279" spans="2:50" ht="11.1" customHeight="1" x14ac:dyDescent="0.2">
      <c r="B279" s="182">
        <v>36213</v>
      </c>
      <c r="C279" s="433">
        <f>ND代替値</f>
        <v>0.18518518518518517</v>
      </c>
      <c r="D279" s="177">
        <v>405</v>
      </c>
      <c r="E279" s="799">
        <f t="shared" si="32"/>
        <v>2.6819038340298272E-4</v>
      </c>
      <c r="F279" s="222">
        <v>7.1999999999999995E-2</v>
      </c>
      <c r="G279" s="178"/>
      <c r="H279" s="437">
        <f>ND代替値*2.71828^(-(0.69315/28.799)*(B279-調査開始日)/365.25)</f>
        <v>6.5976610348751387E-3</v>
      </c>
      <c r="I279" s="215">
        <v>1.5</v>
      </c>
      <c r="J279" s="203">
        <f>ND代替値</f>
        <v>5.0000000000000001E-3</v>
      </c>
      <c r="K279" s="182">
        <v>36213</v>
      </c>
      <c r="L279" s="433">
        <f>ND代替値2</f>
        <v>0.20499999999999999</v>
      </c>
      <c r="M279" s="177">
        <v>393</v>
      </c>
      <c r="N279" s="799">
        <f t="shared" si="33"/>
        <v>2.6148562381790813E-4</v>
      </c>
      <c r="O279" s="709">
        <f>ND代替値2*2.71828^(-(0.69315/30.07)*(B279-事故日Cb)/365.25)</f>
        <v>1.4508586429161011E-2</v>
      </c>
      <c r="P279" s="640"/>
      <c r="Q279" s="433">
        <f>ND代替値</f>
        <v>0.215</v>
      </c>
      <c r="R279" s="177">
        <v>440</v>
      </c>
      <c r="S279" s="435">
        <f t="shared" si="34"/>
        <v>3.1512370049850469E-4</v>
      </c>
      <c r="T279" s="709">
        <f>ND代替値*2.71828^(-(0.69315/30.07)*(B279-事故日Cb)/365.25)</f>
        <v>1.9716796942193169E-2</v>
      </c>
      <c r="U279" s="640"/>
      <c r="V279" s="182">
        <v>36193</v>
      </c>
      <c r="W279" s="433">
        <f>ND代替値</f>
        <v>0.17499999999999999</v>
      </c>
      <c r="X279" s="191">
        <v>398</v>
      </c>
      <c r="Y279" s="799">
        <f t="shared" si="35"/>
        <v>2.6634330465311366E-4</v>
      </c>
      <c r="Z279" s="434">
        <f>0.022*2.71828^(-(0.69315/30.02)*(V279-事故日Cb)/365.25)</f>
        <v>1.6381300734655702E-2</v>
      </c>
      <c r="AA279" s="178"/>
      <c r="AB279" s="214"/>
      <c r="AC279" s="215"/>
      <c r="AD279" s="216"/>
      <c r="AE279" s="182">
        <v>36193</v>
      </c>
      <c r="AF279" s="433">
        <f>ND代替値2</f>
        <v>0.17499999999999999</v>
      </c>
      <c r="AG279" s="191">
        <v>424</v>
      </c>
      <c r="AH279" s="435">
        <f t="shared" si="36"/>
        <v>6.6244360388082119E-4</v>
      </c>
      <c r="AI279" s="709">
        <f>ND代替値2*2.71828^(-(0.69315/30.07)*(V279-事故日Cb)/365.25)</f>
        <v>3.6131034913033884E-2</v>
      </c>
      <c r="AJ279" s="640"/>
      <c r="AK279" s="182"/>
      <c r="AL279" s="190"/>
      <c r="AM279" s="191"/>
      <c r="AN279" s="782"/>
      <c r="AO279" s="688"/>
      <c r="AP279" s="640"/>
      <c r="AR279" s="485">
        <f t="shared" si="25"/>
        <v>0.74403007329030824</v>
      </c>
      <c r="AS279" s="485">
        <f t="shared" si="26"/>
        <v>1.3409519170149136E-2</v>
      </c>
      <c r="AT279" s="486">
        <f t="shared" si="27"/>
        <v>3.4260299584799708E-26</v>
      </c>
      <c r="AU279" s="487">
        <f t="shared" si="28"/>
        <v>199.99999860753141</v>
      </c>
      <c r="AV279" s="488">
        <f t="shared" si="29"/>
        <v>0.48622702538225504</v>
      </c>
      <c r="AW279" s="486">
        <f t="shared" si="30"/>
        <v>7.3438421199134685E-2</v>
      </c>
      <c r="AX279" s="805">
        <f t="shared" si="31"/>
        <v>7.7331090981365642E-176</v>
      </c>
    </row>
    <row r="280" spans="2:50" ht="11.1" customHeight="1" x14ac:dyDescent="0.2">
      <c r="B280" s="182">
        <v>36304</v>
      </c>
      <c r="C280" s="206">
        <v>0.85</v>
      </c>
      <c r="D280" s="177">
        <v>276</v>
      </c>
      <c r="E280" s="799">
        <f t="shared" si="32"/>
        <v>2.4664405439384015E-4</v>
      </c>
      <c r="F280" s="195">
        <v>5.0999999999999997E-2</v>
      </c>
      <c r="G280" s="178"/>
      <c r="H280" s="212"/>
      <c r="I280" s="215"/>
      <c r="J280" s="501"/>
      <c r="K280" s="182">
        <v>36304</v>
      </c>
      <c r="L280" s="433">
        <f>ND代替値2</f>
        <v>0.20499999999999999</v>
      </c>
      <c r="M280" s="177">
        <v>269</v>
      </c>
      <c r="N280" s="799">
        <f t="shared" si="33"/>
        <v>2.4047795303399412E-4</v>
      </c>
      <c r="O280" s="708">
        <v>6.5000000000000002E-2</v>
      </c>
      <c r="P280" s="718"/>
      <c r="Q280" s="433">
        <f>ND代替値</f>
        <v>0.215</v>
      </c>
      <c r="R280" s="177">
        <v>364</v>
      </c>
      <c r="S280" s="435">
        <f t="shared" si="34"/>
        <v>2.8980676391276213E-4</v>
      </c>
      <c r="T280" s="730">
        <v>6.3E-2</v>
      </c>
      <c r="U280" s="718"/>
      <c r="V280" s="182">
        <v>36292</v>
      </c>
      <c r="W280" s="183">
        <v>0.66</v>
      </c>
      <c r="X280" s="191">
        <v>309</v>
      </c>
      <c r="Y280" s="799">
        <f t="shared" si="35"/>
        <v>2.4314852914452179E-4</v>
      </c>
      <c r="Z280" s="195">
        <v>0.05</v>
      </c>
      <c r="AA280" s="178"/>
      <c r="AB280" s="437">
        <f>ND代替値*2.71828^(-(0.69315/28.799)*(V280-調査開始日)/365.25)</f>
        <v>5.9070638348517421E-3</v>
      </c>
      <c r="AC280" s="215">
        <v>1.97</v>
      </c>
      <c r="AD280" s="203">
        <f>ND代替値</f>
        <v>4.1379310344827587E-3</v>
      </c>
      <c r="AE280" s="182">
        <v>36292</v>
      </c>
      <c r="AF280" s="433">
        <f>ND代替値2</f>
        <v>0.17499999999999999</v>
      </c>
      <c r="AG280" s="191">
        <v>354</v>
      </c>
      <c r="AH280" s="435">
        <f t="shared" si="36"/>
        <v>6.0475403402611828E-4</v>
      </c>
      <c r="AI280" s="688">
        <v>5.5E-2</v>
      </c>
      <c r="AJ280" s="718"/>
      <c r="AK280" s="182"/>
      <c r="AL280" s="220"/>
      <c r="AM280" s="191"/>
      <c r="AN280" s="782"/>
      <c r="AO280" s="688"/>
      <c r="AP280" s="718"/>
      <c r="AR280" s="485">
        <f t="shared" si="25"/>
        <v>0.73976929762872223</v>
      </c>
      <c r="AS280" s="485">
        <f t="shared" si="26"/>
        <v>1.2332202719692006E-2</v>
      </c>
      <c r="AT280" s="486">
        <f t="shared" si="27"/>
        <v>1.0489120487748136E-26</v>
      </c>
      <c r="AU280" s="487">
        <f t="shared" si="28"/>
        <v>199.99999858048452</v>
      </c>
      <c r="AV280" s="488">
        <f t="shared" si="29"/>
        <v>0.4794643849017966</v>
      </c>
      <c r="AW280" s="486">
        <f t="shared" si="30"/>
        <v>7.2999362541033258E-2</v>
      </c>
      <c r="AX280" s="805">
        <f t="shared" si="31"/>
        <v>3.2096896633491281E-179</v>
      </c>
    </row>
    <row r="281" spans="2:50" ht="11.1" customHeight="1" x14ac:dyDescent="0.2">
      <c r="B281" s="182">
        <v>36383</v>
      </c>
      <c r="C281" s="206">
        <v>0.87</v>
      </c>
      <c r="D281" s="177">
        <v>250</v>
      </c>
      <c r="E281" s="799">
        <f t="shared" si="32"/>
        <v>2.2934774834836049E-4</v>
      </c>
      <c r="F281" s="178">
        <v>5.3999999999999999E-2</v>
      </c>
      <c r="G281" s="178"/>
      <c r="H281" s="223">
        <v>7.1999999999999995E-2</v>
      </c>
      <c r="I281" s="215">
        <v>2</v>
      </c>
      <c r="J281" s="500">
        <v>3.5999999999999997E-2</v>
      </c>
      <c r="K281" s="182">
        <v>36383</v>
      </c>
      <c r="L281" s="433">
        <f>ND代替値2</f>
        <v>0.20499999999999999</v>
      </c>
      <c r="M281" s="177">
        <v>255</v>
      </c>
      <c r="N281" s="799">
        <f t="shared" si="33"/>
        <v>2.2361405463965149E-4</v>
      </c>
      <c r="O281" s="708">
        <v>7.5999999999999998E-2</v>
      </c>
      <c r="P281" s="718"/>
      <c r="Q281" s="443"/>
      <c r="R281" s="177">
        <v>291</v>
      </c>
      <c r="S281" s="435">
        <f t="shared" si="34"/>
        <v>2.6948360430932355E-4</v>
      </c>
      <c r="T281" s="708">
        <v>8.7999999999999995E-2</v>
      </c>
      <c r="U281" s="718"/>
      <c r="V281" s="182">
        <v>36362</v>
      </c>
      <c r="W281" s="176">
        <v>0.5</v>
      </c>
      <c r="X281" s="191">
        <v>307</v>
      </c>
      <c r="Y281" s="799">
        <f t="shared" si="35"/>
        <v>2.2797790684161957E-4</v>
      </c>
      <c r="Z281" s="195">
        <v>4.9000000000000002E-2</v>
      </c>
      <c r="AA281" s="178"/>
      <c r="AB281" s="214"/>
      <c r="AC281" s="215"/>
      <c r="AD281" s="216"/>
      <c r="AE281" s="182">
        <v>36362</v>
      </c>
      <c r="AF281" s="176">
        <v>0.76</v>
      </c>
      <c r="AG281" s="191">
        <v>327</v>
      </c>
      <c r="AH281" s="435">
        <f t="shared" si="36"/>
        <v>5.6702197342659228E-4</v>
      </c>
      <c r="AI281" s="688">
        <v>6.7000000000000004E-2</v>
      </c>
      <c r="AJ281" s="718"/>
      <c r="AK281" s="182"/>
      <c r="AL281" s="220"/>
      <c r="AM281" s="191"/>
      <c r="AN281" s="782"/>
      <c r="AO281" s="688"/>
      <c r="AP281" s="718"/>
      <c r="AR281" s="485">
        <f t="shared" si="25"/>
        <v>0.73609017312138159</v>
      </c>
      <c r="AS281" s="485">
        <f t="shared" si="26"/>
        <v>1.1467387417418025E-2</v>
      </c>
      <c r="AT281" s="486">
        <f t="shared" si="27"/>
        <v>3.753825496476983E-27</v>
      </c>
      <c r="AU281" s="487">
        <f t="shared" si="28"/>
        <v>199.99999855700429</v>
      </c>
      <c r="AV281" s="488">
        <f t="shared" si="29"/>
        <v>0.47366983852659117</v>
      </c>
      <c r="AW281" s="486">
        <f t="shared" si="30"/>
        <v>7.2620330843846517E-2</v>
      </c>
      <c r="AX281" s="805">
        <f t="shared" si="31"/>
        <v>3.7199372216671539E-182</v>
      </c>
    </row>
    <row r="282" spans="2:50" ht="11.1" customHeight="1" x14ac:dyDescent="0.2">
      <c r="B282" s="182">
        <v>36483</v>
      </c>
      <c r="C282" s="206">
        <v>1.1000000000000001</v>
      </c>
      <c r="D282" s="177">
        <v>366</v>
      </c>
      <c r="E282" s="799">
        <f t="shared" si="32"/>
        <v>2.0918216098199377E-4</v>
      </c>
      <c r="F282" s="178">
        <v>0.09</v>
      </c>
      <c r="G282" s="178"/>
      <c r="H282" s="212"/>
      <c r="I282" s="215"/>
      <c r="J282" s="501"/>
      <c r="K282" s="182">
        <v>36483</v>
      </c>
      <c r="L282" s="774">
        <v>0.83</v>
      </c>
      <c r="M282" s="177">
        <v>373</v>
      </c>
      <c r="N282" s="799">
        <f t="shared" si="33"/>
        <v>2.0395260695744391E-4</v>
      </c>
      <c r="O282" s="708">
        <v>8.1000000000000003E-2</v>
      </c>
      <c r="P282" s="718"/>
      <c r="Q282" s="774">
        <v>0.97</v>
      </c>
      <c r="R282" s="177">
        <v>413</v>
      </c>
      <c r="S282" s="435">
        <f t="shared" si="34"/>
        <v>2.4578903915384266E-4</v>
      </c>
      <c r="T282" s="708">
        <v>0.1</v>
      </c>
      <c r="U282" s="718"/>
      <c r="V282" s="182">
        <v>36452</v>
      </c>
      <c r="W282" s="183">
        <v>0.93</v>
      </c>
      <c r="X282" s="191">
        <v>330</v>
      </c>
      <c r="Y282" s="799">
        <f t="shared" si="35"/>
        <v>2.0985528449880158E-4</v>
      </c>
      <c r="Z282" s="192">
        <v>9.0999999999999998E-2</v>
      </c>
      <c r="AA282" s="178"/>
      <c r="AB282" s="214"/>
      <c r="AC282" s="215"/>
      <c r="AD282" s="216"/>
      <c r="AE282" s="182">
        <v>36452</v>
      </c>
      <c r="AF282" s="188">
        <v>1.1000000000000001</v>
      </c>
      <c r="AG282" s="191">
        <v>315</v>
      </c>
      <c r="AH282" s="435">
        <f t="shared" si="36"/>
        <v>5.2194775888163476E-4</v>
      </c>
      <c r="AI282" s="688">
        <v>0.11</v>
      </c>
      <c r="AJ282" s="718"/>
      <c r="AK282" s="182">
        <v>36474</v>
      </c>
      <c r="AL282" s="220">
        <v>0.56999999999999995</v>
      </c>
      <c r="AM282" s="191">
        <v>340</v>
      </c>
      <c r="AN282" s="799">
        <f>ND代替値2*2.71828^(-(0.69315/2.062)*(AK282-事故日Cb)/365.25)</f>
        <v>2.1092202412694228E-4</v>
      </c>
      <c r="AO282" s="688">
        <v>0.12</v>
      </c>
      <c r="AP282" s="718"/>
      <c r="AR282" s="485">
        <f t="shared" si="25"/>
        <v>0.73145928177840047</v>
      </c>
      <c r="AS282" s="485">
        <f t="shared" si="26"/>
        <v>1.0459108049099688E-2</v>
      </c>
      <c r="AT282" s="486">
        <f t="shared" si="27"/>
        <v>1.0223078175172693E-27</v>
      </c>
      <c r="AU282" s="487">
        <f t="shared" si="28"/>
        <v>199.9999985272824</v>
      </c>
      <c r="AV282" s="488">
        <f t="shared" si="29"/>
        <v>0.46643528912112459</v>
      </c>
      <c r="AW282" s="486">
        <f t="shared" si="30"/>
        <v>7.2143364870538712E-2</v>
      </c>
      <c r="AX282" s="805">
        <f t="shared" si="31"/>
        <v>7.1477897863107212E-186</v>
      </c>
    </row>
    <row r="283" spans="2:50" ht="11.1" customHeight="1" x14ac:dyDescent="0.2">
      <c r="B283" s="182">
        <v>36581</v>
      </c>
      <c r="C283" s="433">
        <f>ND代替値</f>
        <v>0.18518518518518517</v>
      </c>
      <c r="D283" s="177">
        <v>396</v>
      </c>
      <c r="E283" s="799">
        <f t="shared" si="32"/>
        <v>1.9114115518781662E-4</v>
      </c>
      <c r="F283" s="434">
        <f>ND代替値*2.71828^(-(0.69315/30.07)*(B283-事故日Cb)/365.25)</f>
        <v>1.4538985502586602E-2</v>
      </c>
      <c r="G283" s="178"/>
      <c r="H283" s="437">
        <f>ND代替値*2.71828^(-(0.69315/28.799)*(B283-調査開始日)/365.25)</f>
        <v>6.4395937485640853E-3</v>
      </c>
      <c r="I283" s="215">
        <v>1.3</v>
      </c>
      <c r="J283" s="203">
        <f>ND代替値</f>
        <v>5.0000000000000001E-3</v>
      </c>
      <c r="K283" s="182">
        <v>36581</v>
      </c>
      <c r="L283" s="433">
        <f>ND代替値2</f>
        <v>0.20499999999999999</v>
      </c>
      <c r="M283" s="177">
        <v>350</v>
      </c>
      <c r="N283" s="799">
        <f t="shared" si="33"/>
        <v>1.863626263081212E-4</v>
      </c>
      <c r="O283" s="708">
        <v>6.4000000000000001E-2</v>
      </c>
      <c r="P283" s="718"/>
      <c r="Q283" s="433">
        <f>ND代替値</f>
        <v>0.215</v>
      </c>
      <c r="R283" s="177">
        <v>392</v>
      </c>
      <c r="S283" s="435">
        <f t="shared" si="34"/>
        <v>2.2459085734568451E-4</v>
      </c>
      <c r="T283" s="709">
        <f>ND代替値*2.71828^(-(0.69315/30.07)*(B283-事故日Cb)/365.25)</f>
        <v>1.9264155790927245E-2</v>
      </c>
      <c r="U283" s="718"/>
      <c r="V283" s="182">
        <v>36551</v>
      </c>
      <c r="W283" s="433">
        <f>ND代替値</f>
        <v>0.17499999999999999</v>
      </c>
      <c r="X283" s="191">
        <v>439</v>
      </c>
      <c r="Y283" s="799">
        <f t="shared" si="35"/>
        <v>1.9157982523925352E-4</v>
      </c>
      <c r="Z283" s="192">
        <v>5.5E-2</v>
      </c>
      <c r="AA283" s="178"/>
      <c r="AB283" s="214"/>
      <c r="AC283" s="215"/>
      <c r="AD283" s="216"/>
      <c r="AE283" s="182">
        <v>36551</v>
      </c>
      <c r="AF283" s="433">
        <f>ND代替値2</f>
        <v>0.17499999999999999</v>
      </c>
      <c r="AG283" s="191">
        <v>441</v>
      </c>
      <c r="AH283" s="799">
        <f t="shared" si="36"/>
        <v>4.7649341149250232E-4</v>
      </c>
      <c r="AI283" s="688">
        <v>5.5E-2</v>
      </c>
      <c r="AJ283" s="718"/>
      <c r="AK283" s="182"/>
      <c r="AL283" s="220"/>
      <c r="AM283" s="191"/>
      <c r="AN283" s="782"/>
      <c r="AO283" s="688"/>
      <c r="AP283" s="718"/>
      <c r="AR283" s="485">
        <f t="shared" si="25"/>
        <v>0.72694927512933005</v>
      </c>
      <c r="AS283" s="485">
        <f t="shared" si="26"/>
        <v>9.5570577593908305E-3</v>
      </c>
      <c r="AT283" s="486">
        <f t="shared" si="27"/>
        <v>2.8575058741332852E-28</v>
      </c>
      <c r="AU283" s="487">
        <f t="shared" si="28"/>
        <v>199.99999849815501</v>
      </c>
      <c r="AV283" s="488">
        <f t="shared" si="29"/>
        <v>0.45945264505071343</v>
      </c>
      <c r="AW283" s="486">
        <f t="shared" si="30"/>
        <v>7.167897767990046E-2</v>
      </c>
      <c r="AX283" s="805">
        <f t="shared" si="31"/>
        <v>1.6298033616650975E-189</v>
      </c>
    </row>
    <row r="284" spans="2:50" ht="11.1" customHeight="1" x14ac:dyDescent="0.2">
      <c r="B284" s="182">
        <v>36675</v>
      </c>
      <c r="C284" s="433">
        <f>ND代替値</f>
        <v>0.18518518518518517</v>
      </c>
      <c r="D284" s="177">
        <v>392</v>
      </c>
      <c r="E284" s="799">
        <f t="shared" si="32"/>
        <v>1.7530026031299526E-4</v>
      </c>
      <c r="F284" s="195">
        <v>5.8999999999999997E-2</v>
      </c>
      <c r="G284" s="178"/>
      <c r="H284" s="219"/>
      <c r="I284" s="215"/>
      <c r="J284" s="502"/>
      <c r="K284" s="182">
        <v>36675</v>
      </c>
      <c r="L284" s="774">
        <v>0.5</v>
      </c>
      <c r="M284" s="177">
        <v>429</v>
      </c>
      <c r="N284" s="799">
        <f t="shared" si="33"/>
        <v>1.7091775380517039E-4</v>
      </c>
      <c r="O284" s="708">
        <v>7.2999999999999995E-2</v>
      </c>
      <c r="P284" s="718"/>
      <c r="Q284" s="774">
        <v>0.5</v>
      </c>
      <c r="R284" s="177">
        <v>341</v>
      </c>
      <c r="S284" s="435">
        <f t="shared" si="34"/>
        <v>2.0597780586776944E-4</v>
      </c>
      <c r="T284" s="730">
        <v>8.2000000000000003E-2</v>
      </c>
      <c r="U284" s="718"/>
      <c r="V284" s="182">
        <v>36656</v>
      </c>
      <c r="W284" s="183">
        <v>1.1000000000000001</v>
      </c>
      <c r="X284" s="191">
        <v>286</v>
      </c>
      <c r="Y284" s="799">
        <f t="shared" si="35"/>
        <v>1.7393278281458444E-4</v>
      </c>
      <c r="Z284" s="192">
        <v>5.8000000000000003E-2</v>
      </c>
      <c r="AA284" s="178"/>
      <c r="AB284" s="437">
        <f>ND代替値*2.71828^(-(0.69315/28.799)*(V284-調査開始日)/365.25)</f>
        <v>5.7670618368097313E-3</v>
      </c>
      <c r="AC284" s="215">
        <v>1</v>
      </c>
      <c r="AD284" s="203">
        <f>ND代替値</f>
        <v>4.1379310344827587E-3</v>
      </c>
      <c r="AE284" s="182">
        <v>36656</v>
      </c>
      <c r="AF284" s="433">
        <f>ND代替値2</f>
        <v>0.17499999999999999</v>
      </c>
      <c r="AG284" s="191">
        <v>280</v>
      </c>
      <c r="AH284" s="799">
        <f t="shared" si="36"/>
        <v>4.3260204956447923E-4</v>
      </c>
      <c r="AI284" s="731">
        <v>4.5999999999999999E-2</v>
      </c>
      <c r="AJ284" s="718"/>
      <c r="AK284" s="182"/>
      <c r="AL284" s="220"/>
      <c r="AM284" s="191"/>
      <c r="AN284" s="782"/>
      <c r="AO284" s="688"/>
      <c r="AP284" s="718"/>
      <c r="AR284" s="485">
        <f t="shared" ref="AR284:AR316" si="37">1*2.71828^(-(0.69315/30.07)*(B284-事故日Cb)/365.25)</f>
        <v>0.72264948087910386</v>
      </c>
      <c r="AS284" s="485">
        <f t="shared" ref="AS284:AS316" si="38">1*2.71828^(-(0.69315/2.062)*(B284-事故日Cb)/365.25)</f>
        <v>8.7650130156497631E-3</v>
      </c>
      <c r="AT284" s="486">
        <f t="shared" ref="AT284:AT316" si="39">10*2.71828^(-(0.69315/0.1459)*(B284-事故日Cb)/365.25)</f>
        <v>8.4137243149736295E-29</v>
      </c>
      <c r="AU284" s="487">
        <f t="shared" ref="AU284:AU316" si="40">200*2.71828^(-(0.69315/(1.277*10^9))*(B284-事故日Cb)/365.25)</f>
        <v>199.99999847021647</v>
      </c>
      <c r="AV284" s="488">
        <f t="shared" ref="AV284:AV316" si="41">1*2.71828^(-(0.69315/12.33)*(B284-事故日Cb)/365.25)</f>
        <v>0.45285324590715464</v>
      </c>
      <c r="AW284" s="486">
        <f t="shared" ref="AW284:AW316" si="42">0.1*2.71828^(-(0.69315/28.799)*(B284-事故日Cb)/365.25)</f>
        <v>7.1236354051411488E-2</v>
      </c>
      <c r="AX284" s="805">
        <f t="shared" ref="AX284:AX324" si="43">0.1*2.71828^(-(0.69315/0.022177)*(B284-事故日Cb)/365.25)</f>
        <v>5.2330297108495969E-193</v>
      </c>
    </row>
    <row r="285" spans="2:50" ht="11.1" customHeight="1" x14ac:dyDescent="0.2">
      <c r="B285" s="182">
        <v>36748</v>
      </c>
      <c r="C285" s="433">
        <f>ND代替値</f>
        <v>0.18518518518518517</v>
      </c>
      <c r="D285" s="177">
        <v>311</v>
      </c>
      <c r="E285" s="799">
        <f t="shared" si="32"/>
        <v>1.6390967194066135E-4</v>
      </c>
      <c r="F285" s="178">
        <v>6.0999999999999999E-2</v>
      </c>
      <c r="G285" s="178"/>
      <c r="H285" s="437">
        <f>ND代替値*2.71828^(-(0.69315/28.799)*(B285-調査開始日)/365.25)</f>
        <v>6.3691168459845803E-3</v>
      </c>
      <c r="I285" s="215">
        <v>1.9</v>
      </c>
      <c r="J285" s="203">
        <f>ND代替値</f>
        <v>5.0000000000000001E-3</v>
      </c>
      <c r="K285" s="182">
        <v>36748</v>
      </c>
      <c r="L285" s="774">
        <v>0.59</v>
      </c>
      <c r="M285" s="177">
        <v>255</v>
      </c>
      <c r="N285" s="799">
        <f t="shared" si="33"/>
        <v>1.598119301421448E-4</v>
      </c>
      <c r="O285" s="708">
        <v>5.8999999999999997E-2</v>
      </c>
      <c r="P285" s="718"/>
      <c r="Q285" s="774">
        <v>0.6</v>
      </c>
      <c r="R285" s="177">
        <v>280</v>
      </c>
      <c r="S285" s="435">
        <f t="shared" si="34"/>
        <v>1.9259386453027708E-4</v>
      </c>
      <c r="T285" s="730">
        <v>6.3E-2</v>
      </c>
      <c r="U285" s="718"/>
      <c r="V285" s="182">
        <v>36719</v>
      </c>
      <c r="W285" s="433">
        <f>ND代替値</f>
        <v>0.17499999999999999</v>
      </c>
      <c r="X285" s="191">
        <v>282</v>
      </c>
      <c r="Y285" s="799">
        <f t="shared" si="35"/>
        <v>1.6413471638823698E-4</v>
      </c>
      <c r="Z285" s="192">
        <v>5.2999999999999999E-2</v>
      </c>
      <c r="AA285" s="178"/>
      <c r="AB285" s="214"/>
      <c r="AC285" s="215"/>
      <c r="AD285" s="216"/>
      <c r="AE285" s="182">
        <v>36719</v>
      </c>
      <c r="AF285" s="773">
        <v>0.36</v>
      </c>
      <c r="AG285" s="191">
        <v>348</v>
      </c>
      <c r="AH285" s="799">
        <f t="shared" si="36"/>
        <v>4.0823249973484581E-4</v>
      </c>
      <c r="AI285" s="688">
        <v>5.3999999999999999E-2</v>
      </c>
      <c r="AJ285" s="718"/>
      <c r="AK285" s="182"/>
      <c r="AL285" s="220"/>
      <c r="AM285" s="191"/>
      <c r="AN285" s="782"/>
      <c r="AO285" s="688"/>
      <c r="AP285" s="718"/>
      <c r="AR285" s="485">
        <f t="shared" si="37"/>
        <v>0.71932783135974332</v>
      </c>
      <c r="AS285" s="485">
        <f t="shared" si="38"/>
        <v>8.195483597033067E-3</v>
      </c>
      <c r="AT285" s="486">
        <f t="shared" si="39"/>
        <v>3.2554934603644701E-29</v>
      </c>
      <c r="AU285" s="487">
        <f t="shared" si="40"/>
        <v>199.99999844851956</v>
      </c>
      <c r="AV285" s="488">
        <f t="shared" si="41"/>
        <v>0.44779364242380859</v>
      </c>
      <c r="AW285" s="486">
        <f t="shared" si="42"/>
        <v>7.0894500813161551E-2</v>
      </c>
      <c r="AX285" s="805">
        <f t="shared" si="43"/>
        <v>1.0134623000142177E-195</v>
      </c>
    </row>
    <row r="286" spans="2:50" ht="11.1" customHeight="1" x14ac:dyDescent="0.2">
      <c r="B286" s="182">
        <v>36844</v>
      </c>
      <c r="C286" s="206">
        <v>2.2999999999999998</v>
      </c>
      <c r="D286" s="177">
        <v>373</v>
      </c>
      <c r="E286" s="799">
        <f t="shared" si="32"/>
        <v>1.5004914978808143E-4</v>
      </c>
      <c r="F286" s="178">
        <v>9.5000000000000001E-2</v>
      </c>
      <c r="G286" s="178"/>
      <c r="H286" s="212"/>
      <c r="I286" s="215"/>
      <c r="J286" s="502"/>
      <c r="K286" s="182">
        <v>36844</v>
      </c>
      <c r="L286" s="444">
        <v>1.4</v>
      </c>
      <c r="M286" s="177">
        <v>388</v>
      </c>
      <c r="N286" s="799">
        <f t="shared" si="33"/>
        <v>1.4629792104337941E-4</v>
      </c>
      <c r="O286" s="708">
        <v>8.5999999999999993E-2</v>
      </c>
      <c r="P286" s="718"/>
      <c r="Q286" s="444">
        <v>1.6</v>
      </c>
      <c r="R286" s="177">
        <v>404</v>
      </c>
      <c r="S286" s="435">
        <f t="shared" si="34"/>
        <v>1.7630775100099569E-4</v>
      </c>
      <c r="T286" s="730">
        <v>7.1999999999999995E-2</v>
      </c>
      <c r="U286" s="718"/>
      <c r="V286" s="182">
        <v>36815</v>
      </c>
      <c r="W286" s="183">
        <v>0.75</v>
      </c>
      <c r="X286" s="191">
        <v>304</v>
      </c>
      <c r="Y286" s="799">
        <f t="shared" si="35"/>
        <v>1.5025516403741442E-4</v>
      </c>
      <c r="Z286" s="192">
        <v>8.5999999999999993E-2</v>
      </c>
      <c r="AA286" s="178"/>
      <c r="AB286" s="214"/>
      <c r="AC286" s="215"/>
      <c r="AD286" s="216"/>
      <c r="AE286" s="182">
        <v>36815</v>
      </c>
      <c r="AF286" s="206">
        <v>0.64</v>
      </c>
      <c r="AG286" s="191">
        <v>327</v>
      </c>
      <c r="AH286" s="799">
        <f t="shared" si="36"/>
        <v>3.7371156183664615E-4</v>
      </c>
      <c r="AI286" s="688">
        <v>7.1999999999999995E-2</v>
      </c>
      <c r="AJ286" s="718"/>
      <c r="AK286" s="182"/>
      <c r="AL286" s="220"/>
      <c r="AM286" s="191"/>
      <c r="AN286" s="782"/>
      <c r="AO286" s="688"/>
      <c r="AP286" s="718"/>
      <c r="AR286" s="485">
        <f t="shared" si="37"/>
        <v>0.71498286489543628</v>
      </c>
      <c r="AS286" s="485">
        <f t="shared" si="38"/>
        <v>7.5024574894040717E-3</v>
      </c>
      <c r="AT286" s="486">
        <f t="shared" si="39"/>
        <v>9.3394247071781265E-30</v>
      </c>
      <c r="AU286" s="487">
        <f t="shared" si="40"/>
        <v>199.99999841998658</v>
      </c>
      <c r="AV286" s="488">
        <f t="shared" si="41"/>
        <v>0.44122586748212039</v>
      </c>
      <c r="AW286" s="486">
        <f t="shared" si="42"/>
        <v>7.0447436368636152E-2</v>
      </c>
      <c r="AX286" s="805">
        <f t="shared" si="43"/>
        <v>2.742194859427748E-199</v>
      </c>
    </row>
    <row r="287" spans="2:50" ht="11.1" customHeight="1" x14ac:dyDescent="0.2">
      <c r="B287" s="182">
        <v>36938</v>
      </c>
      <c r="C287" s="433">
        <f>ND代替値</f>
        <v>0.18518518518518517</v>
      </c>
      <c r="D287" s="177">
        <v>387</v>
      </c>
      <c r="E287" s="799">
        <f t="shared" si="32"/>
        <v>1.3761377026181575E-4</v>
      </c>
      <c r="F287" s="195">
        <v>6.0999999999999999E-2</v>
      </c>
      <c r="G287" s="178"/>
      <c r="H287" s="437">
        <f>ND代替値*2.71828^(-(0.69315/28.799)*(B287-調査開始日)/365.25)</f>
        <v>6.289871052227696E-3</v>
      </c>
      <c r="I287" s="215">
        <v>1.3</v>
      </c>
      <c r="J287" s="203">
        <f>ND代替値</f>
        <v>5.0000000000000001E-3</v>
      </c>
      <c r="K287" s="182">
        <v>36938</v>
      </c>
      <c r="L287" s="433">
        <f>ND代替値2</f>
        <v>0.20499999999999999</v>
      </c>
      <c r="M287" s="177">
        <v>377</v>
      </c>
      <c r="N287" s="799">
        <f t="shared" si="33"/>
        <v>1.3417342600527036E-4</v>
      </c>
      <c r="O287" s="709">
        <f>ND代替値2*2.71828^(-(0.69315/30.07)*(B287-事故日Cb)/365.25)</f>
        <v>1.3859700077716261E-2</v>
      </c>
      <c r="P287" s="640"/>
      <c r="Q287" s="433">
        <f>ND代替値</f>
        <v>0.215</v>
      </c>
      <c r="R287" s="177">
        <v>435</v>
      </c>
      <c r="S287" s="435">
        <f t="shared" si="34"/>
        <v>1.6169618005763351E-4</v>
      </c>
      <c r="T287" s="730">
        <v>7.0999999999999994E-2</v>
      </c>
      <c r="U287" s="640"/>
      <c r="V287" s="182">
        <v>36909</v>
      </c>
      <c r="W287" s="433">
        <f>ND代替値</f>
        <v>0.17499999999999999</v>
      </c>
      <c r="X287" s="191">
        <v>325</v>
      </c>
      <c r="Y287" s="799">
        <f t="shared" si="35"/>
        <v>1.3780271100302218E-4</v>
      </c>
      <c r="Z287" s="434">
        <f>0.022*2.71828^(-(0.69315/30.02)*(V287-事故日Cb)/365.25)</f>
        <v>1.5656371086438189E-2</v>
      </c>
      <c r="AA287" s="178"/>
      <c r="AB287" s="214"/>
      <c r="AC287" s="215"/>
      <c r="AD287" s="216"/>
      <c r="AE287" s="182">
        <v>36909</v>
      </c>
      <c r="AF287" s="433">
        <f>ND代替値2</f>
        <v>0.17499999999999999</v>
      </c>
      <c r="AG287" s="191">
        <v>417</v>
      </c>
      <c r="AH287" s="799">
        <f t="shared" si="36"/>
        <v>3.4274007608443982E-4</v>
      </c>
      <c r="AI287" s="709">
        <f>ND代替値2*2.71828^(-(0.69315/30.07)*(V287-事故日Cb)/365.25)</f>
        <v>3.4534709750057735E-2</v>
      </c>
      <c r="AJ287" s="640"/>
      <c r="AK287" s="182">
        <v>36837</v>
      </c>
      <c r="AL287" s="773">
        <v>0.44</v>
      </c>
      <c r="AM287" s="191">
        <v>329</v>
      </c>
      <c r="AN287" s="799">
        <f>ND代替値2*2.71828^(-(0.69315/2.062)*(AK287-事故日Cb)/365.25)</f>
        <v>1.5101894341134953E-4</v>
      </c>
      <c r="AO287" s="688">
        <v>8.2000000000000003E-2</v>
      </c>
      <c r="AP287" s="640"/>
      <c r="AR287" s="485">
        <f t="shared" si="37"/>
        <v>0.71075385013929548</v>
      </c>
      <c r="AS287" s="485">
        <f t="shared" si="38"/>
        <v>6.880688513090788E-3</v>
      </c>
      <c r="AT287" s="486">
        <f t="shared" si="39"/>
        <v>2.7499276714691968E-30</v>
      </c>
      <c r="AU287" s="487">
        <f t="shared" si="40"/>
        <v>199.99999839204804</v>
      </c>
      <c r="AV287" s="488">
        <f t="shared" si="41"/>
        <v>0.43488827068440028</v>
      </c>
      <c r="AW287" s="486">
        <f t="shared" si="42"/>
        <v>7.0012417609824046E-2</v>
      </c>
      <c r="AX287" s="805">
        <f t="shared" si="43"/>
        <v>8.8047352888400372E-203</v>
      </c>
    </row>
    <row r="288" spans="2:50" ht="11.1" customHeight="1" x14ac:dyDescent="0.2">
      <c r="B288" s="182">
        <v>37028</v>
      </c>
      <c r="C288" s="433">
        <f>ND代替値</f>
        <v>0.18518518518518517</v>
      </c>
      <c r="D288" s="177">
        <v>375</v>
      </c>
      <c r="E288" s="799">
        <f t="shared" si="32"/>
        <v>1.2667445415800248E-4</v>
      </c>
      <c r="F288" s="197"/>
      <c r="G288" s="178"/>
      <c r="H288" s="212"/>
      <c r="I288" s="215"/>
      <c r="J288" s="503"/>
      <c r="K288" s="182">
        <v>37028</v>
      </c>
      <c r="L288" s="433">
        <f>ND代替値2</f>
        <v>0.20499999999999999</v>
      </c>
      <c r="M288" s="177">
        <v>294</v>
      </c>
      <c r="N288" s="799">
        <f t="shared" si="33"/>
        <v>1.2350759280405242E-4</v>
      </c>
      <c r="O288" s="709">
        <f>ND代替値2*2.71828^(-(0.69315/30.07)*(B288-事故日Cb)/365.25)</f>
        <v>1.3781200590614837E-2</v>
      </c>
      <c r="P288" s="640"/>
      <c r="Q288" s="774">
        <v>0.73</v>
      </c>
      <c r="R288" s="177">
        <v>314</v>
      </c>
      <c r="S288" s="435">
        <f t="shared" si="34"/>
        <v>1.4884248363565292E-4</v>
      </c>
      <c r="T288" s="709">
        <f>ND代替値*2.71828^(-(0.69315/30.07)*(B288-事故日Cb)/365.25)</f>
        <v>1.8728298238527855E-2</v>
      </c>
      <c r="U288" s="640"/>
      <c r="V288" s="182">
        <v>37005</v>
      </c>
      <c r="W288" s="433">
        <f>ND代替値</f>
        <v>0.17499999999999999</v>
      </c>
      <c r="X288" s="191">
        <v>324</v>
      </c>
      <c r="Y288" s="799">
        <f t="shared" si="35"/>
        <v>1.2614984448252532E-4</v>
      </c>
      <c r="Z288" s="434">
        <f>0.022*2.71828^(-(0.69315/30.02)*(V288-事故日Cb)/365.25)</f>
        <v>1.5561644645011304E-2</v>
      </c>
      <c r="AA288" s="178"/>
      <c r="AB288" s="437">
        <f>ND代替値*2.71828^(-(0.69315/28.799)*(V288-調査開始日)/365.25)</f>
        <v>5.6359460402099866E-3</v>
      </c>
      <c r="AC288" s="215">
        <v>1.45</v>
      </c>
      <c r="AD288" s="203">
        <f>ND代替値</f>
        <v>4.1379310344827587E-3</v>
      </c>
      <c r="AE288" s="182">
        <v>37005</v>
      </c>
      <c r="AF288" s="433">
        <f>ND代替値2</f>
        <v>0.17499999999999999</v>
      </c>
      <c r="AG288" s="191">
        <v>319</v>
      </c>
      <c r="AH288" s="799">
        <f t="shared" si="36"/>
        <v>3.1375730550781941E-4</v>
      </c>
      <c r="AI288" s="712">
        <v>5.8999999999999997E-2</v>
      </c>
      <c r="AJ288" s="640"/>
      <c r="AK288" s="182"/>
      <c r="AL288" s="220"/>
      <c r="AM288" s="191"/>
      <c r="AN288" s="782"/>
      <c r="AO288" s="688"/>
      <c r="AP288" s="640"/>
      <c r="AR288" s="485">
        <f t="shared" si="37"/>
        <v>0.70672823541614549</v>
      </c>
      <c r="AS288" s="485">
        <f t="shared" si="38"/>
        <v>6.3337227079001239E-3</v>
      </c>
      <c r="AT288" s="486">
        <f t="shared" si="39"/>
        <v>8.5293927568477272E-31</v>
      </c>
      <c r="AU288" s="487">
        <f t="shared" si="40"/>
        <v>199.99999836529835</v>
      </c>
      <c r="AV288" s="488">
        <f t="shared" si="41"/>
        <v>0.4289056790209036</v>
      </c>
      <c r="AW288" s="486">
        <f t="shared" si="42"/>
        <v>6.9598427752929098E-2</v>
      </c>
      <c r="AX288" s="805">
        <f t="shared" si="43"/>
        <v>3.9809694827181179E-206</v>
      </c>
    </row>
    <row r="289" spans="2:50" ht="11.1" customHeight="1" x14ac:dyDescent="0.2">
      <c r="B289" s="182">
        <v>37151</v>
      </c>
      <c r="C289" s="773">
        <v>0.53</v>
      </c>
      <c r="D289" s="177">
        <v>267</v>
      </c>
      <c r="E289" s="799">
        <f t="shared" si="32"/>
        <v>1.1311654817730312E-4</v>
      </c>
      <c r="F289" s="195">
        <v>5.3999999999999999E-2</v>
      </c>
      <c r="G289" s="178"/>
      <c r="H289" s="437">
        <f>ND代替値*2.71828^(-(0.69315/28.799)*(B289-調査開始日)/365.25)</f>
        <v>6.2022040076166384E-3</v>
      </c>
      <c r="I289" s="215">
        <v>2.1</v>
      </c>
      <c r="J289" s="203">
        <f>ND代替値</f>
        <v>5.0000000000000001E-3</v>
      </c>
      <c r="K289" s="182">
        <v>37151</v>
      </c>
      <c r="L289" s="433">
        <f>ND代替値2</f>
        <v>0.20499999999999999</v>
      </c>
      <c r="M289" s="177">
        <v>270</v>
      </c>
      <c r="N289" s="799">
        <f t="shared" si="33"/>
        <v>1.1028863447287054E-4</v>
      </c>
      <c r="O289" s="714">
        <v>0.11</v>
      </c>
      <c r="P289" s="634"/>
      <c r="Q289" s="445">
        <v>1.5</v>
      </c>
      <c r="R289" s="177">
        <v>305</v>
      </c>
      <c r="S289" s="435">
        <f t="shared" si="34"/>
        <v>1.3291194410833116E-4</v>
      </c>
      <c r="T289" s="714">
        <v>7.6999999999999999E-2</v>
      </c>
      <c r="U289" s="634"/>
      <c r="V289" s="182">
        <v>37081</v>
      </c>
      <c r="W289" s="773">
        <v>0.35</v>
      </c>
      <c r="X289" s="191">
        <v>300</v>
      </c>
      <c r="Y289" s="799">
        <f t="shared" si="35"/>
        <v>1.1762771061875822E-4</v>
      </c>
      <c r="Z289" s="195">
        <v>7.2999999999999995E-2</v>
      </c>
      <c r="AA289" s="178"/>
      <c r="AB289" s="214"/>
      <c r="AC289" s="215"/>
      <c r="AD289" s="216"/>
      <c r="AE289" s="182">
        <v>37081</v>
      </c>
      <c r="AF289" s="773">
        <v>0.57999999999999996</v>
      </c>
      <c r="AG289" s="191">
        <v>343</v>
      </c>
      <c r="AH289" s="799">
        <f t="shared" si="36"/>
        <v>2.9256122897486017E-4</v>
      </c>
      <c r="AI289" s="712">
        <v>8.3000000000000004E-2</v>
      </c>
      <c r="AJ289" s="634"/>
      <c r="AK289" s="182"/>
      <c r="AL289" s="220"/>
      <c r="AM289" s="191"/>
      <c r="AN289" s="782"/>
      <c r="AO289" s="688"/>
      <c r="AP289" s="634"/>
      <c r="AR289" s="485">
        <f t="shared" si="37"/>
        <v>0.70126340995773762</v>
      </c>
      <c r="AS289" s="485">
        <f t="shared" si="38"/>
        <v>5.6558274088651557E-3</v>
      </c>
      <c r="AT289" s="486">
        <f t="shared" si="39"/>
        <v>1.7222669338292954E-31</v>
      </c>
      <c r="AU289" s="487">
        <f t="shared" si="40"/>
        <v>199.9999983287405</v>
      </c>
      <c r="AV289" s="488">
        <f t="shared" si="41"/>
        <v>0.42086234389322985</v>
      </c>
      <c r="AW289" s="486">
        <f t="shared" si="42"/>
        <v>6.9036597646749506E-2</v>
      </c>
      <c r="AX289" s="805">
        <f t="shared" si="43"/>
        <v>1.0687135758679696E-210</v>
      </c>
    </row>
    <row r="290" spans="2:50" ht="11.1" customHeight="1" x14ac:dyDescent="0.2">
      <c r="B290" s="182">
        <v>37204</v>
      </c>
      <c r="C290" s="773">
        <v>0.86</v>
      </c>
      <c r="D290" s="177">
        <v>391</v>
      </c>
      <c r="E290" s="799">
        <f t="shared" si="32"/>
        <v>1.077313571830547E-4</v>
      </c>
      <c r="F290" s="178">
        <v>7.1999999999999995E-2</v>
      </c>
      <c r="G290" s="178"/>
      <c r="H290" s="212"/>
      <c r="I290" s="215"/>
      <c r="J290" s="503"/>
      <c r="K290" s="182">
        <v>37204</v>
      </c>
      <c r="L290" s="445">
        <v>1.1000000000000001</v>
      </c>
      <c r="M290" s="177">
        <v>397</v>
      </c>
      <c r="N290" s="799">
        <f t="shared" si="33"/>
        <v>1.0503807325347834E-4</v>
      </c>
      <c r="O290" s="714">
        <v>8.8999999999999996E-2</v>
      </c>
      <c r="P290" s="634"/>
      <c r="Q290" s="445">
        <v>1.1000000000000001</v>
      </c>
      <c r="R290" s="177">
        <v>398</v>
      </c>
      <c r="S290" s="435">
        <f t="shared" si="34"/>
        <v>1.2658434469008928E-4</v>
      </c>
      <c r="T290" s="730">
        <v>6.7000000000000004E-2</v>
      </c>
      <c r="U290" s="634"/>
      <c r="V290" s="182">
        <v>37180</v>
      </c>
      <c r="W290" s="183">
        <v>0.95</v>
      </c>
      <c r="X290" s="191">
        <v>342</v>
      </c>
      <c r="Y290" s="799">
        <f t="shared" si="35"/>
        <v>1.0738398271673676E-4</v>
      </c>
      <c r="Z290" s="195">
        <v>7.4999999999999997E-2</v>
      </c>
      <c r="AA290" s="178"/>
      <c r="AB290" s="214"/>
      <c r="AC290" s="215"/>
      <c r="AD290" s="216"/>
      <c r="AE290" s="182">
        <v>37180</v>
      </c>
      <c r="AF290" s="773">
        <v>0.68</v>
      </c>
      <c r="AG290" s="191">
        <v>366</v>
      </c>
      <c r="AH290" s="799">
        <f t="shared" si="36"/>
        <v>2.6708323906470428E-4</v>
      </c>
      <c r="AI290" s="712">
        <v>8.4000000000000005E-2</v>
      </c>
      <c r="AJ290" s="634"/>
      <c r="AK290" s="182">
        <v>37208</v>
      </c>
      <c r="AL290" s="773">
        <v>0.7</v>
      </c>
      <c r="AM290" s="191">
        <v>384</v>
      </c>
      <c r="AN290" s="799">
        <f>ND代替値2*2.71828^(-(0.69315/2.062)*(AK290-事故日Cb)/365.25)</f>
        <v>1.0733548861441443E-4</v>
      </c>
      <c r="AO290" s="731">
        <v>7.4999999999999997E-2</v>
      </c>
      <c r="AP290" s="634"/>
      <c r="AR290" s="485">
        <f t="shared" si="37"/>
        <v>0.698921694057409</v>
      </c>
      <c r="AS290" s="485">
        <f t="shared" si="38"/>
        <v>5.3865678591527352E-3</v>
      </c>
      <c r="AT290" s="486">
        <f t="shared" si="39"/>
        <v>8.6438553906613592E-32</v>
      </c>
      <c r="AU290" s="487">
        <f t="shared" si="40"/>
        <v>199.99999831298794</v>
      </c>
      <c r="AV290" s="488">
        <f t="shared" si="41"/>
        <v>0.41744318384847456</v>
      </c>
      <c r="AW290" s="486">
        <f t="shared" si="42"/>
        <v>6.8795908565849592E-2</v>
      </c>
      <c r="AX290" s="805">
        <f t="shared" si="43"/>
        <v>1.1460102223553338E-212</v>
      </c>
    </row>
    <row r="291" spans="2:50" ht="11.1" customHeight="1" x14ac:dyDescent="0.2">
      <c r="B291" s="182">
        <v>37312</v>
      </c>
      <c r="C291" s="433">
        <f>ND代替値</f>
        <v>0.18518518518518517</v>
      </c>
      <c r="D291" s="177">
        <v>411</v>
      </c>
      <c r="E291" s="799">
        <f t="shared" si="32"/>
        <v>9.753819370225866E-5</v>
      </c>
      <c r="F291" s="434">
        <f>ND代替値*2.71828^(-(0.69315/30.07)*(B291-事故日Cb)/365.25)</f>
        <v>1.3883481397593276E-2</v>
      </c>
      <c r="G291" s="178"/>
      <c r="H291" s="437">
        <f>ND代替値*2.71828^(-(0.69315/28.799)*(B291-調査開始日)/365.25)</f>
        <v>6.1367510175445242E-3</v>
      </c>
      <c r="I291" s="215">
        <v>1.4</v>
      </c>
      <c r="J291" s="203">
        <f>ND代替値</f>
        <v>5.0000000000000001E-3</v>
      </c>
      <c r="K291" s="182">
        <v>37312</v>
      </c>
      <c r="L291" s="433">
        <f>ND代替値2</f>
        <v>0.20499999999999999</v>
      </c>
      <c r="M291" s="177">
        <v>359</v>
      </c>
      <c r="N291" s="799">
        <f t="shared" si="33"/>
        <v>9.5099738859702199E-5</v>
      </c>
      <c r="O291" s="714">
        <v>6.2E-2</v>
      </c>
      <c r="P291" s="634"/>
      <c r="Q291" s="433">
        <f>ND代替値</f>
        <v>0.215</v>
      </c>
      <c r="R291" s="177">
        <v>400</v>
      </c>
      <c r="S291" s="435">
        <f t="shared" si="34"/>
        <v>1.1460737760015393E-4</v>
      </c>
      <c r="T291" s="709">
        <f>ND代替値*2.71828^(-(0.69315/30.07)*(B291-事故日Cb)/365.25)</f>
        <v>1.8395612851811089E-2</v>
      </c>
      <c r="U291" s="634"/>
      <c r="V291" s="182">
        <v>37293</v>
      </c>
      <c r="W291" s="433">
        <f>ND代替値</f>
        <v>0.17499999999999999</v>
      </c>
      <c r="X291" s="191">
        <v>445</v>
      </c>
      <c r="Y291" s="799">
        <f t="shared" si="35"/>
        <v>9.6777320416130476E-5</v>
      </c>
      <c r="Z291" s="434">
        <f>0.022*2.71828^(-(0.69315/30.02)*(V291-事故日Cb)/365.25)</f>
        <v>1.5280890236954968E-2</v>
      </c>
      <c r="AA291" s="178"/>
      <c r="AB291" s="214"/>
      <c r="AC291" s="215"/>
      <c r="AD291" s="216"/>
      <c r="AE291" s="182">
        <v>37293</v>
      </c>
      <c r="AF291" s="433">
        <f>ND代替値2</f>
        <v>0.17499999999999999</v>
      </c>
      <c r="AG291" s="191">
        <v>465</v>
      </c>
      <c r="AH291" s="799">
        <f t="shared" si="36"/>
        <v>2.4070256616319632E-4</v>
      </c>
      <c r="AI291" s="712">
        <v>7.9000000000000001E-2</v>
      </c>
      <c r="AJ291" s="634"/>
      <c r="AK291" s="182"/>
      <c r="AL291" s="220"/>
      <c r="AM291" s="191"/>
      <c r="AN291" s="782"/>
      <c r="AO291" s="688"/>
      <c r="AP291" s="634"/>
      <c r="AR291" s="485">
        <f t="shared" si="37"/>
        <v>0.69417406987966379</v>
      </c>
      <c r="AS291" s="485">
        <f t="shared" si="38"/>
        <v>4.876909685112933E-3</v>
      </c>
      <c r="AT291" s="486">
        <f t="shared" si="39"/>
        <v>2.1214055604991845E-32</v>
      </c>
      <c r="AU291" s="487">
        <f t="shared" si="40"/>
        <v>199.99999828088832</v>
      </c>
      <c r="AV291" s="488">
        <f t="shared" si="41"/>
        <v>0.41056157117363784</v>
      </c>
      <c r="AW291" s="486">
        <f t="shared" si="42"/>
        <v>6.8308041840646358E-2</v>
      </c>
      <c r="AX291" s="805">
        <f t="shared" si="43"/>
        <v>1.1104922839607368E-216</v>
      </c>
    </row>
    <row r="292" spans="2:50" ht="11.1" customHeight="1" x14ac:dyDescent="0.2">
      <c r="B292" s="182">
        <v>37403</v>
      </c>
      <c r="C292" s="433">
        <f>ND代替値</f>
        <v>0.18518518518518517</v>
      </c>
      <c r="D292" s="177">
        <v>387</v>
      </c>
      <c r="E292" s="799">
        <f t="shared" ref="E292:E341" si="44">ND代替値*2.71828^(-(0.69315/2.062)*(B292-事故日Cb)/365.25)</f>
        <v>8.9702006640664814E-5</v>
      </c>
      <c r="F292" s="195">
        <v>6.0999999999999999E-2</v>
      </c>
      <c r="G292" s="178"/>
      <c r="H292" s="212"/>
      <c r="I292" s="215"/>
      <c r="J292" s="503"/>
      <c r="K292" s="182">
        <v>37403</v>
      </c>
      <c r="L292" s="433">
        <f>ND代替値2</f>
        <v>0.20499999999999999</v>
      </c>
      <c r="M292" s="177">
        <v>333</v>
      </c>
      <c r="N292" s="799">
        <f t="shared" ref="N292:N316" si="45">ND代替値2*2.71828^(-(0.69315/2.062)*(B292-事故日Cb)/365.25)</f>
        <v>8.7459456474648192E-5</v>
      </c>
      <c r="O292" s="712">
        <v>5.8000000000000003E-2</v>
      </c>
      <c r="P292" s="728"/>
      <c r="Q292" s="433">
        <f>ND代替値</f>
        <v>0.215</v>
      </c>
      <c r="R292" s="177">
        <v>345</v>
      </c>
      <c r="S292" s="435">
        <f t="shared" ref="S292:S316" si="46">ND代替値*2.71828^(-(0.69315/2.062)*(B292-事故日Cb)/365.25)</f>
        <v>1.0539985780278116E-4</v>
      </c>
      <c r="T292" s="708">
        <v>5.8000000000000003E-2</v>
      </c>
      <c r="U292" s="728"/>
      <c r="V292" s="182">
        <v>37362</v>
      </c>
      <c r="W292" s="433">
        <f>ND代替値</f>
        <v>0.17499999999999999</v>
      </c>
      <c r="X292" s="191">
        <v>388</v>
      </c>
      <c r="Y292" s="799">
        <f t="shared" si="35"/>
        <v>9.0822699591430365E-5</v>
      </c>
      <c r="Z292" s="224">
        <v>8.5999999999999993E-2</v>
      </c>
      <c r="AA292" s="178"/>
      <c r="AB292" s="437">
        <f>ND代替値*2.71828^(-(0.69315/28.799)*(V292-調査開始日)/365.25)</f>
        <v>5.504908420370257E-3</v>
      </c>
      <c r="AC292" s="215">
        <v>1.6</v>
      </c>
      <c r="AD292" s="203">
        <f>ND代替値</f>
        <v>4.1379310344827587E-3</v>
      </c>
      <c r="AE292" s="182">
        <v>37362</v>
      </c>
      <c r="AF292" s="433">
        <f>ND代替値2</f>
        <v>0.17499999999999999</v>
      </c>
      <c r="AG292" s="191">
        <v>393</v>
      </c>
      <c r="AH292" s="799">
        <f t="shared" si="36"/>
        <v>2.258923553940704E-4</v>
      </c>
      <c r="AI292" s="709">
        <f>ND代替値2*2.71828^(-(0.69315/30.07)*(V292-事故日Cb)/365.25)</f>
        <v>3.356137097066568E-2</v>
      </c>
      <c r="AJ292" s="728"/>
      <c r="AK292" s="182"/>
      <c r="AL292" s="220"/>
      <c r="AM292" s="191"/>
      <c r="AN292" s="782"/>
      <c r="AO292" s="688"/>
      <c r="AP292" s="728"/>
      <c r="AR292" s="485">
        <f t="shared" si="37"/>
        <v>0.69019880048125426</v>
      </c>
      <c r="AS292" s="485">
        <f t="shared" si="38"/>
        <v>4.4851003320332409E-3</v>
      </c>
      <c r="AT292" s="486">
        <f t="shared" si="39"/>
        <v>6.4948873177182044E-33</v>
      </c>
      <c r="AU292" s="487">
        <f t="shared" si="40"/>
        <v>199.99999825384143</v>
      </c>
      <c r="AV292" s="488">
        <f t="shared" si="41"/>
        <v>0.40485131617751408</v>
      </c>
      <c r="AW292" s="486">
        <f t="shared" si="42"/>
        <v>6.7899655648536283E-2</v>
      </c>
      <c r="AX292" s="805">
        <f t="shared" si="43"/>
        <v>4.6091883094172767E-220</v>
      </c>
    </row>
    <row r="293" spans="2:50" ht="11.1" customHeight="1" x14ac:dyDescent="0.2">
      <c r="B293" s="182">
        <v>37496</v>
      </c>
      <c r="C293" s="206">
        <v>0.78</v>
      </c>
      <c r="D293" s="177">
        <v>266</v>
      </c>
      <c r="E293" s="799">
        <f t="shared" si="44"/>
        <v>8.2343668486234569E-5</v>
      </c>
      <c r="F293" s="178">
        <v>7.3999999999999996E-2</v>
      </c>
      <c r="G293" s="178"/>
      <c r="H293" s="223">
        <v>2.8000000000000001E-2</v>
      </c>
      <c r="I293" s="215">
        <v>2.7</v>
      </c>
      <c r="J293" s="500">
        <v>0.01</v>
      </c>
      <c r="K293" s="182">
        <v>37496</v>
      </c>
      <c r="L293" s="443">
        <v>0.6</v>
      </c>
      <c r="M293" s="177">
        <v>303</v>
      </c>
      <c r="N293" s="799">
        <f t="shared" si="45"/>
        <v>8.0285076774078693E-5</v>
      </c>
      <c r="O293" s="708">
        <v>9.4E-2</v>
      </c>
      <c r="P293" s="718"/>
      <c r="Q293" s="441">
        <v>0.97</v>
      </c>
      <c r="R293" s="177">
        <v>347</v>
      </c>
      <c r="S293" s="435">
        <f t="shared" si="46"/>
        <v>9.6753810471325604E-5</v>
      </c>
      <c r="T293" s="708">
        <v>5.8000000000000003E-2</v>
      </c>
      <c r="U293" s="718"/>
      <c r="V293" s="182">
        <v>37454</v>
      </c>
      <c r="W293" s="773">
        <v>0.61</v>
      </c>
      <c r="X293" s="191">
        <v>298</v>
      </c>
      <c r="Y293" s="799">
        <f t="shared" si="35"/>
        <v>8.3449196221390041E-5</v>
      </c>
      <c r="Z293" s="224">
        <v>7.2999999999999995E-2</v>
      </c>
      <c r="AA293" s="178"/>
      <c r="AB293" s="214"/>
      <c r="AC293" s="215"/>
      <c r="AD293" s="216"/>
      <c r="AE293" s="182">
        <v>37454</v>
      </c>
      <c r="AF293" s="188">
        <v>0.75</v>
      </c>
      <c r="AG293" s="191">
        <v>300</v>
      </c>
      <c r="AH293" s="799">
        <f t="shared" si="36"/>
        <v>2.0755312906345729E-4</v>
      </c>
      <c r="AI293" s="731">
        <v>5.5E-2</v>
      </c>
      <c r="AJ293" s="718"/>
      <c r="AK293" s="182"/>
      <c r="AL293" s="220"/>
      <c r="AM293" s="191"/>
      <c r="AN293" s="782"/>
      <c r="AO293" s="688"/>
      <c r="AP293" s="718"/>
      <c r="AR293" s="485">
        <f t="shared" si="37"/>
        <v>0.68615968237147384</v>
      </c>
      <c r="AS293" s="485">
        <f t="shared" si="38"/>
        <v>4.1171834243117281E-3</v>
      </c>
      <c r="AT293" s="486">
        <f t="shared" si="39"/>
        <v>1.937410685280354E-33</v>
      </c>
      <c r="AU293" s="487">
        <f t="shared" si="40"/>
        <v>199.99999822620012</v>
      </c>
      <c r="AV293" s="488">
        <f t="shared" si="41"/>
        <v>0.39909761063873689</v>
      </c>
      <c r="AW293" s="486">
        <f t="shared" si="42"/>
        <v>6.7484816482361973E-2</v>
      </c>
      <c r="AX293" s="805">
        <f t="shared" si="43"/>
        <v>1.612152352354874E-223</v>
      </c>
    </row>
    <row r="294" spans="2:50" ht="11.1" customHeight="1" x14ac:dyDescent="0.2">
      <c r="B294" s="182">
        <v>37567</v>
      </c>
      <c r="C294" s="433">
        <f>ND代替値</f>
        <v>0.18518518518518517</v>
      </c>
      <c r="D294" s="177">
        <v>387</v>
      </c>
      <c r="E294" s="799">
        <f t="shared" si="44"/>
        <v>7.7135025616214973E-5</v>
      </c>
      <c r="F294" s="195">
        <v>0.06</v>
      </c>
      <c r="G294" s="178"/>
      <c r="H294" s="219"/>
      <c r="I294" s="215"/>
      <c r="J294" s="502"/>
      <c r="K294" s="182">
        <v>37567</v>
      </c>
      <c r="L294" s="433">
        <f>ND代替値2</f>
        <v>0.20499999999999999</v>
      </c>
      <c r="M294" s="177">
        <v>384</v>
      </c>
      <c r="N294" s="799">
        <f t="shared" si="45"/>
        <v>7.5206649975809596E-5</v>
      </c>
      <c r="O294" s="708">
        <v>6.9000000000000006E-2</v>
      </c>
      <c r="P294" s="718"/>
      <c r="Q294" s="433">
        <f>ND代替値</f>
        <v>0.215</v>
      </c>
      <c r="R294" s="177">
        <v>405</v>
      </c>
      <c r="S294" s="435">
        <f t="shared" si="46"/>
        <v>9.0633655099052598E-5</v>
      </c>
      <c r="T294" s="708">
        <v>0.12</v>
      </c>
      <c r="U294" s="718"/>
      <c r="V294" s="182">
        <v>37559</v>
      </c>
      <c r="W294" s="183">
        <v>1.1000000000000001</v>
      </c>
      <c r="X294" s="191">
        <v>372</v>
      </c>
      <c r="Y294" s="799">
        <f t="shared" si="35"/>
        <v>7.5762418638289545E-5</v>
      </c>
      <c r="Z294" s="434">
        <f>0.022*2.71828^(-(0.69315/30.02)*(V294-事故日Cb)/365.25)</f>
        <v>1.5026084025384634E-2</v>
      </c>
      <c r="AA294" s="178"/>
      <c r="AB294" s="214"/>
      <c r="AC294" s="215"/>
      <c r="AD294" s="216"/>
      <c r="AE294" s="182">
        <v>37559</v>
      </c>
      <c r="AF294" s="188">
        <v>0.95</v>
      </c>
      <c r="AG294" s="191">
        <v>404</v>
      </c>
      <c r="AH294" s="799">
        <f t="shared" si="36"/>
        <v>1.8843473353625864E-4</v>
      </c>
      <c r="AI294" s="688">
        <v>0.1</v>
      </c>
      <c r="AJ294" s="718"/>
      <c r="AK294" s="182">
        <v>37589</v>
      </c>
      <c r="AL294" s="433">
        <f>ND代替値2</f>
        <v>0.21</v>
      </c>
      <c r="AM294" s="191">
        <v>367</v>
      </c>
      <c r="AN294" s="799">
        <f>ND代替値2*2.71828^(-(0.69315/2.062)*(AK294-事故日Cb)/365.25)</f>
        <v>7.5588941582239731E-5</v>
      </c>
      <c r="AO294" s="709">
        <f>ND代替値2*2.71828^(-(0.69315/30.07)*(AK294-事故日Cb)/365.25)</f>
        <v>1.3642884032363925E-2</v>
      </c>
      <c r="AP294" s="718"/>
      <c r="AR294" s="485">
        <f t="shared" si="37"/>
        <v>0.68309197320625159</v>
      </c>
      <c r="AS294" s="485">
        <f t="shared" si="38"/>
        <v>3.8567512808107486E-3</v>
      </c>
      <c r="AT294" s="486">
        <f t="shared" si="39"/>
        <v>7.6939274730262717E-34</v>
      </c>
      <c r="AU294" s="487">
        <f t="shared" si="40"/>
        <v>199.99999820509763</v>
      </c>
      <c r="AV294" s="488">
        <f t="shared" si="41"/>
        <v>0.39476010218645541</v>
      </c>
      <c r="AW294" s="486">
        <f t="shared" si="42"/>
        <v>6.7169818211427743E-2</v>
      </c>
      <c r="AX294" s="805">
        <f t="shared" si="43"/>
        <v>3.7049961031113495E-226</v>
      </c>
    </row>
    <row r="295" spans="2:50" ht="11.1" customHeight="1" x14ac:dyDescent="0.2">
      <c r="B295" s="182">
        <v>37699</v>
      </c>
      <c r="C295" s="433">
        <f>ND代替値</f>
        <v>0.18518518518518517</v>
      </c>
      <c r="D295" s="177">
        <v>417</v>
      </c>
      <c r="E295" s="799">
        <f t="shared" si="44"/>
        <v>6.8311126179669839E-5</v>
      </c>
      <c r="F295" s="195">
        <v>0.06</v>
      </c>
      <c r="G295" s="178"/>
      <c r="H295" s="212">
        <v>4.2000000000000003E-2</v>
      </c>
      <c r="I295" s="215">
        <v>1.6</v>
      </c>
      <c r="J295" s="503">
        <v>2.7E-2</v>
      </c>
      <c r="K295" s="182">
        <v>37699</v>
      </c>
      <c r="L295" s="433">
        <f>ND代替値2</f>
        <v>0.20499999999999999</v>
      </c>
      <c r="M295" s="177">
        <v>364</v>
      </c>
      <c r="N295" s="799">
        <f t="shared" si="45"/>
        <v>6.6603348025178093E-5</v>
      </c>
      <c r="O295" s="709">
        <f>ND代替値2*2.71828^(-(0.69315/30.07)*(B295-事故日Cb)/365.25)</f>
        <v>1.3209788130547448E-2</v>
      </c>
      <c r="P295" s="640"/>
      <c r="Q295" s="433">
        <f>ND代替値</f>
        <v>0.215</v>
      </c>
      <c r="R295" s="177">
        <v>408</v>
      </c>
      <c r="S295" s="435">
        <f t="shared" si="46"/>
        <v>8.026557326111206E-5</v>
      </c>
      <c r="T295" s="731">
        <v>5.8999999999999997E-2</v>
      </c>
      <c r="U295" s="640"/>
      <c r="V295" s="182">
        <v>37656</v>
      </c>
      <c r="W295" s="433">
        <f>ND代替値</f>
        <v>0.17499999999999999</v>
      </c>
      <c r="X295" s="191">
        <v>430</v>
      </c>
      <c r="Y295" s="799">
        <f t="shared" si="35"/>
        <v>6.9291998955166306E-5</v>
      </c>
      <c r="Z295" s="224">
        <v>4.7E-2</v>
      </c>
      <c r="AA295" s="178"/>
      <c r="AB295" s="214"/>
      <c r="AC295" s="215"/>
      <c r="AD295" s="216"/>
      <c r="AE295" s="182">
        <v>37656</v>
      </c>
      <c r="AF295" s="433">
        <f>ND代替値2</f>
        <v>0.17499999999999999</v>
      </c>
      <c r="AG295" s="191">
        <v>454</v>
      </c>
      <c r="AH295" s="799">
        <f t="shared" si="36"/>
        <v>1.723416384269521E-4</v>
      </c>
      <c r="AI295" s="709">
        <f>ND代替値2*2.71828^(-(0.69315/30.07)*(V295-事故日Cb)/365.25)</f>
        <v>3.2944396114853107E-2</v>
      </c>
      <c r="AJ295" s="640"/>
      <c r="AK295" s="182"/>
      <c r="AL295" s="220"/>
      <c r="AM295" s="191"/>
      <c r="AN295" s="782"/>
      <c r="AO295" s="688"/>
      <c r="AP295" s="640"/>
      <c r="AR295" s="485">
        <f t="shared" si="37"/>
        <v>0.67742503233576656</v>
      </c>
      <c r="AS295" s="485">
        <f t="shared" si="38"/>
        <v>3.4155563089834917E-3</v>
      </c>
      <c r="AT295" s="486">
        <f t="shared" si="39"/>
        <v>1.3819429759378276E-34</v>
      </c>
      <c r="AU295" s="487">
        <f t="shared" si="40"/>
        <v>199.99999816586478</v>
      </c>
      <c r="AV295" s="488">
        <f t="shared" si="41"/>
        <v>0.3868209042665996</v>
      </c>
      <c r="AW295" s="486">
        <f t="shared" si="42"/>
        <v>6.6588090209502585E-2</v>
      </c>
      <c r="AX295" s="805">
        <f t="shared" si="43"/>
        <v>4.6045531237770427E-231</v>
      </c>
    </row>
    <row r="296" spans="2:50" ht="11.1" customHeight="1" x14ac:dyDescent="0.2">
      <c r="B296" s="182">
        <v>37771</v>
      </c>
      <c r="C296" s="433">
        <f>ND代替値</f>
        <v>0.18518518518518517</v>
      </c>
      <c r="D296" s="177">
        <v>362</v>
      </c>
      <c r="E296" s="799">
        <f t="shared" si="44"/>
        <v>6.3931245238568814E-5</v>
      </c>
      <c r="F296" s="434">
        <f>ND代替値*2.71828^(-(0.69315/30.07)*(B296-事故日Cb)/365.25)</f>
        <v>1.348707628136989E-2</v>
      </c>
      <c r="G296" s="178"/>
      <c r="H296" s="212"/>
      <c r="I296" s="215"/>
      <c r="J296" s="503"/>
      <c r="K296" s="182">
        <v>37771</v>
      </c>
      <c r="L296" s="433">
        <f>ND代替値2</f>
        <v>0.20499999999999999</v>
      </c>
      <c r="M296" s="177">
        <v>316</v>
      </c>
      <c r="N296" s="799">
        <f t="shared" si="45"/>
        <v>6.2332964107604581E-5</v>
      </c>
      <c r="O296" s="709">
        <f>ND代替値2*2.71828^(-(0.69315/30.07)*(B296-事故日Cb)/365.25)</f>
        <v>1.3149899374335642E-2</v>
      </c>
      <c r="P296" s="640"/>
      <c r="Q296" s="433">
        <f>ND代替値</f>
        <v>0.215</v>
      </c>
      <c r="R296" s="177">
        <v>313</v>
      </c>
      <c r="S296" s="435">
        <f t="shared" si="46"/>
        <v>7.5119213155318344E-5</v>
      </c>
      <c r="T296" s="709">
        <f>ND代替値*2.71828^(-(0.69315/30.07)*(B296-事故日Cb)/365.25)</f>
        <v>1.7870376072815105E-2</v>
      </c>
      <c r="U296" s="640"/>
      <c r="V296" s="182">
        <v>37727</v>
      </c>
      <c r="W296" s="433">
        <f>ND代替値</f>
        <v>0.17499999999999999</v>
      </c>
      <c r="X296" s="191">
        <v>330</v>
      </c>
      <c r="Y296" s="799">
        <f t="shared" si="35"/>
        <v>6.4908938509328109E-5</v>
      </c>
      <c r="Z296" s="224">
        <v>7.0000000000000007E-2</v>
      </c>
      <c r="AA296" s="178"/>
      <c r="AB296" s="214">
        <v>3.5000000000000003E-2</v>
      </c>
      <c r="AC296" s="215">
        <v>1.4</v>
      </c>
      <c r="AD296" s="216">
        <v>2.5000000000000001E-2</v>
      </c>
      <c r="AE296" s="182">
        <v>37727</v>
      </c>
      <c r="AF296" s="433">
        <f>ND代替値2</f>
        <v>0.17499999999999999</v>
      </c>
      <c r="AG296" s="191">
        <v>342</v>
      </c>
      <c r="AH296" s="799">
        <f t="shared" si="36"/>
        <v>1.6144018039499557E-4</v>
      </c>
      <c r="AI296" s="709">
        <f>ND代替値2*2.71828^(-(0.69315/30.07)*(V296-事故日Cb)/365.25)</f>
        <v>3.2797107038416907E-2</v>
      </c>
      <c r="AJ296" s="640"/>
      <c r="AK296" s="182"/>
      <c r="AL296" s="220"/>
      <c r="AM296" s="191"/>
      <c r="AN296" s="782"/>
      <c r="AO296" s="688"/>
      <c r="AP296" s="640"/>
      <c r="AR296" s="485">
        <f t="shared" si="37"/>
        <v>0.67435381406849448</v>
      </c>
      <c r="AS296" s="485">
        <f t="shared" si="38"/>
        <v>3.1965622619284403E-3</v>
      </c>
      <c r="AT296" s="486">
        <f t="shared" si="39"/>
        <v>5.4171092743298266E-35</v>
      </c>
      <c r="AU296" s="487">
        <f t="shared" si="40"/>
        <v>199.99999814446505</v>
      </c>
      <c r="AV296" s="488">
        <f t="shared" si="41"/>
        <v>0.38255793767075547</v>
      </c>
      <c r="AW296" s="486">
        <f t="shared" si="42"/>
        <v>6.6272910313623506E-2</v>
      </c>
      <c r="AX296" s="805">
        <f t="shared" si="43"/>
        <v>9.714166069435573E-234</v>
      </c>
    </row>
    <row r="297" spans="2:50" ht="11.1" customHeight="1" x14ac:dyDescent="0.2">
      <c r="B297" s="182">
        <v>37840</v>
      </c>
      <c r="C297" s="433">
        <f>ND代替値</f>
        <v>0.18518518518518517</v>
      </c>
      <c r="D297" s="177">
        <v>372</v>
      </c>
      <c r="E297" s="799">
        <f t="shared" si="44"/>
        <v>5.999761365412643E-5</v>
      </c>
      <c r="F297" s="195">
        <v>5.8999999999999997E-2</v>
      </c>
      <c r="G297" s="178"/>
      <c r="H297" s="223">
        <v>3.4000000000000002E-2</v>
      </c>
      <c r="I297" s="215">
        <v>2.1</v>
      </c>
      <c r="J297" s="500">
        <v>1.6E-2</v>
      </c>
      <c r="K297" s="182">
        <v>37840</v>
      </c>
      <c r="L297" s="433">
        <f>ND代替値2</f>
        <v>0.20499999999999999</v>
      </c>
      <c r="M297" s="177">
        <v>285</v>
      </c>
      <c r="N297" s="799">
        <f t="shared" si="45"/>
        <v>5.8497673312773272E-5</v>
      </c>
      <c r="O297" s="714">
        <v>9.0999999999999998E-2</v>
      </c>
      <c r="P297" s="634"/>
      <c r="Q297" s="774">
        <v>0.82</v>
      </c>
      <c r="R297" s="177">
        <v>326</v>
      </c>
      <c r="S297" s="435">
        <f t="shared" si="46"/>
        <v>7.049719604359855E-5</v>
      </c>
      <c r="T297" s="714">
        <v>7.1999999999999995E-2</v>
      </c>
      <c r="U297" s="634"/>
      <c r="V297" s="182">
        <v>37837</v>
      </c>
      <c r="W297" s="433">
        <f>ND代替値</f>
        <v>0.17499999999999999</v>
      </c>
      <c r="X297" s="191">
        <v>293</v>
      </c>
      <c r="Y297" s="799">
        <f t="shared" si="35"/>
        <v>5.8659409642282208E-5</v>
      </c>
      <c r="Z297" s="224">
        <v>7.5999999999999998E-2</v>
      </c>
      <c r="AA297" s="178"/>
      <c r="AB297" s="214"/>
      <c r="AC297" s="215"/>
      <c r="AD297" s="216"/>
      <c r="AE297" s="182">
        <v>37837</v>
      </c>
      <c r="AF297" s="433">
        <f>ND代替値2</f>
        <v>0.17499999999999999</v>
      </c>
      <c r="AG297" s="191">
        <v>357</v>
      </c>
      <c r="AH297" s="799">
        <f t="shared" si="36"/>
        <v>1.4589648039234292E-4</v>
      </c>
      <c r="AI297" s="709">
        <f>ND代替値2*2.71828^(-(0.69315/30.07)*(V297-事故日Cb)/365.25)</f>
        <v>3.2570212050933189E-2</v>
      </c>
      <c r="AJ297" s="634"/>
      <c r="AK297" s="182"/>
      <c r="AL297" s="220"/>
      <c r="AM297" s="191"/>
      <c r="AN297" s="782"/>
      <c r="AO297" s="688"/>
      <c r="AP297" s="634"/>
      <c r="AR297" s="485">
        <f t="shared" si="37"/>
        <v>0.67142362977246461</v>
      </c>
      <c r="AS297" s="485">
        <f t="shared" si="38"/>
        <v>2.9998806827063215E-3</v>
      </c>
      <c r="AT297" s="486">
        <f t="shared" si="39"/>
        <v>2.2079632557134793E-35</v>
      </c>
      <c r="AU297" s="487">
        <f t="shared" si="40"/>
        <v>199.99999812395697</v>
      </c>
      <c r="AV297" s="488">
        <f t="shared" si="41"/>
        <v>0.37851668607394873</v>
      </c>
      <c r="AW297" s="486">
        <f t="shared" si="42"/>
        <v>6.5972262894774383E-2</v>
      </c>
      <c r="AX297" s="805">
        <f t="shared" si="43"/>
        <v>2.6491983429611185E-236</v>
      </c>
    </row>
    <row r="298" spans="2:50" ht="11.1" customHeight="1" x14ac:dyDescent="0.2">
      <c r="B298" s="182">
        <v>37931</v>
      </c>
      <c r="C298" s="206">
        <v>1</v>
      </c>
      <c r="D298" s="177">
        <v>371</v>
      </c>
      <c r="E298" s="799">
        <f t="shared" si="44"/>
        <v>5.5177424700472622E-5</v>
      </c>
      <c r="F298" s="178">
        <v>9.2999999999999999E-2</v>
      </c>
      <c r="G298" s="178"/>
      <c r="H298" s="212"/>
      <c r="I298" s="215"/>
      <c r="J298" s="503"/>
      <c r="K298" s="182">
        <v>37931</v>
      </c>
      <c r="L298" s="445">
        <v>1.2</v>
      </c>
      <c r="M298" s="177">
        <v>353</v>
      </c>
      <c r="N298" s="799">
        <f t="shared" si="45"/>
        <v>5.3797989082960811E-5</v>
      </c>
      <c r="O298" s="712">
        <v>6.2E-2</v>
      </c>
      <c r="P298" s="728"/>
      <c r="Q298" s="441">
        <v>0.79</v>
      </c>
      <c r="R298" s="177">
        <v>363</v>
      </c>
      <c r="S298" s="435">
        <f t="shared" si="46"/>
        <v>6.4833474023055326E-5</v>
      </c>
      <c r="T298" s="714">
        <v>8.3000000000000004E-2</v>
      </c>
      <c r="U298" s="728"/>
      <c r="V298" s="182">
        <v>37915</v>
      </c>
      <c r="W298" s="773">
        <v>0.56000000000000005</v>
      </c>
      <c r="X298" s="191">
        <v>313</v>
      </c>
      <c r="Y298" s="799">
        <f t="shared" si="35"/>
        <v>5.4596049159807956E-5</v>
      </c>
      <c r="Z298" s="224">
        <v>5.7000000000000002E-2</v>
      </c>
      <c r="AA298" s="178"/>
      <c r="AB298" s="214"/>
      <c r="AC298" s="215"/>
      <c r="AD298" s="216"/>
      <c r="AE298" s="182">
        <v>37915</v>
      </c>
      <c r="AF298" s="206">
        <v>0.79</v>
      </c>
      <c r="AG298" s="191">
        <v>406</v>
      </c>
      <c r="AH298" s="799">
        <f t="shared" si="36"/>
        <v>1.3579017355131722E-4</v>
      </c>
      <c r="AI298" s="731">
        <v>8.2000000000000003E-2</v>
      </c>
      <c r="AJ298" s="728"/>
      <c r="AK298" s="182">
        <v>37931</v>
      </c>
      <c r="AL298" s="210">
        <v>0.64</v>
      </c>
      <c r="AM298" s="191">
        <v>348</v>
      </c>
      <c r="AN298" s="799">
        <f>ND代替値2*2.71828^(-(0.69315/2.062)*(AK298-事故日Cb)/365.25)</f>
        <v>5.5177424700472622E-5</v>
      </c>
      <c r="AO298" s="731">
        <v>8.6999999999999994E-2</v>
      </c>
      <c r="AP298" s="728"/>
      <c r="AR298" s="485">
        <f t="shared" si="37"/>
        <v>0.66757864344321982</v>
      </c>
      <c r="AS298" s="485">
        <f t="shared" si="38"/>
        <v>2.7588712350236312E-3</v>
      </c>
      <c r="AT298" s="486">
        <f t="shared" si="39"/>
        <v>6.7598920331608089E-36</v>
      </c>
      <c r="AU298" s="487">
        <f t="shared" si="40"/>
        <v>199.99999809691008</v>
      </c>
      <c r="AV298" s="488">
        <f t="shared" si="41"/>
        <v>0.37325212419205783</v>
      </c>
      <c r="AW298" s="486">
        <f t="shared" si="42"/>
        <v>6.5577841381545626E-2</v>
      </c>
      <c r="AX298" s="805">
        <f t="shared" si="43"/>
        <v>1.0995712629495171E-239</v>
      </c>
    </row>
    <row r="299" spans="2:50" ht="11.1" customHeight="1" x14ac:dyDescent="0.2">
      <c r="B299" s="182">
        <v>38022</v>
      </c>
      <c r="C299" s="433">
        <f>ND代替値</f>
        <v>0.18518518518518517</v>
      </c>
      <c r="D299" s="177">
        <v>439</v>
      </c>
      <c r="E299" s="799">
        <f t="shared" si="44"/>
        <v>5.0744488174604907E-5</v>
      </c>
      <c r="F299" s="434">
        <f>ND代替値*2.71828^(-(0.69315/30.07)*(B299-事故日Cb)/365.25)</f>
        <v>1.3275113517601923E-2</v>
      </c>
      <c r="G299" s="178"/>
      <c r="H299" s="223">
        <v>2.9000000000000001E-2</v>
      </c>
      <c r="I299" s="215">
        <v>1.8</v>
      </c>
      <c r="J299" s="500">
        <v>1.6E-2</v>
      </c>
      <c r="K299" s="182">
        <v>38022</v>
      </c>
      <c r="L299" s="433">
        <f>ND代替値2</f>
        <v>0.20499999999999999</v>
      </c>
      <c r="M299" s="177">
        <v>457</v>
      </c>
      <c r="N299" s="799">
        <f t="shared" si="45"/>
        <v>4.9475875970239781E-5</v>
      </c>
      <c r="O299" s="709">
        <f>ND代替値2*2.71828^(-(0.69315/30.07)*(B299-事故日Cb)/365.25)</f>
        <v>1.2943235679661875E-2</v>
      </c>
      <c r="P299" s="640"/>
      <c r="Q299" s="433">
        <f>ND代替値</f>
        <v>0.215</v>
      </c>
      <c r="R299" s="177">
        <v>504</v>
      </c>
      <c r="S299" s="435">
        <f t="shared" si="46"/>
        <v>5.9624773605160763E-5</v>
      </c>
      <c r="T299" s="731">
        <v>7.2999999999999995E-2</v>
      </c>
      <c r="U299" s="640"/>
      <c r="V299" s="182">
        <v>38015</v>
      </c>
      <c r="W299" s="433">
        <f>ND代替値</f>
        <v>0.17499999999999999</v>
      </c>
      <c r="X299" s="191">
        <v>468</v>
      </c>
      <c r="Y299" s="799">
        <f t="shared" si="35"/>
        <v>4.9795647119155306E-5</v>
      </c>
      <c r="Z299" s="434">
        <f>0.022*2.71828^(-(0.69315/30.02)*(V299-事故日Cb)/365.25)</f>
        <v>1.4599119163147956E-2</v>
      </c>
      <c r="AA299" s="178"/>
      <c r="AB299" s="214"/>
      <c r="AC299" s="215"/>
      <c r="AD299" s="216"/>
      <c r="AE299" s="182">
        <v>38015</v>
      </c>
      <c r="AF299" s="773">
        <v>0.53</v>
      </c>
      <c r="AG299" s="191">
        <v>460</v>
      </c>
      <c r="AH299" s="799">
        <f t="shared" si="36"/>
        <v>1.2385071206559142E-4</v>
      </c>
      <c r="AI299" s="709">
        <f>ND代替値2*2.71828^(-(0.69315/30.07)*(V299-事故日Cb)/365.25)</f>
        <v>3.2206375115363138E-2</v>
      </c>
      <c r="AJ299" s="640"/>
      <c r="AK299" s="182"/>
      <c r="AL299" s="220"/>
      <c r="AM299" s="191"/>
      <c r="AN299" s="782"/>
      <c r="AO299" s="688"/>
      <c r="AP299" s="640"/>
      <c r="AR299" s="485">
        <f t="shared" si="37"/>
        <v>0.6637556758800961</v>
      </c>
      <c r="AS299" s="485">
        <f t="shared" si="38"/>
        <v>2.5372244087302452E-3</v>
      </c>
      <c r="AT299" s="486">
        <f t="shared" si="39"/>
        <v>2.0696060127696918E-36</v>
      </c>
      <c r="AU299" s="487">
        <f t="shared" si="40"/>
        <v>199.99999806986321</v>
      </c>
      <c r="AV299" s="488">
        <f t="shared" si="41"/>
        <v>0.36806078394828212</v>
      </c>
      <c r="AW299" s="486">
        <f t="shared" si="42"/>
        <v>6.5185777955235072E-2</v>
      </c>
      <c r="AX299" s="805">
        <f t="shared" si="43"/>
        <v>4.5638597257797067E-243</v>
      </c>
    </row>
    <row r="300" spans="2:50" ht="11.1" customHeight="1" x14ac:dyDescent="0.2">
      <c r="B300" s="182">
        <v>38114</v>
      </c>
      <c r="C300" s="433">
        <f>ND代替値</f>
        <v>0.18518518518518517</v>
      </c>
      <c r="D300" s="177">
        <v>332</v>
      </c>
      <c r="E300" s="799">
        <f t="shared" si="44"/>
        <v>4.662476198005641E-5</v>
      </c>
      <c r="F300" s="195">
        <v>5.7000000000000002E-2</v>
      </c>
      <c r="G300" s="178"/>
      <c r="H300" s="212"/>
      <c r="I300" s="215"/>
      <c r="J300" s="503"/>
      <c r="K300" s="182">
        <v>38114</v>
      </c>
      <c r="L300" s="433">
        <f>ND代替値2</f>
        <v>0.20499999999999999</v>
      </c>
      <c r="M300" s="177">
        <v>273</v>
      </c>
      <c r="N300" s="799">
        <f t="shared" si="45"/>
        <v>4.5459142930554998E-5</v>
      </c>
      <c r="O300" s="709">
        <f>ND代替値2*2.71828^(-(0.69315/30.07)*(B300-事故日Cb)/365.25)</f>
        <v>1.2868302565561641E-2</v>
      </c>
      <c r="P300" s="640"/>
      <c r="Q300" s="433">
        <f>ND代替値</f>
        <v>0.215</v>
      </c>
      <c r="R300" s="177">
        <v>330</v>
      </c>
      <c r="S300" s="435">
        <f t="shared" si="46"/>
        <v>5.4784095326566284E-5</v>
      </c>
      <c r="T300" s="709">
        <f>ND代替値*2.71828^(-(0.69315/30.07)*(B300-事故日Cb)/365.25)</f>
        <v>1.7487693230122229E-2</v>
      </c>
      <c r="U300" s="640"/>
      <c r="V300" s="182">
        <v>38091</v>
      </c>
      <c r="W300" s="433">
        <f>ND代替値</f>
        <v>0.17499999999999999</v>
      </c>
      <c r="X300" s="191">
        <v>410</v>
      </c>
      <c r="Y300" s="799">
        <f t="shared" si="35"/>
        <v>4.6431670157288078E-5</v>
      </c>
      <c r="Z300" s="434">
        <f>0.022*2.71828^(-(0.69315/30.02)*(V300-事故日Cb)/365.25)</f>
        <v>1.4529147302420645E-2</v>
      </c>
      <c r="AA300" s="178"/>
      <c r="AB300" s="214">
        <v>2.4E-2</v>
      </c>
      <c r="AC300" s="215">
        <v>1.4</v>
      </c>
      <c r="AD300" s="216">
        <v>1.7000000000000001E-2</v>
      </c>
      <c r="AE300" s="182">
        <v>38091</v>
      </c>
      <c r="AF300" s="433">
        <f>ND代替値2</f>
        <v>0.17499999999999999</v>
      </c>
      <c r="AG300" s="191">
        <v>368</v>
      </c>
      <c r="AH300" s="799">
        <f t="shared" si="36"/>
        <v>1.1548389757069086E-4</v>
      </c>
      <c r="AI300" s="709">
        <f>ND代替値2*2.71828^(-(0.69315/30.07)*(V300-事故日Cb)/365.25)</f>
        <v>3.2052269803143491E-2</v>
      </c>
      <c r="AJ300" s="640"/>
      <c r="AK300" s="182"/>
      <c r="AL300" s="220"/>
      <c r="AM300" s="191"/>
      <c r="AN300" s="782"/>
      <c r="AO300" s="688"/>
      <c r="AP300" s="640"/>
      <c r="AR300" s="485">
        <f t="shared" si="37"/>
        <v>0.65991295208008416</v>
      </c>
      <c r="AS300" s="485">
        <f t="shared" si="38"/>
        <v>2.3312380990028205E-3</v>
      </c>
      <c r="AT300" s="486">
        <f t="shared" si="39"/>
        <v>6.2544146642246505E-37</v>
      </c>
      <c r="AU300" s="487">
        <f t="shared" si="40"/>
        <v>199.99999804251908</v>
      </c>
      <c r="AV300" s="488">
        <f t="shared" si="41"/>
        <v>0.36288579002233873</v>
      </c>
      <c r="AW300" s="486">
        <f t="shared" si="42"/>
        <v>6.4791788854941676E-2</v>
      </c>
      <c r="AX300" s="805">
        <f t="shared" si="43"/>
        <v>1.7389118039738862E-246</v>
      </c>
    </row>
    <row r="301" spans="2:50" ht="11.1" customHeight="1" x14ac:dyDescent="0.2">
      <c r="B301" s="182">
        <v>38202</v>
      </c>
      <c r="C301" s="773">
        <v>0.87</v>
      </c>
      <c r="D301" s="177">
        <v>264</v>
      </c>
      <c r="E301" s="799">
        <f t="shared" si="44"/>
        <v>4.2997496763758514E-5</v>
      </c>
      <c r="F301" s="178">
        <v>5.8000000000000003E-2</v>
      </c>
      <c r="G301" s="178"/>
      <c r="H301" s="437">
        <f>ND代替値*2.71828^(-(0.69315/28.799)*(B301-調査開始日)/365.25)</f>
        <v>5.7871965039071804E-3</v>
      </c>
      <c r="I301" s="215">
        <v>3.1</v>
      </c>
      <c r="J301" s="203">
        <f>ND代替値</f>
        <v>5.0000000000000001E-3</v>
      </c>
      <c r="K301" s="182">
        <v>38202</v>
      </c>
      <c r="L301" s="774">
        <v>1</v>
      </c>
      <c r="M301" s="177">
        <v>263</v>
      </c>
      <c r="N301" s="799">
        <f t="shared" si="45"/>
        <v>4.1922559344664549E-5</v>
      </c>
      <c r="O301" s="714">
        <v>7.4999999999999997E-2</v>
      </c>
      <c r="P301" s="634"/>
      <c r="Q301" s="433">
        <f>ND代替値</f>
        <v>0.215</v>
      </c>
      <c r="R301" s="177">
        <v>249</v>
      </c>
      <c r="S301" s="435">
        <f t="shared" si="46"/>
        <v>5.0522058697416253E-5</v>
      </c>
      <c r="T301" s="714">
        <v>7.0000000000000007E-2</v>
      </c>
      <c r="U301" s="634"/>
      <c r="V301" s="182">
        <v>38195</v>
      </c>
      <c r="W301" s="433">
        <f>ND代替値</f>
        <v>0.17499999999999999</v>
      </c>
      <c r="X301" s="191">
        <v>273</v>
      </c>
      <c r="Y301" s="799">
        <f t="shared" si="35"/>
        <v>4.219351210101774E-5</v>
      </c>
      <c r="Z301" s="224">
        <v>7.5999999999999998E-2</v>
      </c>
      <c r="AA301" s="178"/>
      <c r="AB301" s="214"/>
      <c r="AC301" s="215"/>
      <c r="AD301" s="216"/>
      <c r="AE301" s="182">
        <v>38195</v>
      </c>
      <c r="AF301" s="433">
        <f>ND代替値2</f>
        <v>0.17499999999999999</v>
      </c>
      <c r="AG301" s="191">
        <v>281</v>
      </c>
      <c r="AH301" s="799">
        <f t="shared" si="36"/>
        <v>1.0494283778971079E-4</v>
      </c>
      <c r="AI301" s="731">
        <v>0.08</v>
      </c>
      <c r="AJ301" s="634"/>
      <c r="AK301" s="182"/>
      <c r="AL301" s="220"/>
      <c r="AM301" s="191"/>
      <c r="AN301" s="782"/>
      <c r="AO301" s="688"/>
      <c r="AP301" s="634"/>
      <c r="AR301" s="485">
        <f t="shared" si="37"/>
        <v>0.65625812204798417</v>
      </c>
      <c r="AS301" s="485">
        <f t="shared" si="38"/>
        <v>2.1498748381879257E-3</v>
      </c>
      <c r="AT301" s="486">
        <f t="shared" si="39"/>
        <v>1.9910463086138113E-37</v>
      </c>
      <c r="AU301" s="487">
        <f t="shared" si="40"/>
        <v>199.99999801636389</v>
      </c>
      <c r="AV301" s="488">
        <f t="shared" si="41"/>
        <v>0.35800389447919584</v>
      </c>
      <c r="AW301" s="486">
        <f t="shared" si="42"/>
        <v>6.4417158167044034E-2</v>
      </c>
      <c r="AX301" s="805">
        <f t="shared" si="43"/>
        <v>9.3299083398792703E-250</v>
      </c>
    </row>
    <row r="302" spans="2:50" ht="11.1" customHeight="1" x14ac:dyDescent="0.2">
      <c r="B302" s="182">
        <v>38306</v>
      </c>
      <c r="C302" s="206">
        <v>2.1</v>
      </c>
      <c r="D302" s="177">
        <v>377</v>
      </c>
      <c r="E302" s="799">
        <f t="shared" si="44"/>
        <v>3.9072800824726534E-5</v>
      </c>
      <c r="F302" s="178">
        <v>7.2999999999999995E-2</v>
      </c>
      <c r="G302" s="178"/>
      <c r="H302" s="212"/>
      <c r="I302" s="215"/>
      <c r="J302" s="503"/>
      <c r="K302" s="182">
        <v>38306</v>
      </c>
      <c r="L302" s="446">
        <v>1.3</v>
      </c>
      <c r="M302" s="177">
        <v>396</v>
      </c>
      <c r="N302" s="799">
        <f t="shared" si="45"/>
        <v>3.8095980804108375E-5</v>
      </c>
      <c r="O302" s="712">
        <v>6.2E-2</v>
      </c>
      <c r="P302" s="728"/>
      <c r="Q302" s="702">
        <v>1.2</v>
      </c>
      <c r="R302" s="177">
        <v>413</v>
      </c>
      <c r="S302" s="435">
        <f t="shared" si="46"/>
        <v>4.5910540969053677E-5</v>
      </c>
      <c r="T302" s="731">
        <v>7.0000000000000007E-2</v>
      </c>
      <c r="U302" s="728"/>
      <c r="V302" s="182">
        <v>38286</v>
      </c>
      <c r="W302" s="206">
        <v>1.8</v>
      </c>
      <c r="X302" s="191">
        <v>360</v>
      </c>
      <c r="Y302" s="799">
        <f t="shared" si="35"/>
        <v>3.8803698930820163E-5</v>
      </c>
      <c r="Z302" s="224">
        <v>7.0000000000000007E-2</v>
      </c>
      <c r="AA302" s="178"/>
      <c r="AB302" s="214"/>
      <c r="AC302" s="215"/>
      <c r="AD302" s="216"/>
      <c r="AE302" s="182">
        <v>38286</v>
      </c>
      <c r="AF302" s="206">
        <v>1.5</v>
      </c>
      <c r="AG302" s="191">
        <v>419</v>
      </c>
      <c r="AH302" s="799">
        <f t="shared" si="36"/>
        <v>9.6511764007424503E-5</v>
      </c>
      <c r="AI302" s="731">
        <v>9.2999999999999999E-2</v>
      </c>
      <c r="AJ302" s="728"/>
      <c r="AK302" s="182">
        <v>38300</v>
      </c>
      <c r="AL302" s="220">
        <v>0.97</v>
      </c>
      <c r="AM302" s="191">
        <v>399</v>
      </c>
      <c r="AN302" s="799">
        <f>ND代替値2*2.71828^(-(0.69315/2.062)*(AK302-事故日Cb)/365.25)</f>
        <v>3.9289159089988846E-5</v>
      </c>
      <c r="AO302" s="731">
        <v>9.1999999999999998E-2</v>
      </c>
      <c r="AP302" s="728"/>
      <c r="AR302" s="485">
        <f t="shared" si="37"/>
        <v>0.65196486547633259</v>
      </c>
      <c r="AS302" s="485">
        <f t="shared" si="38"/>
        <v>1.9536400412363268E-3</v>
      </c>
      <c r="AT302" s="486">
        <f t="shared" si="39"/>
        <v>5.1474633994399289E-38</v>
      </c>
      <c r="AU302" s="487">
        <f t="shared" si="40"/>
        <v>199.99999798545315</v>
      </c>
      <c r="AV302" s="488">
        <f t="shared" si="41"/>
        <v>0.35231898558713848</v>
      </c>
      <c r="AW302" s="486">
        <f t="shared" si="42"/>
        <v>6.3977204539564986E-2</v>
      </c>
      <c r="AX302" s="805">
        <f t="shared" si="43"/>
        <v>1.2730896412442973E-253</v>
      </c>
    </row>
    <row r="303" spans="2:50" ht="11.1" customHeight="1" x14ac:dyDescent="0.2">
      <c r="B303" s="182">
        <v>38398</v>
      </c>
      <c r="C303" s="433">
        <f>ND代替値</f>
        <v>0.18518518518518517</v>
      </c>
      <c r="D303" s="177">
        <v>414</v>
      </c>
      <c r="E303" s="799">
        <f t="shared" si="44"/>
        <v>3.5900648600072568E-5</v>
      </c>
      <c r="F303" s="195">
        <v>6.0999999999999999E-2</v>
      </c>
      <c r="G303" s="178"/>
      <c r="H303" s="437">
        <f>ND代替値*2.71828^(-(0.69315/28.799)*(B303-調査開始日)/365.25)</f>
        <v>5.7129318724783917E-3</v>
      </c>
      <c r="I303" s="215">
        <v>1.9</v>
      </c>
      <c r="J303" s="203">
        <f>ND代替値</f>
        <v>5.0000000000000001E-3</v>
      </c>
      <c r="K303" s="182">
        <v>38398</v>
      </c>
      <c r="L303" s="433">
        <f>ND代替値2</f>
        <v>0.20499999999999999</v>
      </c>
      <c r="M303" s="177">
        <v>395</v>
      </c>
      <c r="N303" s="799">
        <f t="shared" si="45"/>
        <v>3.5003132385070751E-5</v>
      </c>
      <c r="O303" s="709">
        <f>ND代替値2*2.71828^(-(0.69315/30.07)*(B303-事故日Cb)/365.25)</f>
        <v>1.2639712858109997E-2</v>
      </c>
      <c r="P303" s="640"/>
      <c r="Q303" s="433">
        <f>ND代替値</f>
        <v>0.215</v>
      </c>
      <c r="R303" s="177">
        <v>384</v>
      </c>
      <c r="S303" s="435">
        <f t="shared" si="46"/>
        <v>4.2183262105085261E-5</v>
      </c>
      <c r="T303" s="709">
        <f>ND代替値*2.71828^(-(0.69315/30.07)*(B303-事故日Cb)/365.25)</f>
        <v>1.7177045678969997E-2</v>
      </c>
      <c r="U303" s="640"/>
      <c r="V303" s="182">
        <v>38385</v>
      </c>
      <c r="W303" s="433">
        <f>ND代替値</f>
        <v>0.17499999999999999</v>
      </c>
      <c r="X303" s="191">
        <v>447</v>
      </c>
      <c r="Y303" s="799">
        <f t="shared" si="35"/>
        <v>3.5424439644480758E-5</v>
      </c>
      <c r="Z303" s="434">
        <f>0.022*2.71828^(-(0.69315/30.02)*(V303-事故日Cb)/365.25)</f>
        <v>1.426161024317244E-2</v>
      </c>
      <c r="AA303" s="178"/>
      <c r="AB303" s="214"/>
      <c r="AC303" s="215"/>
      <c r="AD303" s="216"/>
      <c r="AE303" s="182">
        <v>38385</v>
      </c>
      <c r="AF303" s="433">
        <f>ND代替値2</f>
        <v>0.17499999999999999</v>
      </c>
      <c r="AG303" s="191">
        <v>447</v>
      </c>
      <c r="AH303" s="799">
        <f t="shared" si="36"/>
        <v>8.8106939628580347E-5</v>
      </c>
      <c r="AI303" s="709">
        <f>ND代替値2*2.71828^(-(0.69315/30.07)*(V303-事故日Cb)/365.25)</f>
        <v>3.1463037481330863E-2</v>
      </c>
      <c r="AJ303" s="640"/>
      <c r="AK303" s="182"/>
      <c r="AL303" s="220"/>
      <c r="AM303" s="191"/>
      <c r="AN303" s="782"/>
      <c r="AO303" s="688"/>
      <c r="AP303" s="640"/>
      <c r="AR303" s="485">
        <f t="shared" si="37"/>
        <v>0.64819040297999986</v>
      </c>
      <c r="AS303" s="485">
        <f t="shared" si="38"/>
        <v>1.7950324300036282E-3</v>
      </c>
      <c r="AT303" s="486">
        <f t="shared" si="39"/>
        <v>1.5555796789521301E-38</v>
      </c>
      <c r="AU303" s="487">
        <f t="shared" si="40"/>
        <v>199.99999795810905</v>
      </c>
      <c r="AV303" s="488">
        <f t="shared" si="41"/>
        <v>0.3473653238825431</v>
      </c>
      <c r="AW303" s="486">
        <f t="shared" si="42"/>
        <v>6.3590520173028159E-2</v>
      </c>
      <c r="AX303" s="805">
        <f t="shared" si="43"/>
        <v>4.8506981758699342E-257</v>
      </c>
    </row>
    <row r="304" spans="2:50" ht="11.1" customHeight="1" x14ac:dyDescent="0.2">
      <c r="B304" s="182">
        <v>38498</v>
      </c>
      <c r="C304" s="433">
        <f>ND代替値</f>
        <v>0.18518518518518517</v>
      </c>
      <c r="D304" s="177">
        <v>330</v>
      </c>
      <c r="E304" s="799">
        <f t="shared" si="44"/>
        <v>3.2744054863846461E-5</v>
      </c>
      <c r="F304" s="178">
        <v>6.4000000000000001E-2</v>
      </c>
      <c r="G304" s="178"/>
      <c r="H304" s="212"/>
      <c r="I304" s="215"/>
      <c r="J304" s="503"/>
      <c r="K304" s="182">
        <v>38498</v>
      </c>
      <c r="L304" s="433">
        <f>ND代替値2</f>
        <v>0.20499999999999999</v>
      </c>
      <c r="M304" s="177">
        <v>283</v>
      </c>
      <c r="N304" s="799">
        <f t="shared" si="45"/>
        <v>3.19254534922503E-5</v>
      </c>
      <c r="O304" s="708">
        <v>5.8000000000000003E-2</v>
      </c>
      <c r="P304" s="718"/>
      <c r="Q304" s="433">
        <f>ND代替値</f>
        <v>0.215</v>
      </c>
      <c r="R304" s="177">
        <v>328</v>
      </c>
      <c r="S304" s="435">
        <f t="shared" si="46"/>
        <v>3.8474264465019591E-5</v>
      </c>
      <c r="T304" s="731">
        <v>4.5999999999999999E-2</v>
      </c>
      <c r="U304" s="718"/>
      <c r="V304" s="182">
        <v>38467</v>
      </c>
      <c r="W304" s="433">
        <f>ND代替値</f>
        <v>0.17499999999999999</v>
      </c>
      <c r="X304" s="191">
        <v>358</v>
      </c>
      <c r="Y304" s="799">
        <f t="shared" si="35"/>
        <v>3.2849421369580182E-5</v>
      </c>
      <c r="Z304" s="434">
        <f>0.022*2.71828^(-(0.69315/30.02)*(V304-事故日Cb)/365.25)</f>
        <v>1.4187873610848367E-2</v>
      </c>
      <c r="AA304" s="178"/>
      <c r="AB304" s="214">
        <v>4.3999999999999997E-2</v>
      </c>
      <c r="AC304" s="215">
        <v>1.5</v>
      </c>
      <c r="AD304" s="216">
        <v>2.9000000000000001E-2</v>
      </c>
      <c r="AE304" s="182">
        <v>38467</v>
      </c>
      <c r="AF304" s="433">
        <f>ND代替値2</f>
        <v>0.17499999999999999</v>
      </c>
      <c r="AG304" s="191">
        <v>368</v>
      </c>
      <c r="AH304" s="799">
        <f t="shared" si="36"/>
        <v>8.1702406996135332E-5</v>
      </c>
      <c r="AI304" s="709">
        <f>ND代替値2*2.71828^(-(0.69315/30.07)*(V304-事故日Cb)/365.25)</f>
        <v>3.1300634307308471E-2</v>
      </c>
      <c r="AJ304" s="718"/>
      <c r="AK304" s="182"/>
      <c r="AL304" s="220"/>
      <c r="AM304" s="191"/>
      <c r="AN304" s="782"/>
      <c r="AO304" s="688"/>
      <c r="AP304" s="718"/>
      <c r="AR304" s="485">
        <f t="shared" si="37"/>
        <v>0.64411250677193754</v>
      </c>
      <c r="AS304" s="485">
        <f t="shared" si="38"/>
        <v>1.6372027431923229E-3</v>
      </c>
      <c r="AT304" s="486">
        <f t="shared" si="39"/>
        <v>4.2364283264000096E-39</v>
      </c>
      <c r="AU304" s="487">
        <f t="shared" si="40"/>
        <v>199.99999792838719</v>
      </c>
      <c r="AV304" s="488">
        <f t="shared" si="41"/>
        <v>0.3420598739826905</v>
      </c>
      <c r="AW304" s="486">
        <f t="shared" si="42"/>
        <v>6.3172861454112411E-2</v>
      </c>
      <c r="AX304" s="805">
        <f t="shared" si="43"/>
        <v>9.3205258078028722E-261</v>
      </c>
    </row>
    <row r="305" spans="2:50" ht="11.1" customHeight="1" x14ac:dyDescent="0.2">
      <c r="B305" s="182">
        <v>38593</v>
      </c>
      <c r="C305" s="206">
        <v>1.1000000000000001</v>
      </c>
      <c r="D305" s="177">
        <v>263</v>
      </c>
      <c r="E305" s="799">
        <f t="shared" si="44"/>
        <v>3.0002753615782329E-5</v>
      </c>
      <c r="F305" s="178">
        <v>7.0000000000000007E-2</v>
      </c>
      <c r="G305" s="178"/>
      <c r="H305" s="437">
        <f>ND代替値*2.71828^(-(0.69315/28.799)*(B305-調査開始日)/365.25)</f>
        <v>5.6399918883543168E-3</v>
      </c>
      <c r="I305" s="215">
        <v>2.2999999999999998</v>
      </c>
      <c r="J305" s="203">
        <f>ND代替値</f>
        <v>5.0000000000000001E-3</v>
      </c>
      <c r="K305" s="182">
        <v>38593</v>
      </c>
      <c r="L305" s="446">
        <v>0.54</v>
      </c>
      <c r="M305" s="177">
        <v>252</v>
      </c>
      <c r="N305" s="799">
        <f t="shared" si="45"/>
        <v>2.9252684775387768E-5</v>
      </c>
      <c r="O305" s="712">
        <v>5.2999999999999999E-2</v>
      </c>
      <c r="P305" s="728"/>
      <c r="Q305" s="774">
        <v>0.85</v>
      </c>
      <c r="R305" s="177">
        <v>260</v>
      </c>
      <c r="S305" s="435">
        <f t="shared" si="46"/>
        <v>3.5253235498544239E-5</v>
      </c>
      <c r="T305" s="708">
        <v>6.9000000000000006E-2</v>
      </c>
      <c r="U305" s="728"/>
      <c r="V305" s="182">
        <v>38553</v>
      </c>
      <c r="W305" s="433">
        <f>ND代替値</f>
        <v>0.17499999999999999</v>
      </c>
      <c r="X305" s="191">
        <v>340</v>
      </c>
      <c r="Y305" s="799">
        <f t="shared" ref="Y305:Y340" si="47">ND代替値*2.71828^(-(0.69315/2.062)*(V305-事故日Cb)/365.25)</f>
        <v>3.0349648492464213E-5</v>
      </c>
      <c r="Z305" s="192">
        <v>8.2000000000000003E-2</v>
      </c>
      <c r="AA305" s="178"/>
      <c r="AB305" s="214"/>
      <c r="AC305" s="215"/>
      <c r="AD305" s="216"/>
      <c r="AE305" s="182">
        <v>38553</v>
      </c>
      <c r="AF305" s="433">
        <f>ND代替値2</f>
        <v>0.17499999999999999</v>
      </c>
      <c r="AG305" s="191">
        <v>334</v>
      </c>
      <c r="AH305" s="799">
        <f t="shared" ref="AH305:AH316" si="48">ND代替値2*2.71828^(-(0.69315/2.062)*(V305-事故日Cb)/365.25)</f>
        <v>7.5485023173564833E-5</v>
      </c>
      <c r="AI305" s="688">
        <v>8.8999999999999996E-2</v>
      </c>
      <c r="AJ305" s="728"/>
      <c r="AK305" s="182"/>
      <c r="AL305" s="220"/>
      <c r="AM305" s="191"/>
      <c r="AN305" s="782"/>
      <c r="AO305" s="688"/>
      <c r="AP305" s="728"/>
      <c r="AR305" s="485">
        <f t="shared" si="37"/>
        <v>0.64026227068900854</v>
      </c>
      <c r="AS305" s="485">
        <f t="shared" si="38"/>
        <v>1.5001376807891164E-3</v>
      </c>
      <c r="AT305" s="486">
        <f t="shared" si="39"/>
        <v>1.2312665616202986E-39</v>
      </c>
      <c r="AU305" s="487">
        <f t="shared" si="40"/>
        <v>199.99999790015147</v>
      </c>
      <c r="AV305" s="488">
        <f t="shared" si="41"/>
        <v>0.33709477189551396</v>
      </c>
      <c r="AW305" s="486">
        <f t="shared" si="42"/>
        <v>6.277862679929358E-2</v>
      </c>
      <c r="AX305" s="805">
        <f t="shared" si="43"/>
        <v>2.7472283918491433E-264</v>
      </c>
    </row>
    <row r="306" spans="2:50" ht="11.1" customHeight="1" x14ac:dyDescent="0.2">
      <c r="B306" s="182">
        <v>38680</v>
      </c>
      <c r="C306" s="206">
        <v>1.3</v>
      </c>
      <c r="D306" s="177">
        <v>383</v>
      </c>
      <c r="E306" s="799">
        <f t="shared" si="44"/>
        <v>2.7694106542399004E-5</v>
      </c>
      <c r="F306" s="195">
        <v>5.8000000000000003E-2</v>
      </c>
      <c r="G306" s="178"/>
      <c r="H306" s="212"/>
      <c r="I306" s="215"/>
      <c r="J306" s="503"/>
      <c r="K306" s="182">
        <v>38680</v>
      </c>
      <c r="L306" s="446">
        <v>0.78</v>
      </c>
      <c r="M306" s="177">
        <v>399</v>
      </c>
      <c r="N306" s="799">
        <f t="shared" si="45"/>
        <v>2.7001753878839029E-5</v>
      </c>
      <c r="O306" s="712">
        <v>6.6000000000000003E-2</v>
      </c>
      <c r="P306" s="728"/>
      <c r="Q306" s="774">
        <v>0.67</v>
      </c>
      <c r="R306" s="177">
        <v>380</v>
      </c>
      <c r="S306" s="435">
        <f t="shared" si="46"/>
        <v>3.2540575187318832E-5</v>
      </c>
      <c r="T306" s="708">
        <v>7.8E-2</v>
      </c>
      <c r="U306" s="728"/>
      <c r="V306" s="182">
        <v>38651</v>
      </c>
      <c r="W306" s="183">
        <v>1.2</v>
      </c>
      <c r="X306" s="191">
        <v>356</v>
      </c>
      <c r="Y306" s="799">
        <f t="shared" si="47"/>
        <v>2.7732129953916756E-5</v>
      </c>
      <c r="Z306" s="195">
        <v>0.08</v>
      </c>
      <c r="AA306" s="178"/>
      <c r="AB306" s="214"/>
      <c r="AC306" s="215"/>
      <c r="AD306" s="216"/>
      <c r="AE306" s="182">
        <v>38651</v>
      </c>
      <c r="AF306" s="188">
        <v>1.3</v>
      </c>
      <c r="AG306" s="191">
        <v>382</v>
      </c>
      <c r="AH306" s="799">
        <f t="shared" si="48"/>
        <v>6.897478475717757E-5</v>
      </c>
      <c r="AI306" s="731">
        <v>7.6999999999999999E-2</v>
      </c>
      <c r="AJ306" s="728"/>
      <c r="AK306" s="182">
        <v>38670</v>
      </c>
      <c r="AL306" s="773">
        <v>0.72</v>
      </c>
      <c r="AM306" s="191">
        <v>376</v>
      </c>
      <c r="AN306" s="799">
        <f>ND代替値2*2.71828^(-(0.69315/2.062)*(AK306-事故日Cb)/365.25)</f>
        <v>2.7950162823174121E-5</v>
      </c>
      <c r="AO306" s="709">
        <f>ND代替値2*2.71828^(-(0.69315/30.07)*(AK306-事故日Cb)/365.25)</f>
        <v>1.274316893007661E-2</v>
      </c>
      <c r="AP306" s="728"/>
      <c r="AR306" s="485">
        <f t="shared" si="37"/>
        <v>0.63675645794610325</v>
      </c>
      <c r="AS306" s="485">
        <f t="shared" si="38"/>
        <v>1.3847053271199502E-3</v>
      </c>
      <c r="AT306" s="486">
        <f t="shared" si="39"/>
        <v>3.9709617061323004E-40</v>
      </c>
      <c r="AU306" s="487">
        <f t="shared" si="40"/>
        <v>199.99999787429343</v>
      </c>
      <c r="AV306" s="488">
        <f t="shared" si="41"/>
        <v>0.33261103144795956</v>
      </c>
      <c r="AW306" s="486">
        <f t="shared" si="42"/>
        <v>6.2419749434891404E-2</v>
      </c>
      <c r="AX306" s="805">
        <f t="shared" si="43"/>
        <v>1.6056771464599324E-267</v>
      </c>
    </row>
    <row r="307" spans="2:50" ht="11.1" customHeight="1" x14ac:dyDescent="0.2">
      <c r="B307" s="182">
        <v>38768</v>
      </c>
      <c r="C307" s="433">
        <f>ND代替値</f>
        <v>0.18518518518518517</v>
      </c>
      <c r="D307" s="177">
        <v>395</v>
      </c>
      <c r="E307" s="799">
        <f t="shared" si="44"/>
        <v>2.5539588962220035E-5</v>
      </c>
      <c r="F307" s="195">
        <v>5.6000000000000001E-2</v>
      </c>
      <c r="G307" s="178"/>
      <c r="H307" s="437">
        <f>ND代替値*2.71828^(-(0.69315/28.799)*(B307-調査開始日)/365.25)</f>
        <v>5.5753261653743377E-3</v>
      </c>
      <c r="I307" s="215">
        <v>2.1</v>
      </c>
      <c r="J307" s="203">
        <f>ND代替値</f>
        <v>5.0000000000000001E-3</v>
      </c>
      <c r="K307" s="182">
        <v>38768</v>
      </c>
      <c r="L307" s="433">
        <f>ND代替値2</f>
        <v>0.20499999999999999</v>
      </c>
      <c r="M307" s="177">
        <v>408</v>
      </c>
      <c r="N307" s="799">
        <f t="shared" si="45"/>
        <v>2.4901099238164535E-5</v>
      </c>
      <c r="O307" s="709">
        <f>ND代替値2*2.71828^(-(0.69315/30.07)*(B307-事故日Cb)/365.25)</f>
        <v>1.2347982596100072E-2</v>
      </c>
      <c r="P307" s="640"/>
      <c r="Q307" s="433">
        <f>ND代替値</f>
        <v>0.215</v>
      </c>
      <c r="R307" s="177">
        <v>410</v>
      </c>
      <c r="S307" s="435">
        <f t="shared" si="46"/>
        <v>3.0009017030608542E-5</v>
      </c>
      <c r="T307" s="731">
        <v>5.8000000000000003E-2</v>
      </c>
      <c r="U307" s="640"/>
      <c r="V307" s="182">
        <v>38747</v>
      </c>
      <c r="W307" s="433">
        <f>ND代替値</f>
        <v>0.17499999999999999</v>
      </c>
      <c r="X307" s="191">
        <v>405</v>
      </c>
      <c r="Y307" s="799">
        <f t="shared" si="47"/>
        <v>2.5387046854100399E-5</v>
      </c>
      <c r="Z307" s="195">
        <v>5.8000000000000003E-2</v>
      </c>
      <c r="AA307" s="178"/>
      <c r="AB307" s="214"/>
      <c r="AC307" s="215"/>
      <c r="AD307" s="216"/>
      <c r="AE307" s="182">
        <v>38747</v>
      </c>
      <c r="AF307" s="433">
        <f>ND代替値2</f>
        <v>0.17499999999999999</v>
      </c>
      <c r="AG307" s="191">
        <v>399</v>
      </c>
      <c r="AH307" s="799">
        <f t="shared" si="48"/>
        <v>6.3142142175583047E-5</v>
      </c>
      <c r="AI307" s="709">
        <f>ND代替値2*2.71828^(-(0.69315/30.07)*(V307-事故日Cb)/365.25)</f>
        <v>3.0752378939092127E-2</v>
      </c>
      <c r="AJ307" s="640"/>
      <c r="AK307" s="182"/>
      <c r="AL307" s="220"/>
      <c r="AM307" s="191"/>
      <c r="AN307" s="782"/>
      <c r="AO307" s="688"/>
      <c r="AP307" s="640"/>
      <c r="AR307" s="485">
        <f t="shared" si="37"/>
        <v>0.63322987672308062</v>
      </c>
      <c r="AS307" s="485">
        <f t="shared" si="38"/>
        <v>1.2769794481110018E-3</v>
      </c>
      <c r="AT307" s="486">
        <f t="shared" si="39"/>
        <v>1.2641260727188363E-40</v>
      </c>
      <c r="AU307" s="487">
        <f t="shared" si="40"/>
        <v>199.99999784813824</v>
      </c>
      <c r="AV307" s="488">
        <f t="shared" si="41"/>
        <v>0.32813642164875523</v>
      </c>
      <c r="AW307" s="486">
        <f t="shared" si="42"/>
        <v>6.2058834046036418E-2</v>
      </c>
      <c r="AX307" s="805">
        <f t="shared" si="43"/>
        <v>8.6150548668856164E-271</v>
      </c>
    </row>
    <row r="308" spans="2:50" ht="11.1" customHeight="1" x14ac:dyDescent="0.2">
      <c r="B308" s="182">
        <v>38853</v>
      </c>
      <c r="C308" s="433">
        <f>ND代替値</f>
        <v>0.18518518518518517</v>
      </c>
      <c r="D308" s="177">
        <v>380</v>
      </c>
      <c r="E308" s="799">
        <f t="shared" si="44"/>
        <v>2.3617805579156585E-5</v>
      </c>
      <c r="F308" s="434">
        <f>ND代替値*2.71828^(-(0.69315/30.07)*(B308-事故日Cb)/365.25)</f>
        <v>1.2596841301166211E-2</v>
      </c>
      <c r="G308" s="178"/>
      <c r="H308" s="212"/>
      <c r="I308" s="215"/>
      <c r="J308" s="503"/>
      <c r="K308" s="182">
        <v>38853</v>
      </c>
      <c r="L308" s="774">
        <v>0.52</v>
      </c>
      <c r="M308" s="177">
        <v>338</v>
      </c>
      <c r="N308" s="799">
        <f t="shared" si="45"/>
        <v>2.3027360439677669E-5</v>
      </c>
      <c r="O308" s="712">
        <v>5.8000000000000003E-2</v>
      </c>
      <c r="P308" s="728"/>
      <c r="Q308" s="774">
        <v>0.42</v>
      </c>
      <c r="R308" s="177">
        <v>315</v>
      </c>
      <c r="S308" s="435">
        <f t="shared" si="46"/>
        <v>2.7750921555508987E-5</v>
      </c>
      <c r="T308" s="709">
        <f>ND代替値*2.71828^(-(0.69315/30.07)*(B308-事故日Cb)/365.25)</f>
        <v>1.6690814724045228E-2</v>
      </c>
      <c r="U308" s="728"/>
      <c r="V308" s="182">
        <v>38834</v>
      </c>
      <c r="W308" s="433">
        <f>ND代替値</f>
        <v>0.17499999999999999</v>
      </c>
      <c r="X308" s="191">
        <v>337</v>
      </c>
      <c r="Y308" s="799">
        <f t="shared" si="47"/>
        <v>2.3433568444347604E-5</v>
      </c>
      <c r="Z308" s="434">
        <f>0.022*2.71828^(-(0.69315/30.02)*(V308-事故日Cb)/365.25)</f>
        <v>1.3862500788461619E-2</v>
      </c>
      <c r="AA308" s="178"/>
      <c r="AB308" s="214">
        <v>0.03</v>
      </c>
      <c r="AC308" s="215">
        <v>1.7</v>
      </c>
      <c r="AD308" s="216">
        <v>1.7999999999999999E-2</v>
      </c>
      <c r="AE308" s="182">
        <v>38834</v>
      </c>
      <c r="AF308" s="188">
        <v>0.56999999999999995</v>
      </c>
      <c r="AG308" s="191">
        <v>331</v>
      </c>
      <c r="AH308" s="799">
        <f t="shared" si="48"/>
        <v>5.8283490746197888E-5</v>
      </c>
      <c r="AI308" s="688">
        <v>7.6999999999999999E-2</v>
      </c>
      <c r="AJ308" s="728"/>
      <c r="AK308" s="182"/>
      <c r="AL308" s="220"/>
      <c r="AM308" s="191"/>
      <c r="AN308" s="782"/>
      <c r="AO308" s="688"/>
      <c r="AP308" s="728"/>
      <c r="AR308" s="485">
        <f t="shared" si="37"/>
        <v>0.62984206505831053</v>
      </c>
      <c r="AS308" s="485">
        <f t="shared" si="38"/>
        <v>1.1808902789578293E-3</v>
      </c>
      <c r="AT308" s="486">
        <f t="shared" si="39"/>
        <v>4.1843870613397042E-41</v>
      </c>
      <c r="AU308" s="487">
        <f t="shared" si="40"/>
        <v>199.99999782287466</v>
      </c>
      <c r="AV308" s="488">
        <f t="shared" si="41"/>
        <v>0.32387151770537875</v>
      </c>
      <c r="AW308" s="486">
        <f t="shared" si="42"/>
        <v>6.1712204058811643E-2</v>
      </c>
      <c r="AX308" s="805">
        <f t="shared" si="43"/>
        <v>5.975149617073849E-274</v>
      </c>
    </row>
    <row r="309" spans="2:50" ht="11.1" customHeight="1" x14ac:dyDescent="0.2">
      <c r="B309" s="182">
        <v>38932</v>
      </c>
      <c r="C309" s="206">
        <v>0.56999999999999995</v>
      </c>
      <c r="D309" s="177">
        <v>331</v>
      </c>
      <c r="E309" s="799">
        <f t="shared" si="44"/>
        <v>2.1961569452063766E-5</v>
      </c>
      <c r="F309" s="195">
        <v>0.06</v>
      </c>
      <c r="G309" s="178"/>
      <c r="H309" s="212">
        <v>4.4999999999999998E-2</v>
      </c>
      <c r="I309" s="215">
        <v>2.1</v>
      </c>
      <c r="J309" s="193">
        <f>H309/I309</f>
        <v>2.1428571428571425E-2</v>
      </c>
      <c r="K309" s="182">
        <v>38932</v>
      </c>
      <c r="L309" s="446">
        <v>0.66</v>
      </c>
      <c r="M309" s="177">
        <v>338</v>
      </c>
      <c r="N309" s="799">
        <f t="shared" si="45"/>
        <v>2.1412530215762173E-5</v>
      </c>
      <c r="O309" s="712">
        <v>5.6000000000000001E-2</v>
      </c>
      <c r="P309" s="728"/>
      <c r="Q309" s="225">
        <v>0.72</v>
      </c>
      <c r="R309" s="177">
        <v>332</v>
      </c>
      <c r="S309" s="435">
        <f t="shared" si="46"/>
        <v>2.5804844106174924E-5</v>
      </c>
      <c r="T309" s="731">
        <v>0.06</v>
      </c>
      <c r="U309" s="728"/>
      <c r="V309" s="182">
        <v>38910</v>
      </c>
      <c r="W309" s="183">
        <v>1.1000000000000001</v>
      </c>
      <c r="X309" s="191">
        <v>343</v>
      </c>
      <c r="Y309" s="799">
        <f t="shared" si="47"/>
        <v>2.1850498659302075E-5</v>
      </c>
      <c r="Z309" s="192">
        <v>7.5999999999999998E-2</v>
      </c>
      <c r="AA309" s="178"/>
      <c r="AB309" s="214"/>
      <c r="AC309" s="215"/>
      <c r="AD309" s="216"/>
      <c r="AE309" s="182">
        <v>38910</v>
      </c>
      <c r="AF309" s="188">
        <v>0.88</v>
      </c>
      <c r="AG309" s="191">
        <v>312</v>
      </c>
      <c r="AH309" s="799">
        <f t="shared" si="48"/>
        <v>5.4346112050059008E-5</v>
      </c>
      <c r="AI309" s="688">
        <v>5.3999999999999999E-2</v>
      </c>
      <c r="AJ309" s="728"/>
      <c r="AK309" s="182"/>
      <c r="AL309" s="220"/>
      <c r="AM309" s="191"/>
      <c r="AN309" s="782"/>
      <c r="AO309" s="688"/>
      <c r="AP309" s="728"/>
      <c r="AR309" s="485">
        <f t="shared" si="37"/>
        <v>0.62670964609372526</v>
      </c>
      <c r="AS309" s="485">
        <f t="shared" si="38"/>
        <v>1.0980784726031883E-3</v>
      </c>
      <c r="AT309" s="486">
        <f t="shared" si="39"/>
        <v>1.4975000865260757E-41</v>
      </c>
      <c r="AU309" s="487">
        <f t="shared" si="40"/>
        <v>199.99999779939438</v>
      </c>
      <c r="AV309" s="488">
        <f t="shared" si="41"/>
        <v>0.31995738229084447</v>
      </c>
      <c r="AW309" s="486">
        <f t="shared" si="42"/>
        <v>6.1391778227306626E-2</v>
      </c>
      <c r="AX309" s="805">
        <f t="shared" si="43"/>
        <v>6.925025094915E-277</v>
      </c>
    </row>
    <row r="310" spans="2:50" ht="11.1" customHeight="1" x14ac:dyDescent="0.2">
      <c r="B310" s="182">
        <v>39051</v>
      </c>
      <c r="C310" s="225">
        <v>2.2999999999999998</v>
      </c>
      <c r="D310" s="177">
        <v>462</v>
      </c>
      <c r="E310" s="799">
        <f t="shared" si="44"/>
        <v>1.9683361506319828E-5</v>
      </c>
      <c r="F310" s="195">
        <v>7.8E-2</v>
      </c>
      <c r="G310" s="178"/>
      <c r="H310" s="212"/>
      <c r="I310" s="215"/>
      <c r="J310" s="503"/>
      <c r="K310" s="182">
        <v>39051</v>
      </c>
      <c r="L310" s="446">
        <v>1</v>
      </c>
      <c r="M310" s="177">
        <v>492</v>
      </c>
      <c r="N310" s="799">
        <f t="shared" si="45"/>
        <v>1.9191277468661833E-5</v>
      </c>
      <c r="O310" s="712">
        <v>8.4000000000000005E-2</v>
      </c>
      <c r="P310" s="728"/>
      <c r="Q310" s="225">
        <v>1.3</v>
      </c>
      <c r="R310" s="177">
        <v>504</v>
      </c>
      <c r="S310" s="435">
        <f t="shared" si="46"/>
        <v>2.3127949769925797E-5</v>
      </c>
      <c r="T310" s="687"/>
      <c r="U310" s="728"/>
      <c r="V310" s="182">
        <v>39023</v>
      </c>
      <c r="W310" s="183">
        <v>0.56000000000000005</v>
      </c>
      <c r="X310" s="191">
        <v>378</v>
      </c>
      <c r="Y310" s="799">
        <f t="shared" si="47"/>
        <v>1.9692254435948778E-5</v>
      </c>
      <c r="Z310" s="192">
        <v>6.8000000000000005E-2</v>
      </c>
      <c r="AA310" s="178"/>
      <c r="AB310" s="214"/>
      <c r="AC310" s="215"/>
      <c r="AD310" s="216"/>
      <c r="AE310" s="182">
        <v>39023</v>
      </c>
      <c r="AF310" s="188">
        <v>0.85</v>
      </c>
      <c r="AG310" s="191">
        <v>402</v>
      </c>
      <c r="AH310" s="799">
        <f t="shared" si="48"/>
        <v>4.8978171289411065E-5</v>
      </c>
      <c r="AI310" s="688">
        <v>7.0000000000000007E-2</v>
      </c>
      <c r="AJ310" s="728"/>
      <c r="AK310" s="182">
        <v>39034</v>
      </c>
      <c r="AL310" s="220">
        <v>1.1000000000000001</v>
      </c>
      <c r="AM310" s="191">
        <v>367</v>
      </c>
      <c r="AN310" s="799">
        <f>ND代替値2*2.71828^(-(0.69315/2.062)*(AK310-事故日Cb)/365.25)</f>
        <v>1.9993744634440625E-5</v>
      </c>
      <c r="AO310" s="731">
        <v>7.6999999999999999E-2</v>
      </c>
      <c r="AP310" s="728"/>
      <c r="AR310" s="485">
        <f t="shared" si="37"/>
        <v>0.62202057486861384</v>
      </c>
      <c r="AS310" s="485">
        <f t="shared" si="38"/>
        <v>9.841680753159914E-4</v>
      </c>
      <c r="AT310" s="486">
        <f t="shared" si="39"/>
        <v>3.1852601082941239E-42</v>
      </c>
      <c r="AU310" s="487">
        <f t="shared" si="40"/>
        <v>199.99999776402538</v>
      </c>
      <c r="AV310" s="488">
        <f t="shared" si="41"/>
        <v>0.31415051870137511</v>
      </c>
      <c r="AW310" s="486">
        <f t="shared" si="42"/>
        <v>6.0912249309641425E-2</v>
      </c>
      <c r="AX310" s="805">
        <f t="shared" si="43"/>
        <v>2.6178718489218171E-281</v>
      </c>
    </row>
    <row r="311" spans="2:50" ht="11.1" customHeight="1" x14ac:dyDescent="0.2">
      <c r="B311" s="182">
        <v>39121</v>
      </c>
      <c r="C311" s="433">
        <f>ND代替値</f>
        <v>0.18518518518518517</v>
      </c>
      <c r="D311" s="177">
        <v>520</v>
      </c>
      <c r="E311" s="799">
        <f t="shared" si="44"/>
        <v>1.8455269178908017E-5</v>
      </c>
      <c r="F311" s="195">
        <v>8.1000000000000003E-2</v>
      </c>
      <c r="G311" s="178"/>
      <c r="H311" s="223">
        <v>3.7999999999999999E-2</v>
      </c>
      <c r="I311" s="215">
        <v>1.5</v>
      </c>
      <c r="J311" s="193">
        <f>H311/I311</f>
        <v>2.5333333333333333E-2</v>
      </c>
      <c r="K311" s="182">
        <v>39121</v>
      </c>
      <c r="L311" s="433">
        <f>ND代替値2</f>
        <v>0.20499999999999999</v>
      </c>
      <c r="M311" s="177">
        <v>423</v>
      </c>
      <c r="N311" s="799">
        <f t="shared" si="45"/>
        <v>1.7993887449435318E-5</v>
      </c>
      <c r="O311" s="709">
        <f>ND代替値2*2.71828^(-(0.69315/30.07)*(B311-事故日Cb)/365.25)</f>
        <v>1.2075934712462643E-2</v>
      </c>
      <c r="P311" s="640"/>
      <c r="Q311" s="433">
        <f>ND代替値</f>
        <v>0.215</v>
      </c>
      <c r="R311" s="177">
        <v>412</v>
      </c>
      <c r="S311" s="435">
        <f t="shared" si="46"/>
        <v>2.168494128521692E-5</v>
      </c>
      <c r="T311" s="731">
        <v>6.2E-2</v>
      </c>
      <c r="U311" s="640"/>
      <c r="V311" s="182">
        <v>39105</v>
      </c>
      <c r="W311" s="433">
        <f>ND代替値</f>
        <v>0.17499999999999999</v>
      </c>
      <c r="X311" s="191">
        <v>417</v>
      </c>
      <c r="Y311" s="799">
        <f t="shared" si="47"/>
        <v>1.8260815701688911E-5</v>
      </c>
      <c r="Z311" s="434">
        <f>0.022*2.71828^(-(0.69315/30.02)*(V311-事故日Cb)/365.25)</f>
        <v>1.3627038071369913E-2</v>
      </c>
      <c r="AA311" s="178"/>
      <c r="AB311" s="214"/>
      <c r="AC311" s="215"/>
      <c r="AD311" s="216"/>
      <c r="AE311" s="182">
        <v>39105</v>
      </c>
      <c r="AF311" s="433">
        <f>ND代替値2</f>
        <v>0.17499999999999999</v>
      </c>
      <c r="AG311" s="191">
        <v>398</v>
      </c>
      <c r="AH311" s="799">
        <f t="shared" si="48"/>
        <v>4.5417926232405758E-5</v>
      </c>
      <c r="AI311" s="709">
        <f>ND代替値2*2.71828^(-(0.69315/30.07)*(V311-事故日Cb)/365.25)</f>
        <v>3.0065360938154349E-2</v>
      </c>
      <c r="AJ311" s="640"/>
      <c r="AK311" s="182"/>
      <c r="AL311" s="220"/>
      <c r="AM311" s="191"/>
      <c r="AN311" s="782"/>
      <c r="AO311" s="688"/>
      <c r="AP311" s="640"/>
      <c r="AR311" s="485">
        <f t="shared" si="37"/>
        <v>0.61927870320321243</v>
      </c>
      <c r="AS311" s="485">
        <f t="shared" si="38"/>
        <v>9.2276345894540084E-4</v>
      </c>
      <c r="AT311" s="486">
        <f t="shared" si="39"/>
        <v>1.28150476112007E-42</v>
      </c>
      <c r="AU311" s="487">
        <f t="shared" si="40"/>
        <v>199.99999774322009</v>
      </c>
      <c r="AV311" s="488">
        <f t="shared" si="41"/>
        <v>0.31078406969750144</v>
      </c>
      <c r="AW311" s="486">
        <f t="shared" si="42"/>
        <v>6.0631925023379274E-2</v>
      </c>
      <c r="AX311" s="805">
        <f t="shared" si="43"/>
        <v>6.5538077198196885E-284</v>
      </c>
    </row>
    <row r="312" spans="2:50" ht="11.1" customHeight="1" x14ac:dyDescent="0.2">
      <c r="B312" s="182">
        <v>39217</v>
      </c>
      <c r="C312" s="773">
        <v>0.6</v>
      </c>
      <c r="D312" s="177">
        <v>384</v>
      </c>
      <c r="E312" s="799">
        <f t="shared" si="44"/>
        <v>1.6894655553992175E-5</v>
      </c>
      <c r="F312" s="195">
        <v>5.8000000000000003E-2</v>
      </c>
      <c r="G312" s="178"/>
      <c r="H312" s="212"/>
      <c r="I312" s="215"/>
      <c r="J312" s="503"/>
      <c r="K312" s="182">
        <v>39217</v>
      </c>
      <c r="L312" s="433">
        <f>ND代替値2</f>
        <v>0.20499999999999999</v>
      </c>
      <c r="M312" s="177">
        <v>353</v>
      </c>
      <c r="N312" s="799">
        <f t="shared" si="45"/>
        <v>1.647228916514237E-5</v>
      </c>
      <c r="O312" s="709">
        <f>ND代替値2*2.71828^(-(0.69315/30.07)*(B312-事故日Cb)/365.25)</f>
        <v>1.2002992266663447E-2</v>
      </c>
      <c r="P312" s="640"/>
      <c r="Q312" s="774">
        <v>0.61</v>
      </c>
      <c r="R312" s="177">
        <v>360</v>
      </c>
      <c r="S312" s="435">
        <f t="shared" si="46"/>
        <v>1.9851220275940802E-5</v>
      </c>
      <c r="T312" s="731">
        <v>5.6000000000000001E-2</v>
      </c>
      <c r="U312" s="640"/>
      <c r="V312" s="182">
        <v>39198</v>
      </c>
      <c r="W312" s="183">
        <v>0.53</v>
      </c>
      <c r="X312" s="191">
        <v>316</v>
      </c>
      <c r="Y312" s="799">
        <f t="shared" si="47"/>
        <v>1.6762864184873662E-5</v>
      </c>
      <c r="Z312" s="192">
        <v>6.0999999999999999E-2</v>
      </c>
      <c r="AA312" s="178"/>
      <c r="AB312" s="197">
        <f>ND代替値</f>
        <v>8.9999999999999993E-3</v>
      </c>
      <c r="AC312" s="215">
        <v>2.1</v>
      </c>
      <c r="AD312" s="203">
        <f>ND代替値</f>
        <v>4.1379310344827587E-3</v>
      </c>
      <c r="AE312" s="182">
        <v>39198</v>
      </c>
      <c r="AF312" s="188">
        <v>0.86</v>
      </c>
      <c r="AG312" s="191">
        <v>351</v>
      </c>
      <c r="AH312" s="799">
        <f t="shared" si="48"/>
        <v>4.1692251946993467E-5</v>
      </c>
      <c r="AI312" s="688">
        <v>5.5E-2</v>
      </c>
      <c r="AJ312" s="640"/>
      <c r="AK312" s="182"/>
      <c r="AL312" s="220"/>
      <c r="AM312" s="191"/>
      <c r="AN312" s="782"/>
      <c r="AO312" s="688"/>
      <c r="AP312" s="640"/>
      <c r="AR312" s="485">
        <f t="shared" si="37"/>
        <v>0.61553806495709984</v>
      </c>
      <c r="AS312" s="485">
        <f t="shared" si="38"/>
        <v>8.4473277769960865E-4</v>
      </c>
      <c r="AT312" s="486">
        <f t="shared" si="39"/>
        <v>3.6764064723482022E-43</v>
      </c>
      <c r="AU312" s="487">
        <f t="shared" si="40"/>
        <v>199.99999771468711</v>
      </c>
      <c r="AV312" s="488">
        <f t="shared" si="41"/>
        <v>0.30622580974948893</v>
      </c>
      <c r="AW312" s="486">
        <f t="shared" si="42"/>
        <v>6.0249576920632625E-2</v>
      </c>
      <c r="AX312" s="805">
        <f t="shared" si="43"/>
        <v>1.7733089665708644E-287</v>
      </c>
    </row>
    <row r="313" spans="2:50" ht="11.1" customHeight="1" x14ac:dyDescent="0.2">
      <c r="B313" s="182">
        <v>39318</v>
      </c>
      <c r="C313" s="206">
        <v>1.3</v>
      </c>
      <c r="D313" s="177">
        <v>297</v>
      </c>
      <c r="E313" s="799">
        <f t="shared" si="44"/>
        <v>1.5395004067316651E-5</v>
      </c>
      <c r="F313" s="178">
        <v>6.6000000000000003E-2</v>
      </c>
      <c r="G313" s="178"/>
      <c r="H313" s="223">
        <v>5.3999999999999999E-2</v>
      </c>
      <c r="I313" s="215">
        <v>2.2000000000000002</v>
      </c>
      <c r="J313" s="193">
        <f>H313/I313</f>
        <v>2.4545454545454544E-2</v>
      </c>
      <c r="K313" s="182">
        <v>39318</v>
      </c>
      <c r="L313" s="446">
        <v>0.81</v>
      </c>
      <c r="M313" s="177">
        <v>258</v>
      </c>
      <c r="N313" s="799">
        <f t="shared" si="45"/>
        <v>1.5010128965633734E-5</v>
      </c>
      <c r="O313" s="708">
        <v>0.08</v>
      </c>
      <c r="P313" s="718"/>
      <c r="Q313" s="774">
        <v>0.42</v>
      </c>
      <c r="R313" s="177">
        <v>260</v>
      </c>
      <c r="S313" s="435">
        <f t="shared" si="46"/>
        <v>1.8089129779097061E-5</v>
      </c>
      <c r="T313" s="708">
        <v>6.9000000000000006E-2</v>
      </c>
      <c r="U313" s="718"/>
      <c r="V313" s="182">
        <v>39303</v>
      </c>
      <c r="W313" s="183">
        <v>0.95</v>
      </c>
      <c r="X313" s="191">
        <v>208</v>
      </c>
      <c r="Y313" s="799">
        <f t="shared" si="47"/>
        <v>1.5218782102848536E-5</v>
      </c>
      <c r="Z313" s="192">
        <v>5.1999999999999998E-2</v>
      </c>
      <c r="AA313" s="178"/>
      <c r="AB313" s="214"/>
      <c r="AC313" s="215"/>
      <c r="AD313" s="216"/>
      <c r="AE313" s="182">
        <v>39303</v>
      </c>
      <c r="AF313" s="188">
        <v>0.72</v>
      </c>
      <c r="AG313" s="191">
        <v>256</v>
      </c>
      <c r="AH313" s="799">
        <f t="shared" si="48"/>
        <v>3.7851842666059178E-5</v>
      </c>
      <c r="AI313" s="688">
        <v>6.5000000000000002E-2</v>
      </c>
      <c r="AJ313" s="718"/>
      <c r="AK313" s="182"/>
      <c r="AL313" s="220"/>
      <c r="AM313" s="191"/>
      <c r="AN313" s="782"/>
      <c r="AO313" s="688"/>
      <c r="AP313" s="718"/>
      <c r="AR313" s="485">
        <f t="shared" si="37"/>
        <v>0.61162698972462137</v>
      </c>
      <c r="AS313" s="485">
        <f t="shared" si="38"/>
        <v>7.6975020336583246E-4</v>
      </c>
      <c r="AT313" s="486">
        <f t="shared" si="39"/>
        <v>9.8828499160487168E-44</v>
      </c>
      <c r="AU313" s="487">
        <f t="shared" si="40"/>
        <v>199.99999768466805</v>
      </c>
      <c r="AV313" s="488">
        <f t="shared" si="41"/>
        <v>0.30150229163247699</v>
      </c>
      <c r="AW313" s="486">
        <f t="shared" si="42"/>
        <v>5.9849917314061529E-2</v>
      </c>
      <c r="AX313" s="805">
        <f t="shared" si="43"/>
        <v>3.1279293310430748E-291</v>
      </c>
    </row>
    <row r="314" spans="2:50" ht="11.1" customHeight="1" x14ac:dyDescent="0.2">
      <c r="B314" s="182">
        <v>39413</v>
      </c>
      <c r="C314" s="206">
        <v>1.2</v>
      </c>
      <c r="D314" s="177">
        <v>403</v>
      </c>
      <c r="E314" s="799">
        <f t="shared" si="44"/>
        <v>1.4106148913635477E-5</v>
      </c>
      <c r="F314" s="195">
        <v>7.0000000000000007E-2</v>
      </c>
      <c r="G314" s="178"/>
      <c r="H314" s="212"/>
      <c r="I314" s="215"/>
      <c r="J314" s="503"/>
      <c r="K314" s="182">
        <v>39413</v>
      </c>
      <c r="L314" s="774">
        <v>0.68</v>
      </c>
      <c r="M314" s="177">
        <v>419</v>
      </c>
      <c r="N314" s="799">
        <f t="shared" si="45"/>
        <v>1.3753495190794589E-5</v>
      </c>
      <c r="O314" s="712">
        <v>6.8000000000000005E-2</v>
      </c>
      <c r="P314" s="728"/>
      <c r="Q314" s="225">
        <v>0.75</v>
      </c>
      <c r="R314" s="177">
        <v>421</v>
      </c>
      <c r="S314" s="435">
        <f t="shared" si="46"/>
        <v>1.6574724973521683E-5</v>
      </c>
      <c r="T314" s="708">
        <v>7.4999999999999997E-2</v>
      </c>
      <c r="U314" s="728"/>
      <c r="V314" s="182">
        <v>39366</v>
      </c>
      <c r="W314" s="183">
        <v>1.9</v>
      </c>
      <c r="X314" s="191">
        <v>309</v>
      </c>
      <c r="Y314" s="799">
        <f t="shared" si="47"/>
        <v>1.4361470240421919E-5</v>
      </c>
      <c r="Z314" s="192">
        <v>0.06</v>
      </c>
      <c r="AA314" s="178"/>
      <c r="AB314" s="214"/>
      <c r="AC314" s="215"/>
      <c r="AD314" s="216"/>
      <c r="AE314" s="182">
        <v>39366</v>
      </c>
      <c r="AF314" s="188">
        <v>0.77</v>
      </c>
      <c r="AG314" s="191">
        <v>290</v>
      </c>
      <c r="AH314" s="799">
        <f t="shared" si="48"/>
        <v>3.5719554187716057E-5</v>
      </c>
      <c r="AI314" s="688">
        <v>7.9000000000000001E-2</v>
      </c>
      <c r="AJ314" s="728"/>
      <c r="AK314" s="182">
        <v>39406</v>
      </c>
      <c r="AL314" s="221">
        <v>0.8</v>
      </c>
      <c r="AM314" s="191">
        <v>361</v>
      </c>
      <c r="AN314" s="799">
        <f>ND代替値2*2.71828^(-(0.69315/2.062)*(AK314-事故日Cb)/365.25)</f>
        <v>1.4197319395338522E-5</v>
      </c>
      <c r="AO314" s="731">
        <v>6.0999999999999999E-2</v>
      </c>
      <c r="AP314" s="728"/>
      <c r="AR314" s="485">
        <f t="shared" si="37"/>
        <v>0.6079709385218075</v>
      </c>
      <c r="AS314" s="485">
        <f t="shared" si="38"/>
        <v>7.0530744568177378E-4</v>
      </c>
      <c r="AT314" s="486">
        <f t="shared" si="39"/>
        <v>2.8723305807661214E-44</v>
      </c>
      <c r="AU314" s="487">
        <f t="shared" si="40"/>
        <v>199.99999765643227</v>
      </c>
      <c r="AV314" s="488">
        <f t="shared" si="41"/>
        <v>0.29712589506762105</v>
      </c>
      <c r="AW314" s="486">
        <f t="shared" si="42"/>
        <v>5.947641972427159E-2</v>
      </c>
      <c r="AX314" s="805">
        <f t="shared" si="43"/>
        <v>9.2195831470627264E-295</v>
      </c>
    </row>
    <row r="315" spans="2:50" ht="11.1" customHeight="1" x14ac:dyDescent="0.2">
      <c r="B315" s="182">
        <v>39499</v>
      </c>
      <c r="C315" s="433">
        <f>ND代替値</f>
        <v>0.18518518518518517</v>
      </c>
      <c r="D315" s="177">
        <v>443</v>
      </c>
      <c r="E315" s="799">
        <f t="shared" si="44"/>
        <v>1.3032700220030208E-5</v>
      </c>
      <c r="F315" s="195">
        <v>6.4000000000000001E-2</v>
      </c>
      <c r="G315" s="178"/>
      <c r="H315" s="437">
        <f>ND代替値*2.71828^(-(0.69315/28.799)*(B315-調査開始日)/365.25)</f>
        <v>5.3131284137501325E-3</v>
      </c>
      <c r="I315" s="215">
        <v>1.1000000000000001</v>
      </c>
      <c r="J315" s="203">
        <f>ND代替値</f>
        <v>5.0000000000000001E-3</v>
      </c>
      <c r="K315" s="182">
        <v>39499</v>
      </c>
      <c r="L315" s="433">
        <f>ND代替値2</f>
        <v>0.20499999999999999</v>
      </c>
      <c r="M315" s="177">
        <v>462</v>
      </c>
      <c r="N315" s="799">
        <f t="shared" si="45"/>
        <v>1.2706882714529452E-5</v>
      </c>
      <c r="O315" s="709">
        <f>ND代替値2*2.71828^(-(0.69315/30.07)*(B315-事故日Cb)/365.25)</f>
        <v>1.1791261958426299E-2</v>
      </c>
      <c r="P315" s="640"/>
      <c r="Q315" s="433">
        <f>ND代替値</f>
        <v>0.215</v>
      </c>
      <c r="R315" s="177">
        <f>ND代替値</f>
        <v>136.5</v>
      </c>
      <c r="S315" s="435">
        <f t="shared" si="46"/>
        <v>1.5313422758535495E-5</v>
      </c>
      <c r="T315" s="731">
        <v>6.8000000000000005E-2</v>
      </c>
      <c r="U315" s="640"/>
      <c r="V315" s="182">
        <v>39470</v>
      </c>
      <c r="W315" s="183">
        <v>0.6</v>
      </c>
      <c r="X315" s="191">
        <v>447</v>
      </c>
      <c r="Y315" s="799">
        <f t="shared" si="47"/>
        <v>1.3050593836597858E-5</v>
      </c>
      <c r="Z315" s="434">
        <f>0.022*2.71828^(-(0.69315/30.02)*(V315-事故日Cb)/365.25)</f>
        <v>1.3316210466855069E-2</v>
      </c>
      <c r="AA315" s="178"/>
      <c r="AB315" s="214"/>
      <c r="AC315" s="215"/>
      <c r="AD315" s="216"/>
      <c r="AE315" s="182">
        <v>39470</v>
      </c>
      <c r="AF315" s="433">
        <f>ND代替値2</f>
        <v>0.17499999999999999</v>
      </c>
      <c r="AG315" s="191">
        <v>442</v>
      </c>
      <c r="AH315" s="799">
        <f t="shared" si="48"/>
        <v>3.2459169285897239E-5</v>
      </c>
      <c r="AI315" s="709">
        <f>ND代替値2*2.71828^(-(0.69315/30.07)*(V315-事故日Cb)/365.25)</f>
        <v>2.9380708603922938E-2</v>
      </c>
      <c r="AJ315" s="640"/>
      <c r="AK315" s="182">
        <v>39470</v>
      </c>
      <c r="AL315" s="220"/>
      <c r="AM315" s="191"/>
      <c r="AN315" s="782"/>
      <c r="AO315" s="688"/>
      <c r="AP315" s="640"/>
      <c r="AR315" s="485">
        <f t="shared" si="37"/>
        <v>0.60468010043211795</v>
      </c>
      <c r="AS315" s="485">
        <f t="shared" si="38"/>
        <v>6.5163501100151038E-4</v>
      </c>
      <c r="AT315" s="486">
        <f t="shared" si="39"/>
        <v>9.3848418794630561E-45</v>
      </c>
      <c r="AU315" s="487">
        <f t="shared" si="40"/>
        <v>199.99999763087149</v>
      </c>
      <c r="AV315" s="488">
        <f t="shared" si="41"/>
        <v>0.29321891229190378</v>
      </c>
      <c r="AW315" s="486">
        <f t="shared" si="42"/>
        <v>5.9140316586673063E-2</v>
      </c>
      <c r="AX315" s="805">
        <f t="shared" si="43"/>
        <v>5.8700038180070625E-298</v>
      </c>
    </row>
    <row r="316" spans="2:50" ht="11.1" customHeight="1" thickBot="1" x14ac:dyDescent="0.25">
      <c r="B316" s="288">
        <v>39575</v>
      </c>
      <c r="C316" s="472">
        <f>ND代替値</f>
        <v>0.18518518518518517</v>
      </c>
      <c r="D316" s="370">
        <v>328</v>
      </c>
      <c r="E316" s="800">
        <f t="shared" si="44"/>
        <v>1.2152267776081934E-5</v>
      </c>
      <c r="F316" s="542">
        <v>5.7000000000000002E-2</v>
      </c>
      <c r="G316" s="371"/>
      <c r="H316" s="373"/>
      <c r="I316" s="378"/>
      <c r="J316" s="544"/>
      <c r="K316" s="288">
        <v>39575</v>
      </c>
      <c r="L316" s="472">
        <f>ND代替値2</f>
        <v>0.20499999999999999</v>
      </c>
      <c r="M316" s="370">
        <v>348</v>
      </c>
      <c r="N316" s="800">
        <f t="shared" si="45"/>
        <v>1.1848461081679885E-5</v>
      </c>
      <c r="O316" s="709">
        <f>ND代替値2*2.71828^(-(0.69315/30.07)*(B316-事故日Cb)/365.25)</f>
        <v>1.1734841572739985E-2</v>
      </c>
      <c r="P316" s="640"/>
      <c r="Q316" s="472">
        <f>ND代替値</f>
        <v>0.215</v>
      </c>
      <c r="R316" s="370">
        <v>344</v>
      </c>
      <c r="S316" s="469">
        <f t="shared" si="46"/>
        <v>1.4278914636896272E-5</v>
      </c>
      <c r="T316" s="732"/>
      <c r="U316" s="640"/>
      <c r="V316" s="288">
        <v>39566</v>
      </c>
      <c r="W316" s="472">
        <f>ND代替値</f>
        <v>0.17499999999999999</v>
      </c>
      <c r="X316" s="381">
        <v>372</v>
      </c>
      <c r="Y316" s="800">
        <f t="shared" si="47"/>
        <v>1.1947010119817713E-5</v>
      </c>
      <c r="Z316" s="473">
        <f>0.022*2.71828^(-(0.69315/30.02)*(V316-事故日Cb)/365.25)</f>
        <v>1.3235642803770663E-2</v>
      </c>
      <c r="AA316" s="371"/>
      <c r="AB316" s="470">
        <f>ND代替値*2.71828^(-(0.69315/28.799)*(V316-調査開始日)/365.25)</f>
        <v>4.7607502277803807E-3</v>
      </c>
      <c r="AC316" s="378">
        <v>3.2</v>
      </c>
      <c r="AD316" s="385">
        <f>ND代替値</f>
        <v>4.1379310344827587E-3</v>
      </c>
      <c r="AE316" s="288">
        <v>39566</v>
      </c>
      <c r="AF316" s="472">
        <f>ND代替値2</f>
        <v>0.17499999999999999</v>
      </c>
      <c r="AG316" s="381">
        <v>356</v>
      </c>
      <c r="AH316" s="800">
        <f t="shared" si="48"/>
        <v>2.9714358503136364E-5</v>
      </c>
      <c r="AI316" s="735">
        <f>ND代替値2*2.71828^(-(0.69315/30.07)*(V316-事故日Cb)/365.25)</f>
        <v>2.9203239878237305E-2</v>
      </c>
      <c r="AJ316" s="640"/>
      <c r="AK316" s="288">
        <v>39566</v>
      </c>
      <c r="AL316" s="382"/>
      <c r="AM316" s="381"/>
      <c r="AN316" s="801"/>
      <c r="AO316" s="736"/>
      <c r="AP316" s="640"/>
      <c r="AR316" s="485">
        <f t="shared" si="37"/>
        <v>0.60178674731999926</v>
      </c>
      <c r="AS316" s="485">
        <f t="shared" si="38"/>
        <v>6.0761338880409668E-4</v>
      </c>
      <c r="AT316" s="486">
        <f t="shared" si="39"/>
        <v>3.4922774314346702E-45</v>
      </c>
      <c r="AU316" s="487">
        <f t="shared" si="40"/>
        <v>199.99999760828288</v>
      </c>
      <c r="AV316" s="488">
        <f t="shared" si="41"/>
        <v>0.28980901235300399</v>
      </c>
      <c r="AW316" s="486">
        <f t="shared" si="42"/>
        <v>5.8844876447428821E-2</v>
      </c>
      <c r="AX316" s="805">
        <f>0.1*2.71828^(-(0.69315/0.022177)*(B316-事故日Cb)/365.25)</f>
        <v>8.7943119344646425E-301</v>
      </c>
    </row>
    <row r="317" spans="2:50" ht="11.1" customHeight="1" thickTop="1" x14ac:dyDescent="0.2">
      <c r="B317" s="811"/>
      <c r="C317" s="393"/>
      <c r="D317" s="370"/>
      <c r="E317" s="370"/>
      <c r="F317" s="684"/>
      <c r="G317" s="371"/>
      <c r="H317" s="373"/>
      <c r="I317" s="378"/>
      <c r="J317" s="544"/>
      <c r="K317" s="304" t="s">
        <v>31</v>
      </c>
      <c r="L317" s="703">
        <f>MAX(L197:L316)</f>
        <v>1.8</v>
      </c>
      <c r="M317" s="741">
        <f t="shared" ref="M317:O317" si="49">MAX(M197:M316)</f>
        <v>555.55555555555554</v>
      </c>
      <c r="N317" s="739">
        <f t="shared" si="49"/>
        <v>1.95E-2</v>
      </c>
      <c r="O317" s="739">
        <f t="shared" si="49"/>
        <v>0.22592592592592592</v>
      </c>
      <c r="P317" s="721"/>
      <c r="Q317" s="703">
        <f t="shared" ref="Q317:T317" si="50">MAX(Q197:Q316)</f>
        <v>1.7777777777777777</v>
      </c>
      <c r="R317" s="741">
        <f t="shared" si="50"/>
        <v>570.37037037037032</v>
      </c>
      <c r="S317" s="739">
        <f t="shared" si="50"/>
        <v>2.24844537593662E-2</v>
      </c>
      <c r="T317" s="739">
        <f t="shared" si="50"/>
        <v>0.22222222222222221</v>
      </c>
      <c r="U317" s="721"/>
      <c r="V317" s="288"/>
      <c r="W317" s="393"/>
      <c r="X317" s="381"/>
      <c r="Y317" s="381"/>
      <c r="Z317" s="375"/>
      <c r="AA317" s="371"/>
      <c r="AB317" s="685"/>
      <c r="AC317" s="378"/>
      <c r="AD317" s="385"/>
      <c r="AE317" s="304" t="s">
        <v>31</v>
      </c>
      <c r="AF317" s="703">
        <f>MAX(AF197:AF316)</f>
        <v>1.5</v>
      </c>
      <c r="AG317" s="741">
        <f t="shared" ref="AG317" si="51">MAX(AG197:AG316)</f>
        <v>477.77777777777777</v>
      </c>
      <c r="AH317" s="739">
        <f t="shared" ref="AH317" si="52">MAX(AH197:AH316)</f>
        <v>4.5223551312423858E-2</v>
      </c>
      <c r="AI317" s="739">
        <f t="shared" ref="AI317" si="53">MAX(AI197:AI316)</f>
        <v>0.29259259259259263</v>
      </c>
      <c r="AJ317" s="721"/>
      <c r="AK317" s="304" t="s">
        <v>31</v>
      </c>
      <c r="AL317" s="703">
        <f t="shared" ref="AL317" si="54">MAX(AL197:AL316)</f>
        <v>1.4444444444444444</v>
      </c>
      <c r="AM317" s="741">
        <f t="shared" ref="AM317" si="55">MAX(AM197:AM316)</f>
        <v>431</v>
      </c>
      <c r="AN317" s="739">
        <f t="shared" ref="AN317" si="56">MAX(AN197:AN316)</f>
        <v>1.6668239087962514E-2</v>
      </c>
      <c r="AO317" s="739">
        <f t="shared" ref="AO317" si="57">MAX(AO197:AO316)</f>
        <v>0.18888888888888888</v>
      </c>
      <c r="AP317" s="721"/>
      <c r="AR317" s="485"/>
      <c r="AS317" s="485"/>
      <c r="AT317" s="486"/>
      <c r="AU317" s="487"/>
      <c r="AV317" s="488"/>
      <c r="AW317" s="486"/>
      <c r="AX317" s="805" t="e">
        <f t="shared" si="43"/>
        <v>#NUM!</v>
      </c>
    </row>
    <row r="318" spans="2:50" ht="11.1" customHeight="1" x14ac:dyDescent="0.2">
      <c r="B318" s="813">
        <v>39773</v>
      </c>
      <c r="C318" s="393"/>
      <c r="D318" s="370"/>
      <c r="E318" s="370"/>
      <c r="F318" s="684"/>
      <c r="G318" s="371"/>
      <c r="H318" s="373"/>
      <c r="I318" s="378"/>
      <c r="J318" s="544"/>
      <c r="K318" s="308" t="s">
        <v>253</v>
      </c>
      <c r="L318" s="309">
        <f>L253/2</f>
        <v>0.20499999999999999</v>
      </c>
      <c r="M318" s="742">
        <f>M209/2</f>
        <v>104.44444444444444</v>
      </c>
      <c r="N318" s="310">
        <f>O318</f>
        <v>1.95E-2</v>
      </c>
      <c r="O318" s="689">
        <f>O243/2</f>
        <v>1.95E-2</v>
      </c>
      <c r="P318" s="722"/>
      <c r="Q318" s="704">
        <v>0.21</v>
      </c>
      <c r="R318" s="296">
        <v>98.518518518518519</v>
      </c>
      <c r="S318" s="310">
        <v>0.02</v>
      </c>
      <c r="T318" s="689">
        <v>0.02</v>
      </c>
      <c r="U318" s="722"/>
      <c r="V318" s="812">
        <f t="shared" ref="V318:V325" si="58">0.1*2.71828^(-(0.69315/0.022177)*(B318-事故日Cb)/365.25)</f>
        <v>3.8530217851091534E-308</v>
      </c>
      <c r="W318" s="393"/>
      <c r="X318" s="381"/>
      <c r="Y318" s="381"/>
      <c r="Z318" s="375"/>
      <c r="AA318" s="371"/>
      <c r="AB318" s="685"/>
      <c r="AC318" s="378"/>
      <c r="AD318" s="385"/>
      <c r="AE318" s="308" t="s">
        <v>253</v>
      </c>
      <c r="AF318" s="309">
        <f>AF256/2</f>
        <v>0.17499999999999999</v>
      </c>
      <c r="AG318" s="742">
        <f>AG209/2</f>
        <v>182.03703703703704</v>
      </c>
      <c r="AH318" s="310">
        <f>AI318</f>
        <v>4.8500000000000001E-2</v>
      </c>
      <c r="AI318" s="689">
        <f>AI243/2</f>
        <v>4.8500000000000001E-2</v>
      </c>
      <c r="AJ318" s="722"/>
      <c r="AK318" s="308" t="s">
        <v>253</v>
      </c>
      <c r="AL318" s="704">
        <v>0.21</v>
      </c>
      <c r="AM318" s="296">
        <v>98.518518518518519</v>
      </c>
      <c r="AN318" s="310">
        <v>0.02</v>
      </c>
      <c r="AO318" s="689">
        <v>0.02</v>
      </c>
      <c r="AP318" s="722"/>
      <c r="AR318" s="485"/>
      <c r="AS318" s="485"/>
      <c r="AT318" s="486"/>
      <c r="AU318" s="487"/>
      <c r="AV318" s="488"/>
      <c r="AW318" s="486"/>
      <c r="AX318" s="805">
        <f t="shared" si="43"/>
        <v>3.8530217851091534E-308</v>
      </c>
    </row>
    <row r="319" spans="2:50" ht="11.1" customHeight="1" x14ac:dyDescent="0.2">
      <c r="B319" s="813">
        <v>39774</v>
      </c>
      <c r="C319" s="393"/>
      <c r="D319" s="370"/>
      <c r="E319" s="370"/>
      <c r="F319" s="684"/>
      <c r="G319" s="371"/>
      <c r="H319" s="373"/>
      <c r="I319" s="378"/>
      <c r="J319" s="544"/>
      <c r="K319" s="311" t="s">
        <v>260</v>
      </c>
      <c r="L319" s="738">
        <f>IF(L318&lt;&gt;"",SMALL(L197:L316,L321+1),MIN(L197:L316))</f>
        <v>0.41</v>
      </c>
      <c r="M319" s="740">
        <f t="shared" ref="M319:O319" si="59">IF(M318&lt;&gt;"",SMALL(M197:M316,M321+1),MIN(M197:M316))</f>
        <v>208.88888888888889</v>
      </c>
      <c r="N319" s="738" t="e">
        <f t="shared" si="59"/>
        <v>#NUM!</v>
      </c>
      <c r="O319" s="738">
        <f t="shared" si="59"/>
        <v>3.9E-2</v>
      </c>
      <c r="P319" s="723"/>
      <c r="Q319" s="705">
        <f t="shared" ref="Q319:T319" si="60">IF(Q318&lt;&gt;"",SMALL(Q197:Q316,Q321+1),MIN(Q197:Q316))</f>
        <v>0.42</v>
      </c>
      <c r="R319" s="313">
        <f t="shared" si="60"/>
        <v>136.5</v>
      </c>
      <c r="S319" s="738">
        <f t="shared" si="60"/>
        <v>2.071615670825146E-2</v>
      </c>
      <c r="T319" s="738">
        <f t="shared" si="60"/>
        <v>2.0154618078148247E-2</v>
      </c>
      <c r="U319" s="723"/>
      <c r="V319" s="812">
        <f t="shared" si="58"/>
        <v>3.5370225297279948E-308</v>
      </c>
      <c r="W319" s="393"/>
      <c r="X319" s="381"/>
      <c r="Y319" s="381"/>
      <c r="Z319" s="375"/>
      <c r="AA319" s="371"/>
      <c r="AB319" s="685"/>
      <c r="AC319" s="378"/>
      <c r="AD319" s="385"/>
      <c r="AE319" s="311" t="s">
        <v>59</v>
      </c>
      <c r="AF319" s="738">
        <f>IF(AF318&lt;&gt;"",SMALL(AF197:AF316,AF321+1),MIN(AF197:AF316))</f>
        <v>0.26</v>
      </c>
      <c r="AG319" s="740">
        <f t="shared" ref="AG319" si="61">IF(AG318&lt;&gt;"",SMALL(AG197:AG316,AG321+1),MIN(AG197:AG316))</f>
        <v>256</v>
      </c>
      <c r="AH319" s="738" t="e">
        <f t="shared" ref="AH319" si="62">IF(AH318&lt;&gt;"",SMALL(AH197:AH316,AH321+1),MIN(AH197:AH316))</f>
        <v>#NUM!</v>
      </c>
      <c r="AI319" s="738">
        <f t="shared" ref="AI319" si="63">IF(AI318&lt;&gt;"",SMALL(AI197:AI316,AI321+1),MIN(AI197:AI316))</f>
        <v>5.0999999999999997E-2</v>
      </c>
      <c r="AJ319" s="723"/>
      <c r="AK319" s="311" t="s">
        <v>59</v>
      </c>
      <c r="AL319" s="705">
        <f t="shared" ref="AL319" si="64">IF(AL318&lt;&gt;"",SMALL(AL197:AL316,AL321+1),MIN(AL197:AL316))</f>
        <v>0.32500000000000001</v>
      </c>
      <c r="AM319" s="313">
        <f t="shared" ref="AM319" si="65">IF(AM318&lt;&gt;"",SMALL(AM197:AM316,AM321+1),MIN(AM197:AM316))</f>
        <v>240.37037037037038</v>
      </c>
      <c r="AN319" s="738" t="e">
        <f t="shared" ref="AN319" si="66">IF(AN318&lt;&gt;"",SMALL(AN197:AN316,AN321+1),MIN(AN197:AN316))</f>
        <v>#NUM!</v>
      </c>
      <c r="AO319" s="738">
        <f t="shared" ref="AO319" si="67">IF(AO318&lt;&gt;"",SMALL(AO197:AO316,AO321+1),MIN(AO197:AO316))</f>
        <v>6.0999999999999999E-2</v>
      </c>
      <c r="AP319" s="723"/>
      <c r="AR319" s="485"/>
      <c r="AS319" s="485"/>
      <c r="AT319" s="486"/>
      <c r="AU319" s="487"/>
      <c r="AV319" s="488"/>
      <c r="AW319" s="486"/>
      <c r="AX319" s="805">
        <f t="shared" si="43"/>
        <v>3.5370225297279948E-308</v>
      </c>
    </row>
    <row r="320" spans="2:50" ht="11.1" customHeight="1" x14ac:dyDescent="0.2">
      <c r="B320" s="813">
        <v>39775</v>
      </c>
      <c r="C320" s="393"/>
      <c r="D320" s="370"/>
      <c r="E320" s="370"/>
      <c r="F320" s="684"/>
      <c r="G320" s="371"/>
      <c r="H320" s="373"/>
      <c r="I320" s="378"/>
      <c r="J320" s="544"/>
      <c r="K320" s="311" t="s">
        <v>261</v>
      </c>
      <c r="L320" s="738">
        <f>IF(L318&lt;&gt;"",(SUM(L197:L316)-L318*L321)/(L322-L321),AVERAGE(L197:L316))</f>
        <v>0.81977977977977867</v>
      </c>
      <c r="M320" s="740">
        <f t="shared" ref="M320:O320" si="68">IF(M318&lt;&gt;"",(SUM(M197:M316)-M318*M321)/(M322-M321),AVERAGE(M197:M316))</f>
        <v>337.75984405458092</v>
      </c>
      <c r="N320" s="738" t="e">
        <f t="shared" si="68"/>
        <v>#DIV/0!</v>
      </c>
      <c r="O320" s="738">
        <f t="shared" si="68"/>
        <v>8.5466538873459008E-2</v>
      </c>
      <c r="P320" s="724"/>
      <c r="Q320" s="706">
        <f t="shared" ref="Q320:T320" si="69">IF(Q318&lt;&gt;"",(SUM(Q197:Q316)-Q318*Q321)/(Q322-Q321),AVERAGE(Q197:Q316))</f>
        <v>0.90630158730158883</v>
      </c>
      <c r="R320" s="299">
        <f t="shared" si="69"/>
        <v>351.4732722413134</v>
      </c>
      <c r="S320" s="738">
        <f t="shared" si="69"/>
        <v>-0.76771249782886009</v>
      </c>
      <c r="T320" s="738">
        <f t="shared" si="69"/>
        <v>8.3967995851347246E-2</v>
      </c>
      <c r="U320" s="724"/>
      <c r="V320" s="812">
        <f t="shared" si="58"/>
        <v>3.2469394344345388E-308</v>
      </c>
      <c r="W320" s="393"/>
      <c r="X320" s="381"/>
      <c r="Y320" s="381"/>
      <c r="Z320" s="375"/>
      <c r="AA320" s="371"/>
      <c r="AB320" s="685"/>
      <c r="AC320" s="378"/>
      <c r="AD320" s="385"/>
      <c r="AE320" s="311" t="s">
        <v>32</v>
      </c>
      <c r="AF320" s="738">
        <f>IF(AF318&lt;&gt;"",(SUM(AF197:AF316)-AF318*AF321)/(AF322-AF321),AVERAGE(AF197:AF316))</f>
        <v>0.74073073073073126</v>
      </c>
      <c r="AG320" s="740">
        <f t="shared" ref="AG320" si="70">IF(AG318&lt;&gt;"",(SUM(AG197:AG316)-AG318*AG321)/(AG322-AG321),AVERAGE(AG197:AG316))</f>
        <v>361.32233223322334</v>
      </c>
      <c r="AH320" s="738" t="e">
        <f t="shared" ref="AH320" si="71">IF(AH318&lt;&gt;"",(SUM(AH197:AH316)-AH318*AH321)/(AH322-AH321),AVERAGE(AH197:AH316))</f>
        <v>#DIV/0!</v>
      </c>
      <c r="AI320" s="738">
        <f t="shared" ref="AI320" si="72">IF(AI318&lt;&gt;"",(SUM(AI197:AI316)-AI318*AI321)/(AI322-AI321),AVERAGE(AI197:AI316))</f>
        <v>9.6474772649284862E-2</v>
      </c>
      <c r="AJ320" s="724"/>
      <c r="AK320" s="311" t="s">
        <v>32</v>
      </c>
      <c r="AL320" s="706">
        <f t="shared" ref="AL320" si="73">IF(AL318&lt;&gt;"",(SUM(AL197:AL316)-AL318*AL321)/(AL322-AL321),AVERAGE(AL197:AL316))</f>
        <v>0.68488215488215498</v>
      </c>
      <c r="AM320" s="299">
        <f t="shared" ref="AM320" si="74">IF(AM318&lt;&gt;"",(SUM(AM197:AM316)-AM318*AM321)/(AM322-AM321),AVERAGE(AM197:AM316))</f>
        <v>363.0918518518518</v>
      </c>
      <c r="AN320" s="738" t="e">
        <f t="shared" ref="AN320" si="75">IF(AN318&lt;&gt;"",(SUM(AN197:AN316)-AN318*AN321)/(AN322-AN321),AVERAGE(AN197:AN316))</f>
        <v>#DIV/0!</v>
      </c>
      <c r="AO320" s="738">
        <f t="shared" ref="AO320" si="76">IF(AO318&lt;&gt;"",(SUM(AO197:AO316)-AO318*AO321)/(AO322-AO321),AVERAGE(AO197:AO316))</f>
        <v>0.10527988541267184</v>
      </c>
      <c r="AP320" s="724"/>
      <c r="AR320" s="485"/>
      <c r="AS320" s="485"/>
      <c r="AT320" s="486"/>
      <c r="AU320" s="487"/>
      <c r="AV320" s="488"/>
      <c r="AW320" s="486"/>
      <c r="AX320" s="805">
        <f t="shared" si="43"/>
        <v>3.2469394344345388E-308</v>
      </c>
    </row>
    <row r="321" spans="2:51" ht="11.1" customHeight="1" x14ac:dyDescent="0.2">
      <c r="B321" s="813">
        <v>39776</v>
      </c>
      <c r="C321" s="393"/>
      <c r="D321" s="370"/>
      <c r="E321" s="370"/>
      <c r="F321" s="684"/>
      <c r="G321" s="371"/>
      <c r="H321" s="373"/>
      <c r="I321" s="378"/>
      <c r="J321" s="544"/>
      <c r="K321" s="311" t="s">
        <v>259</v>
      </c>
      <c r="L321" s="301">
        <f>COUNTIF(L197:L316,"&lt;=0.2051")</f>
        <v>59</v>
      </c>
      <c r="M321" s="301">
        <f>COUNTIF(M197:M316,"&lt;=105")</f>
        <v>3</v>
      </c>
      <c r="N321" s="301">
        <f>COUNTIF(N197:N316,"&lt;=0.0201")</f>
        <v>98</v>
      </c>
      <c r="O321" s="301">
        <f>COUNTIF(O197:O316,"&lt;=0.0201")</f>
        <v>17</v>
      </c>
      <c r="P321" s="725"/>
      <c r="Q321" s="319">
        <f>COUNTIF(Q197:Q316,"&lt;=0.2151")</f>
        <v>61</v>
      </c>
      <c r="R321" s="302">
        <f>COUNTIF(R197:R316,"&lt;=99")</f>
        <v>0</v>
      </c>
      <c r="S321" s="302">
        <f>COUNTIF(S197:S316,"&lt;=0.0201")</f>
        <v>94</v>
      </c>
      <c r="T321" s="690">
        <f>COUNTIF(T197:T316,"&lt;=0.0201")</f>
        <v>8</v>
      </c>
      <c r="U321" s="725"/>
      <c r="V321" s="812">
        <f t="shared" si="58"/>
        <v>2.9806470279101202E-308</v>
      </c>
      <c r="W321" s="393"/>
      <c r="X321" s="381"/>
      <c r="Y321" s="381"/>
      <c r="Z321" s="375"/>
      <c r="AA321" s="371"/>
      <c r="AB321" s="685"/>
      <c r="AC321" s="378"/>
      <c r="AD321" s="385"/>
      <c r="AE321" s="311" t="s">
        <v>254</v>
      </c>
      <c r="AF321" s="301">
        <f>COUNTIF(AF197:AF316,"&lt;=0.175")</f>
        <v>63</v>
      </c>
      <c r="AG321" s="301">
        <f>COUNTIF(AG197:AG316,"&lt;=182")</f>
        <v>0</v>
      </c>
      <c r="AH321" s="301">
        <f>COUNTIF(AH197:AH316,"&lt;=0.049")</f>
        <v>101</v>
      </c>
      <c r="AI321" s="301">
        <f>COUNTIF(AI197:AI316,"&lt;=0.049")</f>
        <v>26</v>
      </c>
      <c r="AJ321" s="725"/>
      <c r="AK321" s="311" t="s">
        <v>254</v>
      </c>
      <c r="AL321" s="319">
        <f>COUNTIF(AL197:AL316,"&lt;=0.21")</f>
        <v>3</v>
      </c>
      <c r="AM321" s="302">
        <f>COUNTIF(AM197:AM316,"&lt;=98.5")</f>
        <v>0</v>
      </c>
      <c r="AN321" s="302">
        <f>COUNTIF(AN197:AN316,"&lt;=0.02")</f>
        <v>25</v>
      </c>
      <c r="AO321" s="690">
        <f>COUNTIF(AO197:AO316,"&lt;=0.02")</f>
        <v>4</v>
      </c>
      <c r="AP321" s="725"/>
      <c r="AR321" s="485"/>
      <c r="AS321" s="485"/>
      <c r="AT321" s="486"/>
      <c r="AU321" s="487"/>
      <c r="AV321" s="488"/>
      <c r="AW321" s="486"/>
      <c r="AX321" s="805">
        <f t="shared" si="43"/>
        <v>2.9806470279101202E-308</v>
      </c>
    </row>
    <row r="322" spans="2:51" ht="11.1" customHeight="1" thickBot="1" x14ac:dyDescent="0.25">
      <c r="B322" s="813">
        <v>39777</v>
      </c>
      <c r="C322" s="393"/>
      <c r="D322" s="370"/>
      <c r="E322" s="370"/>
      <c r="F322" s="684"/>
      <c r="G322" s="371"/>
      <c r="H322" s="373"/>
      <c r="I322" s="378"/>
      <c r="J322" s="544"/>
      <c r="K322" s="160" t="s">
        <v>60</v>
      </c>
      <c r="L322" s="122">
        <f>COUNTA(L197:L316)</f>
        <v>96</v>
      </c>
      <c r="M322" s="122">
        <f t="shared" ref="M322:O322" si="77">COUNTA(M197:M316)</f>
        <v>98</v>
      </c>
      <c r="N322" s="122">
        <f t="shared" si="77"/>
        <v>98</v>
      </c>
      <c r="O322" s="122">
        <f t="shared" si="77"/>
        <v>98</v>
      </c>
      <c r="P322" s="726"/>
      <c r="Q322" s="320">
        <f t="shared" ref="Q322:T322" si="78">COUNTA(Q197:Q316)</f>
        <v>96</v>
      </c>
      <c r="R322" s="123">
        <f t="shared" si="78"/>
        <v>97</v>
      </c>
      <c r="S322" s="123">
        <f t="shared" si="78"/>
        <v>96</v>
      </c>
      <c r="T322" s="68">
        <f t="shared" si="78"/>
        <v>94</v>
      </c>
      <c r="U322" s="726"/>
      <c r="V322" s="812">
        <f t="shared" si="58"/>
        <v>2.7361941558776368E-308</v>
      </c>
      <c r="W322" s="393"/>
      <c r="X322" s="381"/>
      <c r="Y322" s="381"/>
      <c r="Z322" s="375"/>
      <c r="AA322" s="371"/>
      <c r="AB322" s="685"/>
      <c r="AC322" s="378"/>
      <c r="AD322" s="385"/>
      <c r="AE322" s="160" t="s">
        <v>60</v>
      </c>
      <c r="AF322" s="122">
        <f>COUNTA(AF197:AF316)</f>
        <v>100</v>
      </c>
      <c r="AG322" s="122">
        <f t="shared" ref="AG322:AI322" si="79">COUNTA(AG197:AG316)</f>
        <v>101</v>
      </c>
      <c r="AH322" s="122">
        <f t="shared" si="79"/>
        <v>101</v>
      </c>
      <c r="AI322" s="122">
        <f t="shared" si="79"/>
        <v>100</v>
      </c>
      <c r="AJ322" s="726"/>
      <c r="AK322" s="160" t="s">
        <v>60</v>
      </c>
      <c r="AL322" s="320">
        <f t="shared" ref="AL322:AO322" si="80">COUNTA(AL197:AL316)</f>
        <v>25</v>
      </c>
      <c r="AM322" s="123">
        <f t="shared" si="80"/>
        <v>25</v>
      </c>
      <c r="AN322" s="123">
        <f t="shared" si="80"/>
        <v>25</v>
      </c>
      <c r="AO322" s="68">
        <f t="shared" si="80"/>
        <v>25</v>
      </c>
      <c r="AP322" s="726"/>
      <c r="AR322" s="485"/>
      <c r="AS322" s="485"/>
      <c r="AT322" s="486"/>
      <c r="AU322" s="487"/>
      <c r="AV322" s="488"/>
      <c r="AW322" s="486"/>
      <c r="AX322" s="805">
        <f t="shared" si="43"/>
        <v>2.7361941558776368E-308</v>
      </c>
    </row>
    <row r="323" spans="2:51" ht="11.1" customHeight="1" thickTop="1" x14ac:dyDescent="0.2">
      <c r="B323" s="813">
        <v>39778</v>
      </c>
      <c r="C323" s="393"/>
      <c r="D323" s="370"/>
      <c r="E323" s="370"/>
      <c r="F323" s="684"/>
      <c r="G323" s="371"/>
      <c r="H323" s="373"/>
      <c r="I323" s="378"/>
      <c r="J323" s="544"/>
      <c r="K323" s="159" t="s">
        <v>212</v>
      </c>
      <c r="L323" s="108" t="s">
        <v>5</v>
      </c>
      <c r="M323" s="109" t="s">
        <v>6</v>
      </c>
      <c r="N323" s="548" t="s">
        <v>83</v>
      </c>
      <c r="O323" s="715" t="s">
        <v>7</v>
      </c>
      <c r="P323" s="727"/>
      <c r="Q323" s="698" t="s">
        <v>5</v>
      </c>
      <c r="R323" s="109" t="s">
        <v>6</v>
      </c>
      <c r="S323" s="110" t="s">
        <v>83</v>
      </c>
      <c r="T323" s="729" t="s">
        <v>7</v>
      </c>
      <c r="U323" s="727"/>
      <c r="V323" s="812">
        <f t="shared" si="58"/>
        <v>2.5117896847749598E-308</v>
      </c>
      <c r="W323" s="393"/>
      <c r="X323" s="381"/>
      <c r="Y323" s="381"/>
      <c r="Z323" s="375"/>
      <c r="AA323" s="371"/>
      <c r="AB323" s="685"/>
      <c r="AC323" s="378"/>
      <c r="AD323" s="385"/>
      <c r="AE323" s="159" t="s">
        <v>212</v>
      </c>
      <c r="AF323" s="137" t="s">
        <v>5</v>
      </c>
      <c r="AG323" s="131" t="s">
        <v>6</v>
      </c>
      <c r="AH323" s="110" t="s">
        <v>83</v>
      </c>
      <c r="AI323" s="729" t="s">
        <v>7</v>
      </c>
      <c r="AJ323" s="727"/>
      <c r="AK323" s="76" t="s">
        <v>4</v>
      </c>
      <c r="AL323" s="137" t="s">
        <v>5</v>
      </c>
      <c r="AM323" s="131" t="s">
        <v>6</v>
      </c>
      <c r="AN323" s="110" t="s">
        <v>83</v>
      </c>
      <c r="AO323" s="729" t="s">
        <v>7</v>
      </c>
      <c r="AP323" s="727"/>
      <c r="AR323" s="485"/>
      <c r="AS323" s="485"/>
      <c r="AT323" s="486"/>
      <c r="AU323" s="487"/>
      <c r="AV323" s="488"/>
      <c r="AW323" s="486"/>
      <c r="AX323" s="805">
        <f t="shared" si="43"/>
        <v>2.5117896847749598E-308</v>
      </c>
    </row>
    <row r="324" spans="2:51" ht="11.1" customHeight="1" x14ac:dyDescent="0.2">
      <c r="B324" s="813">
        <v>39779</v>
      </c>
      <c r="C324" s="393"/>
      <c r="D324" s="370"/>
      <c r="E324" s="370"/>
      <c r="F324" s="684"/>
      <c r="G324" s="371"/>
      <c r="H324" s="373"/>
      <c r="I324" s="378"/>
      <c r="J324" s="544"/>
      <c r="K324" s="9" t="s">
        <v>2</v>
      </c>
      <c r="L324" s="354" t="s">
        <v>17</v>
      </c>
      <c r="M324" s="348"/>
      <c r="N324" s="348"/>
      <c r="O324" s="716"/>
      <c r="P324" s="349"/>
      <c r="Q324" s="347" t="s">
        <v>21</v>
      </c>
      <c r="R324" s="348"/>
      <c r="S324" s="348"/>
      <c r="T324" s="348"/>
      <c r="U324" s="349"/>
      <c r="V324" s="812">
        <f t="shared" si="58"/>
        <v>2.305789377917244E-308</v>
      </c>
      <c r="W324" s="393"/>
      <c r="X324" s="381"/>
      <c r="Y324" s="381"/>
      <c r="Z324" s="375"/>
      <c r="AA324" s="371"/>
      <c r="AB324" s="685"/>
      <c r="AC324" s="378"/>
      <c r="AD324" s="385"/>
      <c r="AE324" s="9" t="s">
        <v>2</v>
      </c>
      <c r="AF324" s="351" t="s">
        <v>26</v>
      </c>
      <c r="AG324" s="348"/>
      <c r="AH324" s="348"/>
      <c r="AI324" s="348"/>
      <c r="AJ324" s="349"/>
      <c r="AK324" s="350" t="s">
        <v>2</v>
      </c>
      <c r="AL324" s="351" t="s">
        <v>23</v>
      </c>
      <c r="AM324" s="348"/>
      <c r="AN324" s="348"/>
      <c r="AO324" s="348"/>
      <c r="AP324" s="349"/>
      <c r="AR324" s="485"/>
      <c r="AS324" s="485"/>
      <c r="AT324" s="486"/>
      <c r="AU324" s="487"/>
      <c r="AV324" s="488"/>
      <c r="AW324" s="486"/>
      <c r="AX324" s="805">
        <f t="shared" si="43"/>
        <v>2.305789377917244E-308</v>
      </c>
    </row>
    <row r="325" spans="2:51" ht="11.1" customHeight="1" x14ac:dyDescent="0.2">
      <c r="B325" s="813">
        <v>39780</v>
      </c>
      <c r="C325" s="393"/>
      <c r="D325" s="370"/>
      <c r="E325" s="370"/>
      <c r="F325" s="684"/>
      <c r="G325" s="371"/>
      <c r="H325" s="373"/>
      <c r="I325" s="378"/>
      <c r="J325" s="696"/>
      <c r="L325" s="2" t="s">
        <v>1</v>
      </c>
      <c r="O325" s="3"/>
      <c r="P325" s="3"/>
      <c r="Q325" s="2" t="s">
        <v>1</v>
      </c>
      <c r="R325" s="3"/>
      <c r="V325" s="812">
        <f t="shared" si="58"/>
        <v>0</v>
      </c>
      <c r="W325" s="393"/>
      <c r="X325" s="381"/>
      <c r="Y325" s="381"/>
      <c r="Z325" s="375"/>
      <c r="AA325" s="371"/>
      <c r="AB325" s="685"/>
      <c r="AC325" s="378"/>
      <c r="AD325" s="640"/>
      <c r="AE325" s="3"/>
      <c r="AF325" s="29" t="s">
        <v>25</v>
      </c>
      <c r="AJ325" s="3"/>
      <c r="AK325" s="28"/>
      <c r="AL325" s="29" t="s">
        <v>25</v>
      </c>
      <c r="AP325" s="3"/>
      <c r="AR325" s="485"/>
      <c r="AS325" s="485"/>
      <c r="AT325" s="486"/>
      <c r="AU325" s="487"/>
      <c r="AV325" s="488"/>
      <c r="AW325" s="486"/>
      <c r="AX325" s="803"/>
    </row>
    <row r="326" spans="2:51" ht="11.1" customHeight="1" x14ac:dyDescent="0.2">
      <c r="B326" s="813">
        <v>39781</v>
      </c>
      <c r="C326" s="393"/>
      <c r="D326" s="370"/>
      <c r="E326" s="370"/>
      <c r="F326" s="684"/>
      <c r="G326" s="371"/>
      <c r="H326" s="373"/>
      <c r="I326" s="378"/>
      <c r="J326" s="697"/>
      <c r="K326" s="686"/>
      <c r="L326" s="686"/>
      <c r="M326" s="686"/>
      <c r="O326" s="3"/>
      <c r="P326" s="3"/>
      <c r="Q326" s="3"/>
      <c r="R326" s="3"/>
      <c r="V326" s="812">
        <f>2*10^(-800)</f>
        <v>0</v>
      </c>
      <c r="W326" s="393"/>
      <c r="X326" s="381"/>
      <c r="Y326" s="381"/>
      <c r="Z326" s="375"/>
      <c r="AA326" s="371"/>
      <c r="AB326" s="685"/>
      <c r="AC326" s="378"/>
      <c r="AD326" s="639"/>
      <c r="AE326" s="3"/>
      <c r="AF326" s="3"/>
      <c r="AG326" s="3"/>
      <c r="AH326" s="3"/>
      <c r="AI326" s="3"/>
      <c r="AJ326" s="3"/>
      <c r="AK326" s="3"/>
      <c r="AL326" s="3"/>
      <c r="AM326" s="3"/>
      <c r="AN326" s="3"/>
      <c r="AO326" s="3"/>
      <c r="AP326" s="3"/>
      <c r="AR326" s="485"/>
      <c r="AS326" s="485"/>
      <c r="AT326" s="486"/>
      <c r="AU326" s="487"/>
      <c r="AV326" s="488"/>
      <c r="AW326" s="486"/>
      <c r="AX326" s="803"/>
    </row>
    <row r="327" spans="2:51" ht="11.1" customHeight="1" x14ac:dyDescent="0.2">
      <c r="B327" s="813">
        <v>39782</v>
      </c>
      <c r="C327" s="393"/>
      <c r="D327" s="370"/>
      <c r="E327" s="370"/>
      <c r="F327" s="684"/>
      <c r="G327" s="371"/>
      <c r="H327" s="373"/>
      <c r="I327" s="378"/>
      <c r="J327" s="697"/>
      <c r="K327" s="686"/>
      <c r="L327" s="686"/>
      <c r="M327" s="686"/>
      <c r="O327" s="3"/>
      <c r="P327" s="3"/>
      <c r="Q327" s="3"/>
      <c r="R327" s="3"/>
      <c r="V327" s="812">
        <f>0.1*2.71828^(-(0.69315/0.022177)*(B327-事故日Cb)/365.25)</f>
        <v>0</v>
      </c>
      <c r="W327" s="393"/>
      <c r="X327" s="381"/>
      <c r="Y327" s="381"/>
      <c r="Z327" s="375"/>
      <c r="AA327" s="371"/>
      <c r="AB327" s="685"/>
      <c r="AC327" s="378"/>
      <c r="AD327" s="639"/>
      <c r="AE327" s="3"/>
      <c r="AF327" s="3"/>
      <c r="AG327" s="3"/>
      <c r="AH327" s="3"/>
      <c r="AI327" s="3"/>
      <c r="AJ327" s="3"/>
      <c r="AK327" s="3"/>
      <c r="AL327" s="3"/>
      <c r="AM327" s="3"/>
      <c r="AN327" s="3"/>
      <c r="AO327" s="3"/>
      <c r="AP327" s="3"/>
      <c r="AR327" s="485"/>
      <c r="AS327" s="485"/>
      <c r="AT327" s="486"/>
      <c r="AU327" s="487"/>
      <c r="AV327" s="488"/>
      <c r="AW327" s="486"/>
      <c r="AX327" s="803"/>
    </row>
    <row r="328" spans="2:51" ht="11.1" customHeight="1" x14ac:dyDescent="0.2">
      <c r="B328" s="288"/>
      <c r="C328" s="393"/>
      <c r="D328" s="370"/>
      <c r="E328" s="370"/>
      <c r="F328" s="684"/>
      <c r="G328" s="371"/>
      <c r="H328" s="373"/>
      <c r="I328" s="378"/>
      <c r="J328" s="697"/>
      <c r="K328" s="237" t="s">
        <v>255</v>
      </c>
      <c r="L328" s="30"/>
      <c r="N328" s="30"/>
      <c r="O328" s="30"/>
      <c r="P328" s="30"/>
      <c r="Q328" s="30"/>
      <c r="R328" s="30"/>
      <c r="S328" s="30"/>
      <c r="T328" s="30"/>
      <c r="U328" s="30"/>
      <c r="V328" s="288"/>
      <c r="W328" s="393"/>
      <c r="X328" s="381"/>
      <c r="Y328" s="381"/>
      <c r="Z328" s="375"/>
      <c r="AA328" s="371"/>
      <c r="AB328" s="685"/>
      <c r="AC328" s="378"/>
      <c r="AD328" s="639"/>
      <c r="AE328" s="237" t="s">
        <v>43</v>
      </c>
      <c r="AF328" s="30"/>
      <c r="AH328" s="30"/>
      <c r="AI328" s="30"/>
      <c r="AJ328" s="3"/>
      <c r="AK328" s="3"/>
      <c r="AL328" s="3"/>
      <c r="AM328" s="3"/>
      <c r="AN328" s="3"/>
      <c r="AO328" s="3"/>
      <c r="AP328" s="3"/>
      <c r="AR328" s="485"/>
      <c r="AS328" s="485"/>
      <c r="AT328" s="486"/>
      <c r="AU328" s="487"/>
      <c r="AV328" s="488"/>
      <c r="AW328" s="486"/>
      <c r="AX328" s="803"/>
    </row>
    <row r="329" spans="2:51" ht="11.1" customHeight="1" x14ac:dyDescent="0.2">
      <c r="B329" s="813">
        <v>31528</v>
      </c>
      <c r="C329" s="393"/>
      <c r="D329" s="370"/>
      <c r="E329" s="370"/>
      <c r="F329" s="684"/>
      <c r="G329" s="371"/>
      <c r="H329" s="373"/>
      <c r="I329" s="378"/>
      <c r="J329" s="697"/>
      <c r="K329" s="238" t="s">
        <v>256</v>
      </c>
      <c r="L329" s="238"/>
      <c r="M329" s="238"/>
      <c r="N329" s="30" t="s">
        <v>35</v>
      </c>
      <c r="O329" s="238"/>
      <c r="P329" s="238"/>
      <c r="Q329" s="238"/>
      <c r="R329" s="238"/>
      <c r="S329" s="238"/>
      <c r="T329" s="238"/>
      <c r="U329" s="238"/>
      <c r="V329" s="288"/>
      <c r="W329" s="393"/>
      <c r="X329" s="381"/>
      <c r="Y329" s="381"/>
      <c r="Z329" s="375"/>
      <c r="AA329" s="371"/>
      <c r="AB329" s="685"/>
      <c r="AC329" s="378"/>
      <c r="AD329" s="639"/>
      <c r="AE329" s="239" t="s">
        <v>25</v>
      </c>
      <c r="AF329" s="238"/>
      <c r="AG329" s="238"/>
      <c r="AH329" s="30" t="s">
        <v>35</v>
      </c>
      <c r="AI329" s="3"/>
      <c r="AJ329" s="3"/>
      <c r="AK329" s="3"/>
      <c r="AL329" s="3"/>
      <c r="AM329" s="3"/>
      <c r="AN329" s="3"/>
      <c r="AO329" s="3"/>
      <c r="AP329" s="3"/>
      <c r="AR329" s="485"/>
      <c r="AS329" s="485"/>
      <c r="AT329" s="486"/>
      <c r="AU329" s="487"/>
      <c r="AV329" s="488"/>
      <c r="AW329" s="486"/>
      <c r="AX329" s="803"/>
    </row>
    <row r="330" spans="2:51" ht="11.1" customHeight="1" x14ac:dyDescent="0.2">
      <c r="B330" s="814">
        <f>B327-B329</f>
        <v>8254</v>
      </c>
      <c r="C330" s="393"/>
      <c r="D330" s="370"/>
      <c r="E330" s="370"/>
      <c r="F330" s="684"/>
      <c r="G330" s="371"/>
      <c r="H330" s="373"/>
      <c r="I330" s="378"/>
      <c r="J330" s="544"/>
      <c r="K330" s="346" t="s">
        <v>2</v>
      </c>
      <c r="L330" s="325" t="s">
        <v>58</v>
      </c>
      <c r="M330" s="143"/>
      <c r="N330" s="143"/>
      <c r="O330" s="143"/>
      <c r="P330" s="31"/>
      <c r="Q330" s="325" t="s">
        <v>56</v>
      </c>
      <c r="R330" s="143"/>
      <c r="S330" s="143"/>
      <c r="T330" s="143"/>
      <c r="U330" s="31"/>
      <c r="V330" s="288"/>
      <c r="W330" s="393"/>
      <c r="X330" s="381"/>
      <c r="Y330" s="381"/>
      <c r="Z330" s="375"/>
      <c r="AA330" s="371"/>
      <c r="AB330" s="685"/>
      <c r="AC330" s="378"/>
      <c r="AD330" s="385"/>
      <c r="AE330" s="327" t="s">
        <v>2</v>
      </c>
      <c r="AF330" s="325" t="s">
        <v>55</v>
      </c>
      <c r="AG330" s="143"/>
      <c r="AH330" s="143"/>
      <c r="AI330" s="143"/>
      <c r="AJ330" s="23"/>
      <c r="AK330" s="9" t="s">
        <v>2</v>
      </c>
      <c r="AL330" s="325" t="s">
        <v>57</v>
      </c>
      <c r="AM330" s="143"/>
      <c r="AN330" s="143"/>
      <c r="AO330" s="143"/>
      <c r="AP330" s="31"/>
      <c r="AR330" s="485"/>
      <c r="AS330" s="485"/>
      <c r="AT330" s="486"/>
      <c r="AU330" s="487"/>
      <c r="AV330" s="488"/>
      <c r="AW330" s="486"/>
      <c r="AX330" s="803"/>
    </row>
    <row r="331" spans="2:51" ht="11.1" customHeight="1" x14ac:dyDescent="0.2">
      <c r="B331" s="288"/>
      <c r="C331" s="393"/>
      <c r="D331" s="370"/>
      <c r="E331" s="370"/>
      <c r="F331" s="684"/>
      <c r="G331" s="371"/>
      <c r="H331" s="373"/>
      <c r="I331" s="378"/>
      <c r="J331" s="544"/>
      <c r="K331" s="9" t="s">
        <v>4</v>
      </c>
      <c r="L331" s="344" t="s">
        <v>5</v>
      </c>
      <c r="M331" s="131" t="s">
        <v>6</v>
      </c>
      <c r="N331" s="109" t="s">
        <v>83</v>
      </c>
      <c r="O331" s="342" t="s">
        <v>7</v>
      </c>
      <c r="P331" s="334" t="s">
        <v>211</v>
      </c>
      <c r="Q331" s="137" t="s">
        <v>5</v>
      </c>
      <c r="R331" s="131" t="s">
        <v>6</v>
      </c>
      <c r="S331" s="109" t="s">
        <v>83</v>
      </c>
      <c r="T331" s="109" t="s">
        <v>7</v>
      </c>
      <c r="U331" s="74" t="s">
        <v>211</v>
      </c>
      <c r="V331" s="288"/>
      <c r="W331" s="393"/>
      <c r="X331" s="381"/>
      <c r="Y331" s="381"/>
      <c r="Z331" s="375"/>
      <c r="AA331" s="371"/>
      <c r="AB331" s="685"/>
      <c r="AC331" s="378"/>
      <c r="AD331" s="385"/>
      <c r="AE331" s="326" t="s">
        <v>4</v>
      </c>
      <c r="AF331" s="341" t="s">
        <v>5</v>
      </c>
      <c r="AG331" s="131" t="s">
        <v>6</v>
      </c>
      <c r="AH331" s="109" t="s">
        <v>83</v>
      </c>
      <c r="AI331" s="342" t="s">
        <v>7</v>
      </c>
      <c r="AJ331" s="421" t="s">
        <v>211</v>
      </c>
      <c r="AK331" s="21" t="s">
        <v>4</v>
      </c>
      <c r="AL331" s="474" t="s">
        <v>5</v>
      </c>
      <c r="AM331" s="475" t="s">
        <v>6</v>
      </c>
      <c r="AN331" s="342" t="s">
        <v>83</v>
      </c>
      <c r="AO331" s="342" t="s">
        <v>7</v>
      </c>
      <c r="AP331" s="74" t="s">
        <v>211</v>
      </c>
      <c r="AR331" s="485"/>
      <c r="AS331" s="485"/>
      <c r="AT331" s="486"/>
      <c r="AU331" s="487"/>
      <c r="AV331" s="488"/>
      <c r="AW331" s="486"/>
      <c r="AX331" s="803"/>
    </row>
    <row r="332" spans="2:51" ht="11.1" customHeight="1" x14ac:dyDescent="0.2">
      <c r="B332" s="182">
        <v>39700</v>
      </c>
      <c r="C332" s="194">
        <v>1.7</v>
      </c>
      <c r="D332" s="177">
        <v>302</v>
      </c>
      <c r="E332" s="435">
        <f t="shared" si="44"/>
        <v>1.083166042336824E-5</v>
      </c>
      <c r="F332" s="178">
        <v>5.8999999999999997E-2</v>
      </c>
      <c r="G332" s="223">
        <v>0.17</v>
      </c>
      <c r="H332" s="437">
        <f>ND代替値*2.71828^(-(0.69315/28.799)*(B332-調査開始日)/365.25)</f>
        <v>5.2432194749272082E-3</v>
      </c>
      <c r="I332" s="215">
        <v>2.4</v>
      </c>
      <c r="J332" s="203">
        <f>ND代替値</f>
        <v>5.0000000000000001E-3</v>
      </c>
      <c r="K332" s="182">
        <v>39687</v>
      </c>
      <c r="L332" s="336">
        <v>0.89</v>
      </c>
      <c r="M332" s="177">
        <v>278</v>
      </c>
      <c r="N332" s="435">
        <f t="shared" ref="N332:N341" si="81">ND代替値*2.71828^(-(0.69315/2.062)*(K332-事故日Cb)/365.25)</f>
        <v>1.2880389063977313E-5</v>
      </c>
      <c r="O332" s="224">
        <v>0.05</v>
      </c>
      <c r="P332" s="634">
        <v>9.5000000000000001E-2</v>
      </c>
      <c r="Q332" s="194">
        <v>0.51</v>
      </c>
      <c r="R332" s="177">
        <v>296</v>
      </c>
      <c r="S332" s="435">
        <f t="shared" ref="S332:S341" si="82">0.024*2.71828^(-(0.69315/2.062)*(K332-事故日Cb)/365.25)</f>
        <v>1.3154439895125766E-5</v>
      </c>
      <c r="T332" s="224">
        <v>5.2999999999999999E-2</v>
      </c>
      <c r="U332" s="634">
        <v>0.21</v>
      </c>
      <c r="V332" s="182">
        <v>39701</v>
      </c>
      <c r="W332" s="194">
        <v>0.66</v>
      </c>
      <c r="X332" s="177">
        <v>267</v>
      </c>
      <c r="Y332" s="435">
        <f t="shared" si="47"/>
        <v>1.0551153799524615E-5</v>
      </c>
      <c r="Z332" s="178">
        <v>6.0999999999999999E-2</v>
      </c>
      <c r="AA332" s="223">
        <v>0.13</v>
      </c>
      <c r="AB332" s="214"/>
      <c r="AC332" s="215"/>
      <c r="AD332" s="216"/>
      <c r="AE332" s="189">
        <v>39680</v>
      </c>
      <c r="AF332" s="336">
        <v>0.71</v>
      </c>
      <c r="AG332" s="177">
        <v>259</v>
      </c>
      <c r="AH332" s="435">
        <f t="shared" ref="AH332:AH341" si="83">ND代替値*2.71828^(-(0.69315/2.062)*(AE332-事故日Cb)/365.25)</f>
        <v>1.2963637247636461E-5</v>
      </c>
      <c r="AI332" s="178">
        <v>4.7E-2</v>
      </c>
      <c r="AJ332" s="661">
        <f>ND代替値*2.71828^(-(0.69315/0.022177)*(AE332-調査開始日2)/365.25)</f>
        <v>4.2000000000000003E-2</v>
      </c>
      <c r="AK332" s="189">
        <v>39700</v>
      </c>
      <c r="AL332" s="194">
        <v>1.5</v>
      </c>
      <c r="AM332" s="177">
        <v>274</v>
      </c>
      <c r="AN332" s="435">
        <f t="shared" ref="AN332:AN341" si="84">ND代替値*2.71828^(-(0.69315/2.062)*(AK332-事故日Cb)/365.25)</f>
        <v>1.2727200997457682E-5</v>
      </c>
      <c r="AO332" s="434">
        <f>ND代替値*2.71828^(-(0.69315/30.07)*(AK332-事故日Cb)/365.25)</f>
        <v>1.432939255067993E-2</v>
      </c>
      <c r="AP332" s="661">
        <f>ND代替値*2.71828^(-(0.69315/0.022177)*(AK332-調査開始日2)/365.25)</f>
        <v>8.127177518205032E-3</v>
      </c>
      <c r="AR332" s="485">
        <f t="shared" ref="AR332:AR342" si="85">1*2.71828^(-(0.69315/30.07)*(B332-事故日Cb)/365.25)</f>
        <v>0.5970580229449971</v>
      </c>
      <c r="AS332" s="485">
        <f t="shared" ref="AS332:AS342" si="86">1*2.71828^(-(0.69315/2.062)*(B332-事故日Cb)/365.25)</f>
        <v>5.4158302116841196E-4</v>
      </c>
      <c r="AT332" s="486">
        <f t="shared" ref="AT332:AT342" si="87">10*2.71828^(-(0.69315/0.1459)*(B332-事故日Cb)/365.25)</f>
        <v>6.8705774545217546E-46</v>
      </c>
      <c r="AU332" s="487">
        <f t="shared" ref="AU332:AU342" si="88">200*2.71828^(-(0.69315/(1.277*10^9))*(B332-事故日Cb)/365.25)</f>
        <v>199.99999757113059</v>
      </c>
      <c r="AV332" s="488">
        <f t="shared" ref="AV332:AV342" si="89">1*2.71828^(-(0.69315/12.33)*(B332-事故日Cb)/365.25)</f>
        <v>0.28428665476302539</v>
      </c>
      <c r="AW332" s="486">
        <f t="shared" ref="AW332:AW342" si="90">0.1*2.71828^(-(0.69315/28.799)*(B332-事故日Cb)/365.25)</f>
        <v>5.8362161712131259E-2</v>
      </c>
      <c r="AX332" s="660">
        <f t="shared" ref="AX332:AX342" si="91">10*2.71828^(-(0.69315/0.022177)*(AE332-調査開始日2)/365.25)</f>
        <v>10</v>
      </c>
      <c r="AY332" s="659">
        <v>39680</v>
      </c>
    </row>
    <row r="333" spans="2:51" ht="11.1" customHeight="1" x14ac:dyDescent="0.2">
      <c r="B333" s="182">
        <v>39772</v>
      </c>
      <c r="C333" s="773">
        <v>0.56000000000000005</v>
      </c>
      <c r="D333" s="177">
        <v>411</v>
      </c>
      <c r="E333" s="435">
        <f t="shared" si="44"/>
        <v>1.0137170583982359E-5</v>
      </c>
      <c r="F333" s="224">
        <v>7.0999999999999994E-2</v>
      </c>
      <c r="G333" s="807"/>
      <c r="H333" s="212"/>
      <c r="I333" s="215"/>
      <c r="J333" s="501"/>
      <c r="K333" s="182">
        <v>39762</v>
      </c>
      <c r="L333" s="336">
        <v>0.64</v>
      </c>
      <c r="M333" s="177">
        <v>393</v>
      </c>
      <c r="N333" s="435">
        <f t="shared" si="81"/>
        <v>1.2021304689750915E-5</v>
      </c>
      <c r="O333" s="224">
        <v>6.6000000000000003E-2</v>
      </c>
      <c r="P333" s="661">
        <f t="shared" ref="P333:P339" si="92">ND代替値*2.71828^(-(0.69315/0.022177)*(K333-調査開始日2)/365.25)</f>
        <v>2.8690071477960352E-5</v>
      </c>
      <c r="Q333" s="194">
        <v>0.53</v>
      </c>
      <c r="R333" s="177">
        <v>436</v>
      </c>
      <c r="S333" s="435">
        <f t="shared" si="82"/>
        <v>1.2277077129958381E-5</v>
      </c>
      <c r="T333" s="224">
        <v>6.7000000000000004E-2</v>
      </c>
      <c r="U333" s="635">
        <v>6.6000000000000003E-2</v>
      </c>
      <c r="V333" s="182">
        <v>39783</v>
      </c>
      <c r="W333" s="194">
        <v>0.53</v>
      </c>
      <c r="X333" s="177">
        <v>410</v>
      </c>
      <c r="Y333" s="435">
        <f t="shared" si="47"/>
        <v>9.784185736578976E-6</v>
      </c>
      <c r="Z333" s="434">
        <f>0.022*2.71828^(-(0.69315/30.02)*(V333-事故日Cb)/365.25)</f>
        <v>1.3055318024662744E-2</v>
      </c>
      <c r="AA333" s="807"/>
      <c r="AB333" s="214"/>
      <c r="AC333" s="215"/>
      <c r="AD333" s="193"/>
      <c r="AE333" s="189">
        <v>39765</v>
      </c>
      <c r="AF333" s="336">
        <v>0.67</v>
      </c>
      <c r="AG333" s="177">
        <v>355</v>
      </c>
      <c r="AH333" s="435">
        <f t="shared" si="83"/>
        <v>1.1988159424425443E-5</v>
      </c>
      <c r="AI333" s="434">
        <f>ND代替値*2.71828^(-(0.69315/30.07)*(AE333-事故日Cb)/365.25)</f>
        <v>1.3973424050729849E-2</v>
      </c>
      <c r="AJ333" s="661">
        <f>ND代替値*2.71828^(-(0.69315/0.022177)*(AE333-調査開始日2)/365.25)</f>
        <v>2.9129969314730551E-5</v>
      </c>
      <c r="AK333" s="189">
        <v>39762</v>
      </c>
      <c r="AL333" s="194">
        <v>0.65</v>
      </c>
      <c r="AM333" s="177">
        <v>350</v>
      </c>
      <c r="AN333" s="435">
        <f t="shared" si="84"/>
        <v>1.2021304689750915E-5</v>
      </c>
      <c r="AO333" s="178">
        <v>7.1999999999999995E-2</v>
      </c>
      <c r="AP333" s="661">
        <f>ND代替値*2.71828^(-(0.69315/0.022177)*(AK333-調査開始日2)/365.25)</f>
        <v>4.0345413015881743E-5</v>
      </c>
      <c r="AR333" s="485">
        <f t="shared" si="85"/>
        <v>0.59435116178817293</v>
      </c>
      <c r="AS333" s="485">
        <f t="shared" si="86"/>
        <v>5.0685852919911791E-4</v>
      </c>
      <c r="AT333" s="486">
        <f t="shared" si="87"/>
        <v>2.6932130700713594E-46</v>
      </c>
      <c r="AU333" s="487">
        <f t="shared" si="88"/>
        <v>199.99999754973084</v>
      </c>
      <c r="AV333" s="488">
        <f t="shared" si="89"/>
        <v>0.28115366867170538</v>
      </c>
      <c r="AW333" s="486">
        <f t="shared" si="90"/>
        <v>5.8085917416885159E-2</v>
      </c>
      <c r="AX333" s="662">
        <f t="shared" si="91"/>
        <v>6.9357069796977498E-3</v>
      </c>
      <c r="AY333" s="820" t="s">
        <v>257</v>
      </c>
    </row>
    <row r="334" spans="2:51" ht="11.1" customHeight="1" x14ac:dyDescent="0.2">
      <c r="B334" s="182">
        <v>39854</v>
      </c>
      <c r="C334" s="433">
        <f>ND代替値</f>
        <v>0.18518518518518517</v>
      </c>
      <c r="D334" s="177">
        <v>484</v>
      </c>
      <c r="E334" s="435">
        <f t="shared" si="44"/>
        <v>9.4002951451183382E-6</v>
      </c>
      <c r="F334" s="224">
        <v>7.0000000000000007E-2</v>
      </c>
      <c r="G334" s="808"/>
      <c r="H334" s="212">
        <v>3.4000000000000002E-2</v>
      </c>
      <c r="I334" s="215">
        <v>1.5</v>
      </c>
      <c r="J334" s="193">
        <f>H334/I334</f>
        <v>2.2666666666666668E-2</v>
      </c>
      <c r="K334" s="182">
        <v>39856</v>
      </c>
      <c r="L334" s="777">
        <v>5.8000000000000003E-2</v>
      </c>
      <c r="M334" s="177">
        <v>383</v>
      </c>
      <c r="N334" s="435">
        <f t="shared" si="81"/>
        <v>1.1025034558070341E-5</v>
      </c>
      <c r="O334" s="434">
        <f>ND代替値*2.71828^(-(0.69315/30.07)*(K334-事故日Cb)/365.25)</f>
        <v>1.4780216591050411E-2</v>
      </c>
      <c r="P334" s="661">
        <f t="shared" si="92"/>
        <v>9.2119086254167264E-9</v>
      </c>
      <c r="Q334" s="194">
        <v>0.43</v>
      </c>
      <c r="R334" s="177">
        <v>372</v>
      </c>
      <c r="S334" s="435">
        <f t="shared" si="82"/>
        <v>1.1259609761433538E-5</v>
      </c>
      <c r="T334" s="434">
        <f>ND代替値*2.71828^(-(0.69315/30.07)*(K334-事故日Cb)/365.25)</f>
        <v>1.5667029586513434E-2</v>
      </c>
      <c r="U334" s="634">
        <v>8.1000000000000003E-2</v>
      </c>
      <c r="V334" s="182">
        <v>39853</v>
      </c>
      <c r="W334" s="433">
        <f>ND代替値</f>
        <v>0.17499999999999999</v>
      </c>
      <c r="X334" s="177">
        <v>468</v>
      </c>
      <c r="Y334" s="435">
        <f t="shared" si="47"/>
        <v>9.1737268254216057E-6</v>
      </c>
      <c r="Z334" s="434">
        <f>0.022*2.71828^(-(0.69315/30.02)*(V334-事故日Cb)/365.25)</f>
        <v>1.2997674441039079E-2</v>
      </c>
      <c r="AA334" s="808"/>
      <c r="AB334" s="214"/>
      <c r="AC334" s="215"/>
      <c r="AD334" s="193"/>
      <c r="AE334" s="189">
        <v>39853</v>
      </c>
      <c r="AF334" s="293">
        <f>ND代替値</f>
        <v>0.26</v>
      </c>
      <c r="AG334" s="177">
        <v>470</v>
      </c>
      <c r="AH334" s="435">
        <f t="shared" si="83"/>
        <v>1.1055516943456806E-5</v>
      </c>
      <c r="AI334" s="434">
        <f>ND代替値*2.71828^(-(0.69315/30.07)*(AE334-事故日Cb)/365.25)</f>
        <v>1.3896034313627556E-2</v>
      </c>
      <c r="AJ334" s="661">
        <f>ND代替値*2.71828^(-(0.69315/0.022177)*(AE334-調査開始日2)/365.25)</f>
        <v>1.5629311563060861E-8</v>
      </c>
      <c r="AK334" s="189">
        <v>39848</v>
      </c>
      <c r="AL334" s="433">
        <f>ND代替値</f>
        <v>0.32500000000000001</v>
      </c>
      <c r="AM334" s="177">
        <v>374</v>
      </c>
      <c r="AN334" s="435">
        <f t="shared" si="84"/>
        <v>1.1106508320192494E-5</v>
      </c>
      <c r="AO334" s="434">
        <f>ND代替値*2.71828^(-(0.69315/30.07)*(AK334-事故日Cb)/365.25)</f>
        <v>1.4196173566661762E-2</v>
      </c>
      <c r="AP334" s="661">
        <f>ND代替値*2.71828^(-(0.69315/0.022177)*(AK334-調査開始日2)/365.25)</f>
        <v>2.5687465980253515E-8</v>
      </c>
      <c r="AR334" s="485">
        <f t="shared" si="85"/>
        <v>0.59128329158601678</v>
      </c>
      <c r="AS334" s="485">
        <f t="shared" si="86"/>
        <v>4.7001475725591692E-4</v>
      </c>
      <c r="AT334" s="486">
        <f t="shared" si="87"/>
        <v>9.2695563119589947E-47</v>
      </c>
      <c r="AU334" s="487">
        <f t="shared" si="88"/>
        <v>199.99999752535896</v>
      </c>
      <c r="AV334" s="488">
        <f t="shared" si="89"/>
        <v>0.27762757741267496</v>
      </c>
      <c r="AW334" s="486">
        <f t="shared" si="90"/>
        <v>5.7772898065580718E-2</v>
      </c>
      <c r="AX334" s="804">
        <f t="shared" si="91"/>
        <v>3.7212646578716332E-6</v>
      </c>
      <c r="AY334" s="821"/>
    </row>
    <row r="335" spans="2:51" ht="11.1" customHeight="1" x14ac:dyDescent="0.2">
      <c r="B335" s="182">
        <v>39945</v>
      </c>
      <c r="C335" s="433">
        <f>ND代替値</f>
        <v>0.18518518518518517</v>
      </c>
      <c r="D335" s="177">
        <v>374</v>
      </c>
      <c r="E335" s="435">
        <f t="shared" si="44"/>
        <v>8.6450784613216389E-6</v>
      </c>
      <c r="F335" s="434">
        <f>ND代替値*2.71828^(-(0.69315/30.07)*(B335-事故日Cb)/365.25)</f>
        <v>1.1757944766448043E-2</v>
      </c>
      <c r="G335" s="808"/>
      <c r="H335" s="212"/>
      <c r="I335" s="215"/>
      <c r="J335" s="193"/>
      <c r="K335" s="182">
        <v>39952</v>
      </c>
      <c r="L335" s="336">
        <v>0.53</v>
      </c>
      <c r="M335" s="177">
        <v>311</v>
      </c>
      <c r="N335" s="435">
        <f t="shared" si="81"/>
        <v>1.0092736091995599E-5</v>
      </c>
      <c r="O335" s="224">
        <v>5.2999999999999999E-2</v>
      </c>
      <c r="P335" s="661">
        <f t="shared" si="92"/>
        <v>2.4925296656601198E-12</v>
      </c>
      <c r="Q335" s="631">
        <f>ND代替値</f>
        <v>0.215</v>
      </c>
      <c r="R335" s="177">
        <v>391</v>
      </c>
      <c r="S335" s="435">
        <f t="shared" si="82"/>
        <v>1.0307475157782738E-5</v>
      </c>
      <c r="T335" s="434">
        <f>ND代替値*2.71828^(-(0.69315/30.07)*(K335-事故日Cb)/365.25)</f>
        <v>1.557239579760521E-2</v>
      </c>
      <c r="U335" s="634">
        <v>7.2999999999999995E-2</v>
      </c>
      <c r="V335" s="182">
        <v>39953</v>
      </c>
      <c r="W335" s="433">
        <f>ND代替値</f>
        <v>0.17499999999999999</v>
      </c>
      <c r="X335" s="177">
        <v>330</v>
      </c>
      <c r="Y335" s="435">
        <f t="shared" si="47"/>
        <v>8.3671194307318986E-6</v>
      </c>
      <c r="Z335" s="224">
        <v>5.1999999999999998E-2</v>
      </c>
      <c r="AA335" s="808"/>
      <c r="AB335" s="214">
        <v>2.4E-2</v>
      </c>
      <c r="AC335" s="215">
        <v>2.9</v>
      </c>
      <c r="AD335" s="193">
        <f>AB335/AC335</f>
        <v>8.2758620689655175E-3</v>
      </c>
      <c r="AE335" s="189">
        <v>39953</v>
      </c>
      <c r="AF335" s="293">
        <f>ND代替値</f>
        <v>0.26</v>
      </c>
      <c r="AG335" s="177">
        <v>394</v>
      </c>
      <c r="AH335" s="435">
        <f t="shared" si="83"/>
        <v>1.0083451621651261E-5</v>
      </c>
      <c r="AI335" s="224">
        <v>5.8000000000000003E-2</v>
      </c>
      <c r="AJ335" s="661">
        <f>ND代替値*2.71828^(-(0.69315/0.022177)*(AE335-調査開始日2)/365.25)</f>
        <v>3.0031429806614553E-12</v>
      </c>
      <c r="AK335" s="189">
        <v>39954</v>
      </c>
      <c r="AL335" s="433">
        <f>ND代替値</f>
        <v>0.32500000000000001</v>
      </c>
      <c r="AM335" s="177">
        <v>391</v>
      </c>
      <c r="AN335" s="435">
        <f t="shared" si="84"/>
        <v>1.0074175692240603E-5</v>
      </c>
      <c r="AO335" s="434">
        <f>ND代替値*2.71828^(-(0.69315/30.07)*(AK335-事故日Cb)/365.25)</f>
        <v>1.4101521827101159E-2</v>
      </c>
      <c r="AP335" s="661">
        <f>ND代替値*2.71828^(-(0.69315/0.022177)*(AK335-調査開始日2)/365.25)</f>
        <v>2.9537626500007929E-12</v>
      </c>
      <c r="AR335" s="485">
        <f t="shared" si="85"/>
        <v>0.58789723832240215</v>
      </c>
      <c r="AS335" s="485">
        <f t="shared" si="86"/>
        <v>4.3225392306608191E-4</v>
      </c>
      <c r="AT335" s="486">
        <f t="shared" si="87"/>
        <v>2.837963888302969E-47</v>
      </c>
      <c r="AU335" s="487">
        <f t="shared" si="88"/>
        <v>199.99999749831204</v>
      </c>
      <c r="AV335" s="488">
        <f t="shared" si="89"/>
        <v>0.27376622171771636</v>
      </c>
      <c r="AW335" s="486">
        <f t="shared" si="90"/>
        <v>5.7427497242889793E-2</v>
      </c>
      <c r="AX335" s="804">
        <f t="shared" si="91"/>
        <v>7.150340430146322E-10</v>
      </c>
      <c r="AY335" s="821"/>
    </row>
    <row r="336" spans="2:51" ht="11.1" customHeight="1" x14ac:dyDescent="0.2">
      <c r="B336" s="182">
        <v>40029</v>
      </c>
      <c r="C336" s="194">
        <v>0.7</v>
      </c>
      <c r="D336" s="177">
        <v>296</v>
      </c>
      <c r="E336" s="435">
        <f t="shared" si="44"/>
        <v>8.0019213304336898E-6</v>
      </c>
      <c r="F336" s="178">
        <v>5.3999999999999999E-2</v>
      </c>
      <c r="G336" s="223">
        <v>0.14000000000000001</v>
      </c>
      <c r="H336" s="212">
        <v>4.7E-2</v>
      </c>
      <c r="I336" s="215">
        <v>2.4</v>
      </c>
      <c r="J336" s="193">
        <f>H336/I336</f>
        <v>1.9583333333333335E-2</v>
      </c>
      <c r="K336" s="182">
        <v>40028</v>
      </c>
      <c r="L336" s="336">
        <v>0.65</v>
      </c>
      <c r="M336" s="177">
        <v>316</v>
      </c>
      <c r="N336" s="435">
        <f t="shared" si="81"/>
        <v>9.4109148152394977E-6</v>
      </c>
      <c r="O336" s="224">
        <v>5.6000000000000001E-2</v>
      </c>
      <c r="P336" s="661">
        <f t="shared" si="92"/>
        <v>3.7342536845509776E-15</v>
      </c>
      <c r="Q336" s="389">
        <v>0.52</v>
      </c>
      <c r="R336" s="177">
        <v>309</v>
      </c>
      <c r="S336" s="435">
        <f t="shared" si="82"/>
        <v>9.6111470453509762E-6</v>
      </c>
      <c r="T336" s="178">
        <v>5.8000000000000003E-2</v>
      </c>
      <c r="U336" s="634">
        <v>0.24</v>
      </c>
      <c r="V336" s="182">
        <v>40046</v>
      </c>
      <c r="W336" s="194">
        <v>0.89</v>
      </c>
      <c r="X336" s="177">
        <v>287</v>
      </c>
      <c r="Y336" s="435">
        <f t="shared" si="47"/>
        <v>7.6807569238543877E-6</v>
      </c>
      <c r="Z336" s="178">
        <v>5.5E-2</v>
      </c>
      <c r="AA336" s="223">
        <v>0.11</v>
      </c>
      <c r="AB336" s="214">
        <v>0.03</v>
      </c>
      <c r="AC336" s="215">
        <v>2.2999999999999998</v>
      </c>
      <c r="AD336" s="193">
        <f>AB336/AC336</f>
        <v>1.3043478260869566E-2</v>
      </c>
      <c r="AE336" s="189">
        <v>40031</v>
      </c>
      <c r="AF336" s="336">
        <v>0.52</v>
      </c>
      <c r="AG336" s="177">
        <v>323</v>
      </c>
      <c r="AH336" s="435">
        <f t="shared" si="83"/>
        <v>9.3849669438098304E-6</v>
      </c>
      <c r="AI336" s="224">
        <v>5.0999999999999997E-2</v>
      </c>
      <c r="AJ336" s="634">
        <v>0.13</v>
      </c>
      <c r="AK336" s="189">
        <v>40030</v>
      </c>
      <c r="AL336" s="194">
        <v>1.8</v>
      </c>
      <c r="AM336" s="177">
        <v>313</v>
      </c>
      <c r="AN336" s="435">
        <f t="shared" si="84"/>
        <v>9.3936082752250852E-6</v>
      </c>
      <c r="AO336" s="178">
        <v>5.6000000000000001E-2</v>
      </c>
      <c r="AP336" s="634">
        <v>9.7000000000000003E-2</v>
      </c>
      <c r="AR336" s="485">
        <f t="shared" si="85"/>
        <v>0.58478886384560225</v>
      </c>
      <c r="AS336" s="485">
        <f t="shared" si="86"/>
        <v>4.000960665216845E-4</v>
      </c>
      <c r="AT336" s="486">
        <f t="shared" si="87"/>
        <v>9.5169382339617367E-48</v>
      </c>
      <c r="AU336" s="487">
        <f t="shared" si="88"/>
        <v>199.9999974733457</v>
      </c>
      <c r="AV336" s="488">
        <f t="shared" si="89"/>
        <v>0.27024957785890924</v>
      </c>
      <c r="AW336" s="486">
        <f t="shared" si="90"/>
        <v>5.7110498846572356E-2</v>
      </c>
      <c r="AX336" s="804">
        <f t="shared" si="91"/>
        <v>9.0274049556824096E-13</v>
      </c>
      <c r="AY336" s="821"/>
    </row>
    <row r="337" spans="1:51" ht="11.1" customHeight="1" x14ac:dyDescent="0.2">
      <c r="B337" s="182">
        <v>40127</v>
      </c>
      <c r="C337" s="188">
        <v>1.4</v>
      </c>
      <c r="D337" s="177">
        <v>390</v>
      </c>
      <c r="E337" s="435">
        <f t="shared" si="44"/>
        <v>7.311792170235688E-6</v>
      </c>
      <c r="F337" s="224">
        <v>6.8000000000000005E-2</v>
      </c>
      <c r="G337" s="807"/>
      <c r="H337" s="212"/>
      <c r="I337" s="215"/>
      <c r="J337" s="501"/>
      <c r="K337" s="182">
        <v>40128</v>
      </c>
      <c r="L337" s="335">
        <v>0.75</v>
      </c>
      <c r="M337" s="177">
        <v>383</v>
      </c>
      <c r="N337" s="435">
        <f t="shared" si="81"/>
        <v>8.5834524735735412E-6</v>
      </c>
      <c r="O337" s="434">
        <f>ND代替値*2.71828^(-(0.69315/30.07)*(K337-事故日Cb)/365.25)</f>
        <v>1.4528662872588687E-2</v>
      </c>
      <c r="P337" s="661">
        <f t="shared" si="92"/>
        <v>7.1752986019379898E-19</v>
      </c>
      <c r="Q337" s="204">
        <v>0.56999999999999995</v>
      </c>
      <c r="R337" s="177">
        <v>398</v>
      </c>
      <c r="S337" s="435">
        <f t="shared" si="82"/>
        <v>8.7660791219474468E-6</v>
      </c>
      <c r="T337" s="434">
        <f>ND代替値*2.71828^(-(0.69315/30.07)*(K337-事故日Cb)/365.25)</f>
        <v>1.5400382644944005E-2</v>
      </c>
      <c r="U337" s="634">
        <v>0.2</v>
      </c>
      <c r="V337" s="182">
        <v>40127</v>
      </c>
      <c r="W337" s="188">
        <v>0.99</v>
      </c>
      <c r="X337" s="177">
        <v>375</v>
      </c>
      <c r="Y337" s="435">
        <f t="shared" si="47"/>
        <v>7.1289973659797955E-6</v>
      </c>
      <c r="Z337" s="178">
        <v>6.3E-2</v>
      </c>
      <c r="AA337" s="807"/>
      <c r="AB337" s="214"/>
      <c r="AC337" s="215"/>
      <c r="AD337" s="216"/>
      <c r="AE337" s="189">
        <v>40126</v>
      </c>
      <c r="AF337" s="335">
        <v>0.81</v>
      </c>
      <c r="AG337" s="177">
        <v>393</v>
      </c>
      <c r="AH337" s="435">
        <f t="shared" si="83"/>
        <v>8.5992664035718254E-6</v>
      </c>
      <c r="AI337" s="434">
        <f>ND代替値*2.71828^(-(0.69315/30.07)*(AE337-事故日Cb)/365.25)</f>
        <v>1.3658667008639276E-2</v>
      </c>
      <c r="AJ337" s="661">
        <f>ND代替値*2.71828^(-(0.69315/0.022177)*(AE337-調査開始日2)/365.25)</f>
        <v>1.1175489836470765E-18</v>
      </c>
      <c r="AK337" s="189">
        <v>40135</v>
      </c>
      <c r="AL337" s="188">
        <v>0.73</v>
      </c>
      <c r="AM337" s="177">
        <v>421</v>
      </c>
      <c r="AN337" s="435">
        <f t="shared" si="84"/>
        <v>8.5283323854146652E-6</v>
      </c>
      <c r="AO337" s="434">
        <f t="shared" ref="AO337:AO341" si="93">ND代替値*2.71828^(-(0.69315/30.07)*(AK337-事故日Cb)/365.25)</f>
        <v>1.394135605182561E-2</v>
      </c>
      <c r="AP337" s="661">
        <f t="shared" ref="AP337:AP342" si="94">ND代替値*2.71828^(-(0.69315/0.022177)*(AK337-調査開始日2)/365.25)</f>
        <v>5.5431552947550177E-19</v>
      </c>
      <c r="AR337" s="485">
        <f t="shared" si="85"/>
        <v>0.58118319264838447</v>
      </c>
      <c r="AS337" s="485">
        <f t="shared" si="86"/>
        <v>3.655896085117844E-4</v>
      </c>
      <c r="AT337" s="486">
        <f t="shared" si="87"/>
        <v>2.660129018024411E-48</v>
      </c>
      <c r="AU337" s="487">
        <f t="shared" si="88"/>
        <v>199.99999744421831</v>
      </c>
      <c r="AV337" s="488">
        <f t="shared" si="89"/>
        <v>0.26620387922422123</v>
      </c>
      <c r="AW337" s="486">
        <f t="shared" si="90"/>
        <v>5.6742878287663001E-2</v>
      </c>
      <c r="AX337" s="804">
        <f t="shared" si="91"/>
        <v>2.6608309134454203E-16</v>
      </c>
      <c r="AY337" s="821"/>
    </row>
    <row r="338" spans="1:51" ht="11.1" customHeight="1" x14ac:dyDescent="0.2">
      <c r="B338" s="182">
        <v>40217</v>
      </c>
      <c r="C338" s="188">
        <v>0.67</v>
      </c>
      <c r="D338" s="177">
        <v>421</v>
      </c>
      <c r="E338" s="435">
        <f t="shared" si="44"/>
        <v>6.7305566900695844E-6</v>
      </c>
      <c r="F338" s="434">
        <f>ND代替値*2.71828^(-(0.69315/30.07)*(B338-事故日Cb)/365.25)</f>
        <v>1.1557828975908237E-2</v>
      </c>
      <c r="G338" s="808"/>
      <c r="H338" s="437">
        <f>ND代替値*2.71828^(-(0.69315/28.799)*(B338-調査開始日)/365.25)</f>
        <v>5.0676006532979169E-3</v>
      </c>
      <c r="I338" s="215">
        <v>1.4</v>
      </c>
      <c r="J338" s="203">
        <f>ND代替値</f>
        <v>5.0000000000000001E-3</v>
      </c>
      <c r="K338" s="182">
        <v>40218</v>
      </c>
      <c r="L338" s="433">
        <f>ND代替値</f>
        <v>2.9000000000000001E-2</v>
      </c>
      <c r="M338" s="177">
        <v>388</v>
      </c>
      <c r="N338" s="435">
        <f t="shared" si="81"/>
        <v>7.901129042627386E-6</v>
      </c>
      <c r="O338" s="224">
        <v>5.7000000000000002E-2</v>
      </c>
      <c r="P338" s="661">
        <f t="shared" si="92"/>
        <v>3.2442366325207802E-22</v>
      </c>
      <c r="Q338" s="631">
        <f>ND代替値</f>
        <v>0.215</v>
      </c>
      <c r="R338" s="177">
        <v>417</v>
      </c>
      <c r="S338" s="435">
        <f t="shared" si="82"/>
        <v>8.0692381711939268E-6</v>
      </c>
      <c r="T338" s="434">
        <f>ND代替値*2.71828^(-(0.69315/30.07)*(K338-事故日Cb)/365.25)</f>
        <v>1.531315693789299E-2</v>
      </c>
      <c r="U338" s="635">
        <v>7.9000000000000001E-2</v>
      </c>
      <c r="V338" s="182">
        <v>40218</v>
      </c>
      <c r="W338" s="666">
        <v>0.46</v>
      </c>
      <c r="X338" s="177">
        <v>409</v>
      </c>
      <c r="Y338" s="435">
        <f t="shared" si="47"/>
        <v>6.556256014095066E-6</v>
      </c>
      <c r="Z338" s="224">
        <v>5.8999999999999997E-2</v>
      </c>
      <c r="AA338" s="808"/>
      <c r="AB338" s="214"/>
      <c r="AC338" s="215"/>
      <c r="AD338" s="216"/>
      <c r="AE338" s="189">
        <v>40217</v>
      </c>
      <c r="AF338" s="433">
        <f>ND代替値</f>
        <v>0.26</v>
      </c>
      <c r="AG338" s="177">
        <v>434</v>
      </c>
      <c r="AH338" s="435">
        <f t="shared" si="83"/>
        <v>7.908404110831762E-6</v>
      </c>
      <c r="AI338" s="434">
        <f>ND代替値*2.71828^(-(0.69315/30.07)*(AE338-事故日Cb)/365.25)</f>
        <v>1.3580449046692179E-2</v>
      </c>
      <c r="AJ338" s="661">
        <f>ND代替値*2.71828^(-(0.69315/0.022177)*(AE338-調査開始日2)/365.25)</f>
        <v>4.638477713915409E-22</v>
      </c>
      <c r="AK338" s="189">
        <v>40217</v>
      </c>
      <c r="AL338" s="433">
        <f>ND代替値</f>
        <v>0.32500000000000001</v>
      </c>
      <c r="AM338" s="177">
        <v>415</v>
      </c>
      <c r="AN338" s="435">
        <f t="shared" si="84"/>
        <v>7.908404110831762E-6</v>
      </c>
      <c r="AO338" s="434">
        <f t="shared" si="93"/>
        <v>1.3869394771089885E-2</v>
      </c>
      <c r="AP338" s="661">
        <f t="shared" si="94"/>
        <v>4.9697975506236522E-22</v>
      </c>
      <c r="AR338" s="485">
        <f t="shared" si="85"/>
        <v>0.57789144879541188</v>
      </c>
      <c r="AS338" s="485">
        <f t="shared" si="86"/>
        <v>3.3652783450347922E-4</v>
      </c>
      <c r="AT338" s="486">
        <f t="shared" si="87"/>
        <v>8.2508661642345679E-49</v>
      </c>
      <c r="AU338" s="487">
        <f t="shared" si="88"/>
        <v>199.99999741746865</v>
      </c>
      <c r="AV338" s="488">
        <f t="shared" si="89"/>
        <v>0.26254181423881473</v>
      </c>
      <c r="AW338" s="486">
        <f t="shared" si="90"/>
        <v>5.6407352435762975E-2</v>
      </c>
      <c r="AX338" s="804">
        <f t="shared" si="91"/>
        <v>1.104399455694145E-19</v>
      </c>
      <c r="AY338" s="821"/>
    </row>
    <row r="339" spans="1:51" ht="11.1" customHeight="1" x14ac:dyDescent="0.2">
      <c r="B339" s="182">
        <v>40315</v>
      </c>
      <c r="C339" s="773">
        <v>0.48</v>
      </c>
      <c r="D339" s="177">
        <v>350</v>
      </c>
      <c r="E339" s="435">
        <f t="shared" si="44"/>
        <v>6.1500769222272459E-6</v>
      </c>
      <c r="F339" s="434">
        <f>ND代替値*2.71828^(-(0.69315/30.07)*(B339-事故日Cb)/365.25)</f>
        <v>1.1486566108885167E-2</v>
      </c>
      <c r="G339" s="808"/>
      <c r="H339" s="219"/>
      <c r="I339" s="215"/>
      <c r="J339" s="193"/>
      <c r="K339" s="182">
        <v>40316</v>
      </c>
      <c r="L339" s="433">
        <f>ND代替値</f>
        <v>2.9000000000000001E-2</v>
      </c>
      <c r="M339" s="177">
        <v>331</v>
      </c>
      <c r="N339" s="435">
        <f t="shared" si="81"/>
        <v>7.2196927568111459E-6</v>
      </c>
      <c r="O339" s="434">
        <f>ND代替値*2.71828^(-(0.69315/30.07)*(K339-事故日Cb)/365.25)</f>
        <v>1.4357301507569612E-2</v>
      </c>
      <c r="P339" s="661">
        <f t="shared" si="92"/>
        <v>7.3973464914236621E-26</v>
      </c>
      <c r="Q339" s="631">
        <f>ND代替値</f>
        <v>0.215</v>
      </c>
      <c r="R339" s="177">
        <v>408</v>
      </c>
      <c r="S339" s="435">
        <f t="shared" si="82"/>
        <v>7.3733032409986172E-6</v>
      </c>
      <c r="T339" s="434">
        <f>ND代替値*2.71828^(-(0.69315/30.07)*(K339-事故日Cb)/365.25)</f>
        <v>1.5218739598023787E-2</v>
      </c>
      <c r="U339" s="661">
        <f>ND代替値*2.71828^(-(0.69315/0.022177)*(K339-調査開始日2)/365.25)</f>
        <v>7.628513569280651E-26</v>
      </c>
      <c r="V339" s="182">
        <v>40315</v>
      </c>
      <c r="W339" s="188">
        <v>0.56000000000000005</v>
      </c>
      <c r="X339" s="177">
        <v>339</v>
      </c>
      <c r="Y339" s="435">
        <f t="shared" si="47"/>
        <v>5.9963249991715642E-6</v>
      </c>
      <c r="Z339" s="434">
        <f>0.022*2.71828^(-(0.69315/30.02)*(V339-事故日Cb)/365.25)</f>
        <v>1.2623557697389947E-2</v>
      </c>
      <c r="AA339" s="808"/>
      <c r="AB339" s="214"/>
      <c r="AC339" s="215"/>
      <c r="AD339" s="216"/>
      <c r="AE339" s="189">
        <v>40309</v>
      </c>
      <c r="AF339" s="335">
        <v>0.59</v>
      </c>
      <c r="AG339" s="177">
        <v>289</v>
      </c>
      <c r="AH339" s="435">
        <f t="shared" si="83"/>
        <v>7.2663548805712443E-6</v>
      </c>
      <c r="AI339" s="224">
        <v>5.2999999999999999E-2</v>
      </c>
      <c r="AJ339" s="635">
        <v>8.4000000000000005E-2</v>
      </c>
      <c r="AK339" s="189">
        <v>40315</v>
      </c>
      <c r="AL339" s="433">
        <f>ND代替値</f>
        <v>0.32500000000000001</v>
      </c>
      <c r="AM339" s="177">
        <v>327</v>
      </c>
      <c r="AN339" s="435">
        <f t="shared" si="84"/>
        <v>7.2263403836170138E-6</v>
      </c>
      <c r="AO339" s="434">
        <f t="shared" si="93"/>
        <v>1.37838793306622E-2</v>
      </c>
      <c r="AP339" s="661">
        <f t="shared" si="94"/>
        <v>1.1331884396369178E-25</v>
      </c>
      <c r="AR339" s="485">
        <f t="shared" si="85"/>
        <v>0.57432830544425828</v>
      </c>
      <c r="AS339" s="485">
        <f t="shared" si="86"/>
        <v>3.0750384611136228E-4</v>
      </c>
      <c r="AT339" s="486">
        <f t="shared" si="87"/>
        <v>2.3062426137213382E-49</v>
      </c>
      <c r="AU339" s="487">
        <f t="shared" si="88"/>
        <v>199.99999738834126</v>
      </c>
      <c r="AV339" s="488">
        <f t="shared" si="89"/>
        <v>0.25861150260676835</v>
      </c>
      <c r="AW339" s="486">
        <f t="shared" si="90"/>
        <v>5.6044258033720699E-2</v>
      </c>
      <c r="AX339" s="804">
        <f t="shared" si="91"/>
        <v>4.2079585377283704E-23</v>
      </c>
      <c r="AY339" s="821"/>
    </row>
    <row r="340" spans="1:51" ht="11.1" customHeight="1" x14ac:dyDescent="0.2">
      <c r="B340" s="182">
        <v>40399</v>
      </c>
      <c r="C340" s="773">
        <v>0.42</v>
      </c>
      <c r="D340" s="177">
        <v>289</v>
      </c>
      <c r="E340" s="435">
        <f t="shared" si="44"/>
        <v>5.6925373121778167E-6</v>
      </c>
      <c r="F340" s="224">
        <v>5.1999999999999998E-2</v>
      </c>
      <c r="G340" s="808"/>
      <c r="H340" s="212">
        <v>2.9000000000000001E-2</v>
      </c>
      <c r="I340" s="215">
        <v>2.1</v>
      </c>
      <c r="J340" s="193">
        <f>H340/I340</f>
        <v>1.380952380952381E-2</v>
      </c>
      <c r="K340" s="182">
        <v>40399</v>
      </c>
      <c r="L340" s="336">
        <v>0.54</v>
      </c>
      <c r="M340" s="177">
        <v>288</v>
      </c>
      <c r="N340" s="435">
        <f t="shared" si="81"/>
        <v>6.6887313418089343E-6</v>
      </c>
      <c r="O340" s="224">
        <v>5.7000000000000002E-2</v>
      </c>
      <c r="P340" s="635">
        <v>6.4000000000000001E-2</v>
      </c>
      <c r="Q340" s="631">
        <f>ND代替値</f>
        <v>0.215</v>
      </c>
      <c r="R340" s="177">
        <v>273</v>
      </c>
      <c r="S340" s="435">
        <f t="shared" si="82"/>
        <v>6.8310447746133801E-6</v>
      </c>
      <c r="T340" s="178">
        <v>6.9000000000000006E-2</v>
      </c>
      <c r="U340" s="634">
        <v>0.23</v>
      </c>
      <c r="V340" s="182">
        <v>40400</v>
      </c>
      <c r="W340" s="194">
        <v>0.56000000000000005</v>
      </c>
      <c r="X340" s="177">
        <v>288</v>
      </c>
      <c r="Y340" s="435">
        <f t="shared" si="47"/>
        <v>5.5451181391119781E-6</v>
      </c>
      <c r="Z340" s="224">
        <v>4.8000000000000001E-2</v>
      </c>
      <c r="AA340" s="808"/>
      <c r="AB340" s="437">
        <f>ND代替値*2.71828^(-(0.69315/28.799)*(V340-調査開始日)/365.25)</f>
        <v>4.5061718127830507E-3</v>
      </c>
      <c r="AC340" s="215">
        <v>2.8</v>
      </c>
      <c r="AD340" s="203">
        <f>ND代替値</f>
        <v>4.1379310344827587E-3</v>
      </c>
      <c r="AE340" s="189">
        <v>40400</v>
      </c>
      <c r="AF340" s="433">
        <f>ND代替値</f>
        <v>0.26</v>
      </c>
      <c r="AG340" s="177">
        <v>322</v>
      </c>
      <c r="AH340" s="435">
        <f t="shared" si="83"/>
        <v>6.6825782702118712E-6</v>
      </c>
      <c r="AI340" s="178">
        <v>6.5000000000000002E-2</v>
      </c>
      <c r="AJ340" s="661">
        <f>ND代替値*2.71828^(-(0.69315/0.022177)*(AE340-調査開始日2)/365.25)</f>
        <v>7.3354987720957375E-29</v>
      </c>
      <c r="AK340" s="189">
        <v>40399</v>
      </c>
      <c r="AL340" s="194">
        <v>1.2</v>
      </c>
      <c r="AM340" s="177">
        <v>329</v>
      </c>
      <c r="AN340" s="435">
        <f t="shared" si="84"/>
        <v>6.6887313418089343E-6</v>
      </c>
      <c r="AO340" s="434">
        <f t="shared" si="93"/>
        <v>1.3711000167587747E-2</v>
      </c>
      <c r="AP340" s="661">
        <f t="shared" si="94"/>
        <v>8.5616310861863492E-29</v>
      </c>
      <c r="AR340" s="485">
        <f t="shared" si="85"/>
        <v>0.57129167364948941</v>
      </c>
      <c r="AS340" s="485">
        <f t="shared" si="86"/>
        <v>2.8462686560889084E-4</v>
      </c>
      <c r="AT340" s="486">
        <f t="shared" si="87"/>
        <v>7.733843477635197E-50</v>
      </c>
      <c r="AU340" s="487">
        <f t="shared" si="88"/>
        <v>199.99999736337492</v>
      </c>
      <c r="AV340" s="488">
        <f t="shared" si="89"/>
        <v>0.255289527577297</v>
      </c>
      <c r="AW340" s="486">
        <f t="shared" si="90"/>
        <v>5.5734895084394366E-2</v>
      </c>
      <c r="AX340" s="804">
        <f t="shared" si="91"/>
        <v>1.746547326689461E-26</v>
      </c>
      <c r="AY340" s="821"/>
    </row>
    <row r="341" spans="1:51" ht="11.1" customHeight="1" x14ac:dyDescent="0.2">
      <c r="B341" s="226">
        <v>40493</v>
      </c>
      <c r="C341" s="206">
        <v>2</v>
      </c>
      <c r="D341" s="177">
        <v>365</v>
      </c>
      <c r="E341" s="435">
        <f t="shared" si="44"/>
        <v>5.2207661489000738E-6</v>
      </c>
      <c r="F341" s="434">
        <f>ND代替値*2.71828^(-(0.69315/30.07)*(B341-事故日Cb)/365.25)</f>
        <v>1.1358251408116745E-2</v>
      </c>
      <c r="G341" s="808"/>
      <c r="H341" s="212"/>
      <c r="I341" s="215"/>
      <c r="J341" s="501"/>
      <c r="K341" s="182">
        <v>40490</v>
      </c>
      <c r="L341" s="335">
        <v>1.1000000000000001</v>
      </c>
      <c r="M341" s="177">
        <v>395</v>
      </c>
      <c r="N341" s="435">
        <f t="shared" si="81"/>
        <v>6.1513608204810756E-6</v>
      </c>
      <c r="O341" s="224">
        <v>6.4000000000000001E-2</v>
      </c>
      <c r="P341" s="661">
        <f>ND代替値*2.71828^(-(0.69315/0.022177)*(K341-調査開始日2)/365.25)</f>
        <v>2.5269862653060328E-32</v>
      </c>
      <c r="Q341" s="204">
        <v>0.51</v>
      </c>
      <c r="R341" s="177">
        <v>410</v>
      </c>
      <c r="S341" s="435">
        <f t="shared" si="82"/>
        <v>6.2822408379381199E-6</v>
      </c>
      <c r="T341" s="224">
        <v>6.9000000000000006E-2</v>
      </c>
      <c r="U341" s="634">
        <v>0.11</v>
      </c>
      <c r="V341" s="226">
        <v>40493</v>
      </c>
      <c r="W341" s="227"/>
      <c r="X341" s="177"/>
      <c r="Y341" s="228"/>
      <c r="Z341" s="229"/>
      <c r="AA341" s="809"/>
      <c r="AB341" s="228"/>
      <c r="AC341" s="228"/>
      <c r="AD341" s="506"/>
      <c r="AE341" s="328">
        <v>40491</v>
      </c>
      <c r="AF341" s="335">
        <v>1.4</v>
      </c>
      <c r="AG341" s="177">
        <v>381</v>
      </c>
      <c r="AH341" s="435">
        <f t="shared" si="83"/>
        <v>6.1457020846740136E-6</v>
      </c>
      <c r="AI341" s="224">
        <v>5.8999999999999997E-2</v>
      </c>
      <c r="AJ341" s="661">
        <f>ND代替値*2.71828^(-(0.69315/0.022177)*(AE341-調査開始日2)/365.25)</f>
        <v>3.0446582720498227E-32</v>
      </c>
      <c r="AK341" s="328">
        <v>40498</v>
      </c>
      <c r="AL341" s="188">
        <v>1.2</v>
      </c>
      <c r="AM341" s="177">
        <v>374</v>
      </c>
      <c r="AN341" s="435">
        <f t="shared" si="84"/>
        <v>6.1062364219062058E-6</v>
      </c>
      <c r="AO341" s="434">
        <f t="shared" si="93"/>
        <v>1.3625601402251285E-2</v>
      </c>
      <c r="AP341" s="661">
        <f t="shared" si="94"/>
        <v>1.7920755299895677E-32</v>
      </c>
      <c r="AR341" s="485">
        <f t="shared" si="85"/>
        <v>0.5679125704058372</v>
      </c>
      <c r="AS341" s="485">
        <f t="shared" si="86"/>
        <v>2.610383074450037E-4</v>
      </c>
      <c r="AT341" s="486">
        <f t="shared" si="87"/>
        <v>2.2771756133560714E-50</v>
      </c>
      <c r="AU341" s="487">
        <f t="shared" si="88"/>
        <v>199.99999733543638</v>
      </c>
      <c r="AV341" s="488">
        <f t="shared" si="89"/>
        <v>0.25162264806794699</v>
      </c>
      <c r="AW341" s="486">
        <f t="shared" si="90"/>
        <v>5.5390727487503205E-2</v>
      </c>
      <c r="AX341" s="804">
        <f t="shared" si="91"/>
        <v>7.2491863620233882E-30</v>
      </c>
      <c r="AY341" s="822"/>
    </row>
    <row r="342" spans="1:51" s="30" customFormat="1" ht="11.1" customHeight="1" x14ac:dyDescent="0.2">
      <c r="B342" s="226">
        <v>40581</v>
      </c>
      <c r="C342" s="206"/>
      <c r="D342" s="177"/>
      <c r="E342" s="178"/>
      <c r="F342" s="178"/>
      <c r="G342" s="230"/>
      <c r="H342" s="212"/>
      <c r="I342" s="215"/>
      <c r="J342" s="501"/>
      <c r="K342" s="182">
        <v>40581</v>
      </c>
      <c r="L342" s="335"/>
      <c r="M342" s="177"/>
      <c r="N342" s="178"/>
      <c r="O342" s="178"/>
      <c r="P342" s="638"/>
      <c r="Q342" s="188"/>
      <c r="R342" s="177"/>
      <c r="S342" s="178"/>
      <c r="T342" s="178"/>
      <c r="U342" s="638"/>
      <c r="V342" s="226">
        <v>40581</v>
      </c>
      <c r="W342" s="433">
        <f>ND代替値</f>
        <v>0.17499999999999999</v>
      </c>
      <c r="X342" s="177">
        <v>322</v>
      </c>
      <c r="Y342" s="435">
        <f>ND代替値*2.71828^(-(0.69315/2.062)*(V342-事故日Cb)/365.25)</f>
        <v>4.694241201606538E-6</v>
      </c>
      <c r="Z342" s="224">
        <v>6.5000000000000002E-2</v>
      </c>
      <c r="AA342" s="808"/>
      <c r="AB342" s="214"/>
      <c r="AC342" s="215"/>
      <c r="AD342" s="216"/>
      <c r="AE342" s="328">
        <v>40596</v>
      </c>
      <c r="AF342" s="433">
        <f>ND代替値</f>
        <v>0.26</v>
      </c>
      <c r="AG342" s="177">
        <v>362</v>
      </c>
      <c r="AH342" s="435">
        <f t="shared" ref="AH342" si="95">ND代替値*2.71828^(-(0.69315/2.062)*(AE342-事故日Cb)/365.25)</f>
        <v>5.5796014251594746E-6</v>
      </c>
      <c r="AI342" s="434">
        <f>ND代替値*2.71828^(-(0.69315/30.07)*(AE342-事故日Cb)/365.25)</f>
        <v>1.3259472694342748E-2</v>
      </c>
      <c r="AJ342" s="661">
        <f>ND代替値*2.71828^(-(0.69315/0.022177)*(AE342-調査開始日2)/365.25)</f>
        <v>3.8137877904767656E-36</v>
      </c>
      <c r="AK342" s="328">
        <v>40582</v>
      </c>
      <c r="AL342" s="433">
        <f>ND代替値</f>
        <v>0.32500000000000001</v>
      </c>
      <c r="AM342" s="177">
        <v>341</v>
      </c>
      <c r="AN342" s="435">
        <f t="shared" ref="AN342" si="96">ND代替値*2.71828^(-(0.69315/2.062)*(AK342-事故日Cb)/365.25)</f>
        <v>5.6519583589357565E-6</v>
      </c>
      <c r="AO342" s="434">
        <f t="shared" ref="AO342" si="97">ND代替値*2.71828^(-(0.69315/30.07)*(AK342-事故日Cb)/365.25)</f>
        <v>1.3553559098139319E-2</v>
      </c>
      <c r="AP342" s="661">
        <f t="shared" si="94"/>
        <v>1.35397512273144E-35</v>
      </c>
      <c r="AR342" s="432">
        <f t="shared" si="85"/>
        <v>0.56476727084566958</v>
      </c>
      <c r="AS342" s="432">
        <f t="shared" si="86"/>
        <v>2.4073031803110452E-4</v>
      </c>
      <c r="AT342" s="436">
        <f t="shared" si="87"/>
        <v>7.2492188996874981E-51</v>
      </c>
      <c r="AU342" s="429">
        <f t="shared" si="88"/>
        <v>199.9999973092811</v>
      </c>
      <c r="AV342" s="430">
        <f t="shared" si="89"/>
        <v>0.24823757343032862</v>
      </c>
      <c r="AW342" s="436">
        <f t="shared" si="90"/>
        <v>5.5070454398759627E-2</v>
      </c>
      <c r="AX342" s="804">
        <f t="shared" si="91"/>
        <v>9.080447120182773E-34</v>
      </c>
      <c r="AY342" s="822"/>
    </row>
    <row r="343" spans="1:51" ht="11.1" customHeight="1" thickBot="1" x14ac:dyDescent="0.25">
      <c r="A343" s="386"/>
      <c r="B343" s="515">
        <v>40612</v>
      </c>
      <c r="C343" s="516"/>
      <c r="D343" s="507"/>
      <c r="E343" s="467"/>
      <c r="F343" s="467"/>
      <c r="G343" s="465"/>
      <c r="H343" s="517"/>
      <c r="I343" s="518"/>
      <c r="J343" s="519"/>
      <c r="K343" s="463">
        <v>40612</v>
      </c>
      <c r="L343" s="464"/>
      <c r="M343" s="507"/>
      <c r="N343" s="467"/>
      <c r="O343" s="467"/>
      <c r="P343" s="636"/>
      <c r="Q343" s="466"/>
      <c r="R343" s="507"/>
      <c r="S343" s="467"/>
      <c r="T343" s="467"/>
      <c r="U343" s="636"/>
      <c r="V343" s="515">
        <v>40612</v>
      </c>
      <c r="W343" s="520"/>
      <c r="X343" s="507"/>
      <c r="Y343" s="467"/>
      <c r="Z343" s="467"/>
      <c r="AA343" s="467"/>
      <c r="AB343" s="521"/>
      <c r="AC343" s="518"/>
      <c r="AD343" s="522"/>
      <c r="AE343" s="471">
        <v>40612</v>
      </c>
      <c r="AF343" s="653"/>
      <c r="AG343" s="507"/>
      <c r="AH343" s="654"/>
      <c r="AI343" s="654"/>
      <c r="AJ343" s="491"/>
      <c r="AK343" s="471">
        <v>40612</v>
      </c>
      <c r="AL343" s="653"/>
      <c r="AM343" s="507"/>
      <c r="AN343" s="654"/>
      <c r="AO343" s="654"/>
      <c r="AP343" s="508"/>
      <c r="AQ343" s="386"/>
      <c r="AR343" s="655"/>
      <c r="AS343" s="655"/>
      <c r="AT343" s="656"/>
      <c r="AU343" s="657"/>
      <c r="AV343" s="658"/>
      <c r="AW343" s="656"/>
      <c r="AX343" s="656"/>
      <c r="AY343" s="386"/>
    </row>
    <row r="344" spans="1:51" ht="11.1" customHeight="1" x14ac:dyDescent="0.2">
      <c r="B344" s="368">
        <v>40613</v>
      </c>
      <c r="C344" s="369"/>
      <c r="D344" s="370"/>
      <c r="E344" s="371"/>
      <c r="F344" s="371"/>
      <c r="G344" s="372"/>
      <c r="H344" s="373"/>
      <c r="I344" s="378"/>
      <c r="J344" s="504"/>
      <c r="K344" s="368">
        <v>40613</v>
      </c>
      <c r="L344" s="383"/>
      <c r="M344" s="370"/>
      <c r="N344" s="371"/>
      <c r="O344" s="371"/>
      <c r="P344" s="637"/>
      <c r="Q344" s="380"/>
      <c r="R344" s="370"/>
      <c r="S344" s="371"/>
      <c r="T344" s="371"/>
      <c r="U344" s="637"/>
      <c r="V344" s="368">
        <v>40613</v>
      </c>
      <c r="W344" s="543"/>
      <c r="X344" s="370"/>
      <c r="Y344" s="374"/>
      <c r="Z344" s="374"/>
      <c r="AA344" s="376"/>
      <c r="AB344" s="377"/>
      <c r="AC344" s="378"/>
      <c r="AD344" s="379"/>
      <c r="AE344" s="632">
        <v>40613</v>
      </c>
      <c r="AF344" s="384"/>
      <c r="AG344" s="370"/>
      <c r="AH344" s="375"/>
      <c r="AI344" s="375"/>
      <c r="AJ344" s="639"/>
      <c r="AK344" s="633">
        <v>40613</v>
      </c>
      <c r="AL344" s="393"/>
      <c r="AM344" s="370"/>
      <c r="AN344" s="375"/>
      <c r="AO344" s="375"/>
      <c r="AP344" s="639"/>
      <c r="AR344" s="485">
        <f t="shared" ref="AR344:AR370" si="98">1*2.71828^(-(0.69315/30.07)*(B344-事故日Fk)/365.25)</f>
        <v>1</v>
      </c>
      <c r="AS344" s="485">
        <f t="shared" ref="AS344:AS370" si="99">1*2.71828^(-(0.69315/2.062)*(B344-事故日Fk)/365.25)</f>
        <v>1</v>
      </c>
      <c r="AT344" s="486">
        <f t="shared" ref="AT344:AT370" si="100">10*2.71828^(-(0.69315/0.1459)*(B344-事故日Fk)/365.25)</f>
        <v>10</v>
      </c>
      <c r="AU344" s="487">
        <f t="shared" ref="AU344:AU370" si="101">200*2.71828^(-(0.69315/(1.277*10^9))*(B344-事故日Fk)/365.25)</f>
        <v>200</v>
      </c>
      <c r="AV344" s="488">
        <f t="shared" ref="AV344:AV370" si="102">1*2.71828^(-(0.69315/12.33)*(B344-事故日Fk)/365.25)</f>
        <v>1</v>
      </c>
      <c r="AW344" s="486">
        <f t="shared" ref="AW344:AW370" si="103">0.1*2.71828^(-(0.69315/28.799)*(B344-事故日Fk)/365.25)</f>
        <v>0.1</v>
      </c>
      <c r="AX344" s="660">
        <f t="shared" ref="AX344:AX370" si="104">10*2.71828^(-(0.69315/0.022177)*(AE344-事故日Fk)/365.25)</f>
        <v>10</v>
      </c>
    </row>
    <row r="345" spans="1:51" ht="11.1" customHeight="1" x14ac:dyDescent="0.2">
      <c r="B345" s="226">
        <v>40737</v>
      </c>
      <c r="C345" s="198"/>
      <c r="D345" s="177"/>
      <c r="E345" s="178"/>
      <c r="F345" s="178"/>
      <c r="G345" s="230"/>
      <c r="H345" s="197"/>
      <c r="I345" s="215"/>
      <c r="J345" s="203"/>
      <c r="K345" s="182">
        <v>40737</v>
      </c>
      <c r="L345" s="335"/>
      <c r="M345" s="177"/>
      <c r="N345" s="178"/>
      <c r="O345" s="178"/>
      <c r="P345" s="638"/>
      <c r="Q345" s="188"/>
      <c r="R345" s="177"/>
      <c r="S345" s="178"/>
      <c r="T345" s="178"/>
      <c r="U345" s="638"/>
      <c r="V345" s="226">
        <v>40737</v>
      </c>
      <c r="W345" s="433">
        <f t="shared" ref="W345:W356" si="105">ND代替値</f>
        <v>0.17499999999999999</v>
      </c>
      <c r="X345" s="177">
        <v>291</v>
      </c>
      <c r="Y345" s="180">
        <v>11.05</v>
      </c>
      <c r="Z345" s="180">
        <v>12.76</v>
      </c>
      <c r="AA345" s="223">
        <v>1.34</v>
      </c>
      <c r="AB345" s="214"/>
      <c r="AC345" s="215"/>
      <c r="AD345" s="216"/>
      <c r="AE345" s="328">
        <v>40737</v>
      </c>
      <c r="AF345" s="293"/>
      <c r="AG345" s="177"/>
      <c r="AH345" s="178"/>
      <c r="AI345" s="178"/>
      <c r="AJ345" s="641"/>
      <c r="AK345" s="328">
        <v>40778</v>
      </c>
      <c r="AL345" s="433">
        <f>ND代替値</f>
        <v>0.32500000000000001</v>
      </c>
      <c r="AM345" s="177">
        <v>283</v>
      </c>
      <c r="AN345" s="178"/>
      <c r="AO345" s="178"/>
      <c r="AP345" s="642"/>
      <c r="AR345" s="485">
        <f t="shared" si="98"/>
        <v>0.99220480937425537</v>
      </c>
      <c r="AS345" s="485">
        <f t="shared" si="99"/>
        <v>0.89214902243344496</v>
      </c>
      <c r="AT345" s="486">
        <f t="shared" si="100"/>
        <v>1.9931199056611999</v>
      </c>
      <c r="AU345" s="487">
        <f t="shared" si="101"/>
        <v>199.99999996314492</v>
      </c>
      <c r="AV345" s="488">
        <f t="shared" si="102"/>
        <v>0.9810958295107769</v>
      </c>
      <c r="AW345" s="486">
        <f t="shared" si="103"/>
        <v>9.9186218406308313E-2</v>
      </c>
      <c r="AX345" s="662">
        <f t="shared" si="104"/>
        <v>2.4643866046606376E-4</v>
      </c>
    </row>
    <row r="346" spans="1:51" ht="11.1" customHeight="1" x14ac:dyDescent="0.2">
      <c r="B346" s="226">
        <v>40784</v>
      </c>
      <c r="C346" s="198"/>
      <c r="D346" s="177"/>
      <c r="E346" s="178"/>
      <c r="F346" s="178"/>
      <c r="G346" s="230"/>
      <c r="H346" s="197"/>
      <c r="I346" s="215"/>
      <c r="J346" s="203"/>
      <c r="K346" s="182">
        <v>40784</v>
      </c>
      <c r="L346" s="335"/>
      <c r="M346" s="177"/>
      <c r="N346" s="178"/>
      <c r="O346" s="178"/>
      <c r="P346" s="638"/>
      <c r="Q346" s="188"/>
      <c r="R346" s="177"/>
      <c r="S346" s="178"/>
      <c r="T346" s="178"/>
      <c r="U346" s="638"/>
      <c r="V346" s="226">
        <v>40784</v>
      </c>
      <c r="W346" s="433">
        <f t="shared" si="105"/>
        <v>0.17499999999999999</v>
      </c>
      <c r="X346" s="177">
        <v>242</v>
      </c>
      <c r="Y346" s="180">
        <v>3.95</v>
      </c>
      <c r="Z346" s="180">
        <v>4.8899999999999997</v>
      </c>
      <c r="AA346" s="802">
        <f>ND代替値*2.71828^(-(0.69315/0.022177)*(V346-事故日Fk)/365.25)</f>
        <v>9.9357430866970312E-9</v>
      </c>
      <c r="AB346" s="214">
        <v>4.2000000000000003E-2</v>
      </c>
      <c r="AC346" s="215">
        <v>2.6</v>
      </c>
      <c r="AD346" s="193">
        <f>AB346/AC346</f>
        <v>1.6153846153846154E-2</v>
      </c>
      <c r="AE346" s="328">
        <v>40781</v>
      </c>
      <c r="AF346" s="433">
        <f t="shared" ref="AF346:AF356" si="106">ND代替値</f>
        <v>0.26</v>
      </c>
      <c r="AG346" s="177">
        <v>292</v>
      </c>
      <c r="AH346" s="180">
        <v>3.74</v>
      </c>
      <c r="AI346" s="180">
        <v>4.57</v>
      </c>
      <c r="AJ346" s="661">
        <f t="shared" ref="AJ346:AJ356" si="107">ND代替値*2.71828^(-(0.69315/0.022177)*(AE346-事故日Fk)/365.25)</f>
        <v>2.3974968248236618E-8</v>
      </c>
      <c r="AK346" s="328">
        <v>40778</v>
      </c>
      <c r="AL346" s="433">
        <f>ND代替値</f>
        <v>0.32500000000000001</v>
      </c>
      <c r="AM346" s="177">
        <v>283</v>
      </c>
      <c r="AN346" s="180">
        <v>12.92</v>
      </c>
      <c r="AO346" s="180">
        <v>15.07</v>
      </c>
      <c r="AP346" s="634">
        <v>0.18</v>
      </c>
      <c r="AR346" s="485">
        <f t="shared" si="98"/>
        <v>0.98926608723709608</v>
      </c>
      <c r="AS346" s="485">
        <f t="shared" si="99"/>
        <v>0.85438099888789665</v>
      </c>
      <c r="AT346" s="486">
        <f t="shared" si="100"/>
        <v>1.0815186165877242</v>
      </c>
      <c r="AU346" s="487">
        <f t="shared" si="101"/>
        <v>199.99999994917565</v>
      </c>
      <c r="AV346" s="488">
        <f t="shared" si="102"/>
        <v>0.97402430500175141</v>
      </c>
      <c r="AW346" s="486">
        <f t="shared" si="103"/>
        <v>9.8879502614214021E-2</v>
      </c>
      <c r="AX346" s="662">
        <f t="shared" si="104"/>
        <v>5.7083257733896701E-6</v>
      </c>
    </row>
    <row r="347" spans="1:51" ht="11.1" customHeight="1" x14ac:dyDescent="0.2">
      <c r="B347" s="226">
        <v>40861</v>
      </c>
      <c r="C347" s="188">
        <v>1.5</v>
      </c>
      <c r="D347" s="177">
        <v>300</v>
      </c>
      <c r="E347" s="188">
        <v>1.2</v>
      </c>
      <c r="F347" s="188">
        <v>1.5</v>
      </c>
      <c r="G347" s="802">
        <f t="shared" ref="G347:G364" si="108">ND代替値*2.71828^(-(0.69315/0.022177)*(B347-事故日Fk)/365.25)</f>
        <v>1.2753722808184653E-11</v>
      </c>
      <c r="H347" s="212"/>
      <c r="I347" s="215"/>
      <c r="J347" s="501"/>
      <c r="K347" s="182">
        <v>40861</v>
      </c>
      <c r="L347" s="335"/>
      <c r="M347" s="177"/>
      <c r="N347" s="178"/>
      <c r="O347" s="178"/>
      <c r="P347" s="638"/>
      <c r="Q347" s="188"/>
      <c r="R347" s="177"/>
      <c r="S347" s="178"/>
      <c r="T347" s="178"/>
      <c r="U347" s="638"/>
      <c r="V347" s="226">
        <v>40858</v>
      </c>
      <c r="W347" s="433">
        <f t="shared" si="105"/>
        <v>0.17499999999999999</v>
      </c>
      <c r="X347" s="177">
        <v>365</v>
      </c>
      <c r="Y347" s="180">
        <v>6.42</v>
      </c>
      <c r="Z347" s="180">
        <v>8.56</v>
      </c>
      <c r="AA347" s="802">
        <f>ND代替値*2.71828^(-(0.69315/0.022177)*(V347-事故日Fk)/365.25)</f>
        <v>1.7664083632456107E-11</v>
      </c>
      <c r="AB347" s="214"/>
      <c r="AC347" s="215"/>
      <c r="AD347" s="216"/>
      <c r="AE347" s="328">
        <v>40858</v>
      </c>
      <c r="AF347" s="433">
        <f t="shared" si="106"/>
        <v>0.26</v>
      </c>
      <c r="AG347" s="177">
        <v>383</v>
      </c>
      <c r="AH347" s="180">
        <v>1.91</v>
      </c>
      <c r="AI347" s="180">
        <v>2.48</v>
      </c>
      <c r="AJ347" s="661">
        <f t="shared" si="107"/>
        <v>3.2972956113918071E-11</v>
      </c>
      <c r="AK347" s="328">
        <v>40856</v>
      </c>
      <c r="AL347" s="433">
        <f>ND代替値</f>
        <v>0.32500000000000001</v>
      </c>
      <c r="AM347" s="177">
        <v>408</v>
      </c>
      <c r="AN347" s="180">
        <v>7.77</v>
      </c>
      <c r="AO347" s="180">
        <v>10.16</v>
      </c>
      <c r="AP347" s="661">
        <f>ND代替値*2.71828^(-(0.69315/0.022177)*(AK347-事故日Fk)/365.25)</f>
        <v>4.1922616928453841E-11</v>
      </c>
      <c r="AR347" s="485">
        <f t="shared" si="98"/>
        <v>0.98447038374540241</v>
      </c>
      <c r="AS347" s="485">
        <f t="shared" si="99"/>
        <v>0.79592987822895134</v>
      </c>
      <c r="AT347" s="486">
        <f t="shared" si="100"/>
        <v>0.39725269583429113</v>
      </c>
      <c r="AU347" s="487">
        <f t="shared" si="101"/>
        <v>199.9999999262898</v>
      </c>
      <c r="AV347" s="488">
        <f t="shared" si="102"/>
        <v>0.96254902668343945</v>
      </c>
      <c r="AW347" s="486">
        <f t="shared" si="103"/>
        <v>9.8379059217438933E-2</v>
      </c>
      <c r="AX347" s="804">
        <f t="shared" si="104"/>
        <v>7.8507038366471586E-9</v>
      </c>
    </row>
    <row r="348" spans="1:51" ht="11.1" customHeight="1" x14ac:dyDescent="0.2">
      <c r="B348" s="226">
        <v>40945</v>
      </c>
      <c r="C348" s="433">
        <f>ND代替値</f>
        <v>0.18518518518518517</v>
      </c>
      <c r="D348" s="177">
        <v>382</v>
      </c>
      <c r="E348" s="231">
        <v>0.33</v>
      </c>
      <c r="F348" s="231">
        <v>0.39</v>
      </c>
      <c r="G348" s="802">
        <f t="shared" si="108"/>
        <v>9.6358792447745515E-15</v>
      </c>
      <c r="H348" s="437">
        <f>ND代替値*2.71828^(-(0.69315/28.799)*(B348-調査開始日)/365.25)</f>
        <v>4.8302351222929878E-3</v>
      </c>
      <c r="I348" s="215">
        <v>0.98</v>
      </c>
      <c r="J348" s="203">
        <f>ND代替値</f>
        <v>5.0000000000000001E-3</v>
      </c>
      <c r="K348" s="182">
        <v>40945</v>
      </c>
      <c r="L348" s="335"/>
      <c r="M348" s="177"/>
      <c r="N348" s="178"/>
      <c r="O348" s="178"/>
      <c r="P348" s="638"/>
      <c r="Q348" s="188"/>
      <c r="R348" s="177"/>
      <c r="S348" s="178"/>
      <c r="T348" s="178"/>
      <c r="U348" s="638"/>
      <c r="V348" s="226">
        <v>40948</v>
      </c>
      <c r="W348" s="433">
        <f t="shared" si="105"/>
        <v>0.17499999999999999</v>
      </c>
      <c r="X348" s="177">
        <v>448</v>
      </c>
      <c r="Y348" s="180">
        <v>4.5199999999999996</v>
      </c>
      <c r="Z348" s="180">
        <v>6.39</v>
      </c>
      <c r="AA348" s="802">
        <f>ND代替値*2.71828^(-(0.69315/0.022177)*(V348-事故日Fk)/365.25)</f>
        <v>7.9866316901218915E-15</v>
      </c>
      <c r="AB348" s="214"/>
      <c r="AC348" s="215"/>
      <c r="AD348" s="216"/>
      <c r="AE348" s="328">
        <v>40948</v>
      </c>
      <c r="AF348" s="433">
        <f t="shared" si="106"/>
        <v>0.26</v>
      </c>
      <c r="AG348" s="177">
        <v>444</v>
      </c>
      <c r="AH348" s="180">
        <v>2.79</v>
      </c>
      <c r="AI348" s="180">
        <v>3.84</v>
      </c>
      <c r="AJ348" s="661">
        <f t="shared" si="107"/>
        <v>1.4908379154894197E-14</v>
      </c>
      <c r="AK348" s="328">
        <v>40952</v>
      </c>
      <c r="AL348" s="433">
        <f>ND代替値</f>
        <v>0.32500000000000001</v>
      </c>
      <c r="AM348" s="177">
        <v>360</v>
      </c>
      <c r="AN348" s="180">
        <v>2.93</v>
      </c>
      <c r="AO348" s="180">
        <v>3.99</v>
      </c>
      <c r="AP348" s="661">
        <f>ND代替値*2.71828^(-(0.69315/0.022177)*(AK348-事故日Fk)/365.25)</f>
        <v>1.134329166791416E-14</v>
      </c>
      <c r="AR348" s="485">
        <f t="shared" si="98"/>
        <v>0.97926521791959975</v>
      </c>
      <c r="AS348" s="485">
        <f t="shared" si="99"/>
        <v>0.73671607477302803</v>
      </c>
      <c r="AT348" s="486">
        <f t="shared" si="100"/>
        <v>0.13321626061247921</v>
      </c>
      <c r="AU348" s="487">
        <f t="shared" si="101"/>
        <v>199.99999990132346</v>
      </c>
      <c r="AV348" s="488">
        <f t="shared" si="102"/>
        <v>0.95018467398043371</v>
      </c>
      <c r="AW348" s="486">
        <f t="shared" si="103"/>
        <v>9.7836009189135487E-2</v>
      </c>
      <c r="AX348" s="804">
        <f t="shared" si="104"/>
        <v>3.5496140844986186E-12</v>
      </c>
    </row>
    <row r="349" spans="1:51" ht="11.1" customHeight="1" x14ac:dyDescent="0.2">
      <c r="B349" s="226">
        <v>41046</v>
      </c>
      <c r="C349" s="433">
        <f>ND代替値</f>
        <v>0.18518518518518517</v>
      </c>
      <c r="D349" s="177">
        <v>375</v>
      </c>
      <c r="E349" s="231">
        <v>0.25</v>
      </c>
      <c r="F349" s="231">
        <v>0.39</v>
      </c>
      <c r="G349" s="802">
        <f t="shared" si="108"/>
        <v>1.6996671131935797E-18</v>
      </c>
      <c r="H349" s="212"/>
      <c r="I349" s="215"/>
      <c r="J349" s="501"/>
      <c r="K349" s="182">
        <v>41058</v>
      </c>
      <c r="L349" s="433">
        <f>ND代替値</f>
        <v>2.9000000000000001E-2</v>
      </c>
      <c r="M349" s="177">
        <v>324</v>
      </c>
      <c r="N349" s="224">
        <v>9.1999999999999998E-2</v>
      </c>
      <c r="O349" s="180">
        <v>0.13</v>
      </c>
      <c r="P349" s="661">
        <f t="shared" ref="P349:P356" si="109">ND代替値*2.71828^(-(0.69315/0.022177)*(K349-事故日Fk)/365.25)</f>
        <v>9.275362553517617E-19</v>
      </c>
      <c r="Q349" s="631">
        <f t="shared" ref="Q349:Q365" si="110">ND代替値</f>
        <v>0.215</v>
      </c>
      <c r="R349" s="177">
        <v>376</v>
      </c>
      <c r="S349" s="180">
        <v>1.48</v>
      </c>
      <c r="T349" s="180">
        <v>2.2599999999999998</v>
      </c>
      <c r="U349" s="634">
        <v>0.17</v>
      </c>
      <c r="V349" s="226">
        <v>41044</v>
      </c>
      <c r="W349" s="433">
        <f t="shared" si="105"/>
        <v>0.17499999999999999</v>
      </c>
      <c r="X349" s="177">
        <v>369</v>
      </c>
      <c r="Y349" s="180">
        <v>2.56</v>
      </c>
      <c r="Z349" s="180">
        <v>3.69</v>
      </c>
      <c r="AA349" s="223">
        <v>0.13</v>
      </c>
      <c r="AB349" s="214"/>
      <c r="AC349" s="215"/>
      <c r="AD349" s="216"/>
      <c r="AE349" s="328">
        <v>41045</v>
      </c>
      <c r="AF349" s="433">
        <f t="shared" si="106"/>
        <v>0.26</v>
      </c>
      <c r="AG349" s="177">
        <f>129.5*2.71828^(-(0.69315/(1.277*10^9))*(AE349-調査開始日)/365.25)</f>
        <v>129.49999785554118</v>
      </c>
      <c r="AH349" s="435">
        <f>ND代替値*2.71828^(-(0.69315/2.062)*(AE349-事故日Fk)/365.25)</f>
        <v>1.5790583291239679E-2</v>
      </c>
      <c r="AI349" s="434">
        <f>ND代替値*2.71828^(-(0.69315/30.07)*(AE349-事故日Fk)/365.25)</f>
        <v>2.2867954891200776E-2</v>
      </c>
      <c r="AJ349" s="661">
        <f t="shared" si="107"/>
        <v>3.7030323440271504E-18</v>
      </c>
      <c r="AK349" s="328">
        <v>41038</v>
      </c>
      <c r="AL349" s="433">
        <f>ND代替値</f>
        <v>0.32500000000000001</v>
      </c>
      <c r="AM349" s="177">
        <v>354</v>
      </c>
      <c r="AN349" s="180">
        <v>0.25</v>
      </c>
      <c r="AO349" s="180">
        <v>0.41</v>
      </c>
      <c r="AP349" s="634">
        <v>0.14000000000000001</v>
      </c>
      <c r="AR349" s="485">
        <f t="shared" si="98"/>
        <v>0.9730430520489971</v>
      </c>
      <c r="AS349" s="485">
        <f t="shared" si="99"/>
        <v>0.67132158636452921</v>
      </c>
      <c r="AT349" s="486">
        <f t="shared" si="100"/>
        <v>3.5810956158214009E-2</v>
      </c>
      <c r="AU349" s="487">
        <f t="shared" si="101"/>
        <v>199.99999987130442</v>
      </c>
      <c r="AV349" s="488">
        <f t="shared" si="102"/>
        <v>0.93552812192257406</v>
      </c>
      <c r="AW349" s="486">
        <f t="shared" si="103"/>
        <v>9.7187023703436154E-2</v>
      </c>
      <c r="AX349" s="804">
        <f t="shared" si="104"/>
        <v>8.816743676255119E-16</v>
      </c>
    </row>
    <row r="350" spans="1:51" ht="11.1" customHeight="1" x14ac:dyDescent="0.2">
      <c r="B350" s="226">
        <v>41128</v>
      </c>
      <c r="C350" s="433">
        <f>ND代替値</f>
        <v>0.18518518518518517</v>
      </c>
      <c r="D350" s="177">
        <v>300</v>
      </c>
      <c r="E350" s="231">
        <v>0.21</v>
      </c>
      <c r="F350" s="231">
        <v>0.3</v>
      </c>
      <c r="G350" s="802">
        <f t="shared" si="108"/>
        <v>1.5238615926956963E-21</v>
      </c>
      <c r="H350" s="212">
        <v>2.7E-2</v>
      </c>
      <c r="I350" s="215">
        <v>1.9</v>
      </c>
      <c r="J350" s="501">
        <v>1.4E-2</v>
      </c>
      <c r="K350" s="182">
        <v>41127</v>
      </c>
      <c r="L350" s="433">
        <f>ND代替値</f>
        <v>2.9000000000000001E-2</v>
      </c>
      <c r="M350" s="177">
        <v>238</v>
      </c>
      <c r="N350" s="224">
        <v>7.9000000000000001E-2</v>
      </c>
      <c r="O350" s="180">
        <v>0.17</v>
      </c>
      <c r="P350" s="661">
        <f t="shared" si="109"/>
        <v>2.5295300627461406E-21</v>
      </c>
      <c r="Q350" s="631">
        <f t="shared" si="110"/>
        <v>0.215</v>
      </c>
      <c r="R350" s="177">
        <v>253</v>
      </c>
      <c r="S350" s="180">
        <v>0.61</v>
      </c>
      <c r="T350" s="180">
        <v>1.1299999999999999</v>
      </c>
      <c r="U350" s="634">
        <v>0.41</v>
      </c>
      <c r="V350" s="226">
        <v>41143</v>
      </c>
      <c r="W350" s="433">
        <f t="shared" si="105"/>
        <v>0.17499999999999999</v>
      </c>
      <c r="X350" s="177">
        <v>268</v>
      </c>
      <c r="Y350" s="180">
        <v>0.81</v>
      </c>
      <c r="Z350" s="180">
        <v>1.36</v>
      </c>
      <c r="AA350" s="802">
        <f t="shared" ref="AA350:AA357" si="111">ND代替値*2.71828^(-(0.69315/0.022177)*(V350-事故日Fk)/365.25)</f>
        <v>4.5232872751166693E-22</v>
      </c>
      <c r="AB350" s="214">
        <v>3.7999999999999999E-2</v>
      </c>
      <c r="AC350" s="215">
        <v>2.2999999999999998</v>
      </c>
      <c r="AD350" s="216">
        <v>1.7000000000000001E-2</v>
      </c>
      <c r="AE350" s="328">
        <v>41144</v>
      </c>
      <c r="AF350" s="433">
        <f t="shared" si="106"/>
        <v>0.26</v>
      </c>
      <c r="AG350" s="177">
        <v>325</v>
      </c>
      <c r="AH350" s="180">
        <v>0.66</v>
      </c>
      <c r="AI350" s="180">
        <v>1.1000000000000001</v>
      </c>
      <c r="AJ350" s="661">
        <f t="shared" si="107"/>
        <v>7.750992286035155E-22</v>
      </c>
      <c r="AK350" s="328">
        <v>41124</v>
      </c>
      <c r="AL350" s="476">
        <v>0.82</v>
      </c>
      <c r="AM350" s="177">
        <v>262</v>
      </c>
      <c r="AN350" s="180">
        <v>1.07</v>
      </c>
      <c r="AO350" s="180">
        <v>1.78</v>
      </c>
      <c r="AP350" s="635">
        <v>7.6999999999999999E-2</v>
      </c>
      <c r="AR350" s="485">
        <f t="shared" si="98"/>
        <v>0.96802048294050069</v>
      </c>
      <c r="AS350" s="485">
        <f t="shared" si="99"/>
        <v>0.62252292164116974</v>
      </c>
      <c r="AT350" s="486">
        <f t="shared" si="100"/>
        <v>1.232548877704898E-2</v>
      </c>
      <c r="AU350" s="487">
        <f t="shared" si="101"/>
        <v>199.9999998469325</v>
      </c>
      <c r="AV350" s="488">
        <f t="shared" si="102"/>
        <v>0.92379518758501711</v>
      </c>
      <c r="AW350" s="486">
        <f t="shared" si="103"/>
        <v>9.6663292298859671E-2</v>
      </c>
      <c r="AX350" s="804">
        <f t="shared" si="104"/>
        <v>1.8454743538178941E-19</v>
      </c>
    </row>
    <row r="351" spans="1:51" ht="11.1" customHeight="1" x14ac:dyDescent="0.2">
      <c r="B351" s="226">
        <v>41234</v>
      </c>
      <c r="C351" s="188">
        <v>1.8</v>
      </c>
      <c r="D351" s="177">
        <v>380</v>
      </c>
      <c r="E351" s="231">
        <v>0.11</v>
      </c>
      <c r="F351" s="231">
        <v>0.15</v>
      </c>
      <c r="G351" s="802">
        <f t="shared" si="108"/>
        <v>1.7522652719950565E-25</v>
      </c>
      <c r="H351" s="212"/>
      <c r="I351" s="215"/>
      <c r="J351" s="501"/>
      <c r="K351" s="182">
        <v>41222</v>
      </c>
      <c r="L351" s="345">
        <v>1.9</v>
      </c>
      <c r="M351" s="177">
        <v>363</v>
      </c>
      <c r="N351" s="435">
        <f t="shared" ref="N351:N370" si="112">ND代替値*2.71828^(-(0.69315/2.062)*(K351-事故日Fk)/365.25)</f>
        <v>1.3416880878013501E-2</v>
      </c>
      <c r="O351" s="224">
        <v>0.1</v>
      </c>
      <c r="P351" s="661">
        <f t="shared" si="109"/>
        <v>7.4557991144595477E-25</v>
      </c>
      <c r="Q351" s="631">
        <f t="shared" si="110"/>
        <v>0.215</v>
      </c>
      <c r="R351" s="177">
        <v>322</v>
      </c>
      <c r="S351" s="180">
        <v>0.39</v>
      </c>
      <c r="T351" s="180">
        <v>0.73</v>
      </c>
      <c r="U351" s="634">
        <v>0.17</v>
      </c>
      <c r="V351" s="226">
        <v>41242</v>
      </c>
      <c r="W351" s="433">
        <f t="shared" si="105"/>
        <v>0.17499999999999999</v>
      </c>
      <c r="X351" s="177">
        <v>418</v>
      </c>
      <c r="Y351" s="180">
        <v>0.37</v>
      </c>
      <c r="Z351" s="180">
        <v>0.64</v>
      </c>
      <c r="AA351" s="802">
        <f t="shared" si="111"/>
        <v>9.4679067098888327E-26</v>
      </c>
      <c r="AB351" s="214"/>
      <c r="AC351" s="215"/>
      <c r="AD351" s="216"/>
      <c r="AE351" s="328">
        <v>41243</v>
      </c>
      <c r="AF351" s="433">
        <f t="shared" si="106"/>
        <v>0.26</v>
      </c>
      <c r="AG351" s="177">
        <f>129.5*2.71828^(-(0.69315/(1.277*10^9))*(AE351-調査開始日)/365.25)</f>
        <v>129.49999781743628</v>
      </c>
      <c r="AH351" s="435">
        <f>ND代替値*2.71828^(-(0.69315/2.062)*(AE351-事故日Fk)/365.25)</f>
        <v>1.3160060881838447E-2</v>
      </c>
      <c r="AI351" s="434">
        <f>ND代替値*2.71828^(-(0.69315/30.07)*(AE351-事故日Fk)/365.25)</f>
        <v>2.2583976581775862E-2</v>
      </c>
      <c r="AJ351" s="661">
        <f t="shared" si="107"/>
        <v>1.6223968854897791E-25</v>
      </c>
      <c r="AK351" s="328">
        <v>41241</v>
      </c>
      <c r="AL351" s="476">
        <v>0.79</v>
      </c>
      <c r="AM351" s="177">
        <v>416</v>
      </c>
      <c r="AN351" s="180">
        <v>0.65</v>
      </c>
      <c r="AO351" s="180">
        <v>1.22</v>
      </c>
      <c r="AP351" s="661">
        <f t="shared" ref="AP351:AP356" si="113">ND代替値*2.71828^(-(0.69315/0.022177)*(AK351-事故日Fk)/365.25)</f>
        <v>2.0627547891465826E-25</v>
      </c>
      <c r="AR351" s="485">
        <f t="shared" si="98"/>
        <v>0.96156629144936634</v>
      </c>
      <c r="AS351" s="485">
        <f t="shared" si="99"/>
        <v>0.56466038688848519</v>
      </c>
      <c r="AT351" s="486">
        <f t="shared" si="100"/>
        <v>3.1046897564207124E-3</v>
      </c>
      <c r="AU351" s="487">
        <f t="shared" si="101"/>
        <v>199.99999981542734</v>
      </c>
      <c r="AV351" s="488">
        <f t="shared" si="102"/>
        <v>0.90884600948095995</v>
      </c>
      <c r="AW351" s="486">
        <f t="shared" si="103"/>
        <v>9.5990453750897223E-2</v>
      </c>
      <c r="AX351" s="804">
        <f t="shared" si="104"/>
        <v>3.8628497273566163E-23</v>
      </c>
    </row>
    <row r="352" spans="1:51" ht="11.1" customHeight="1" x14ac:dyDescent="0.2">
      <c r="B352" s="226">
        <v>41309</v>
      </c>
      <c r="C352" s="433">
        <f>ND代替値</f>
        <v>0.18518518518518517</v>
      </c>
      <c r="D352" s="177">
        <v>410</v>
      </c>
      <c r="E352" s="435">
        <f>ND代替値*2.71828^(-(0.69315/2.062)*(B352-事故日Fk)/365.25)</f>
        <v>1.0539983727670213E-2</v>
      </c>
      <c r="F352" s="434">
        <f>ND代替値*2.71828^(-(0.69315/30.07)*(B352-事故日Fk)/365.25)</f>
        <v>1.9140513178084365E-2</v>
      </c>
      <c r="G352" s="802">
        <f t="shared" si="108"/>
        <v>2.8597427948460305E-28</v>
      </c>
      <c r="H352" s="437">
        <f>ND代替値*2.71828^(-(0.69315/28.799)*(B352-調査開始日)/365.25)</f>
        <v>4.7157548005900326E-3</v>
      </c>
      <c r="I352" s="215">
        <v>1.4</v>
      </c>
      <c r="J352" s="203">
        <f>ND代替値</f>
        <v>5.0000000000000001E-3</v>
      </c>
      <c r="K352" s="182">
        <v>41311</v>
      </c>
      <c r="L352" s="433">
        <f>ND代替値</f>
        <v>2.9000000000000001E-2</v>
      </c>
      <c r="M352" s="177">
        <v>393</v>
      </c>
      <c r="N352" s="435">
        <f t="shared" si="112"/>
        <v>1.2361705993817527E-2</v>
      </c>
      <c r="O352" s="434">
        <f>ND代替値*2.71828^(-(0.69315/30.07)*(K352-事故日Fk)/365.25)</f>
        <v>2.3922621733239571E-2</v>
      </c>
      <c r="P352" s="661">
        <f t="shared" si="109"/>
        <v>3.6722342873591743E-28</v>
      </c>
      <c r="Q352" s="631">
        <f t="shared" si="110"/>
        <v>0.215</v>
      </c>
      <c r="R352" s="177">
        <v>331</v>
      </c>
      <c r="S352" s="180">
        <v>0.11</v>
      </c>
      <c r="T352" s="180">
        <v>0.27</v>
      </c>
      <c r="U352" s="661">
        <f>ND代替値*2.71828^(-(0.69315/0.022177)*(K352-事故日Fk)/365.25)</f>
        <v>3.7869916088391485E-28</v>
      </c>
      <c r="V352" s="226">
        <v>41331</v>
      </c>
      <c r="W352" s="433">
        <f t="shared" si="105"/>
        <v>0.17499999999999999</v>
      </c>
      <c r="X352" s="177">
        <v>456</v>
      </c>
      <c r="Y352" s="224">
        <v>6.8000000000000005E-2</v>
      </c>
      <c r="Z352" s="180">
        <v>0.16</v>
      </c>
      <c r="AA352" s="802">
        <f t="shared" si="111"/>
        <v>4.6632656159073613E-29</v>
      </c>
      <c r="AB352" s="214"/>
      <c r="AC352" s="215"/>
      <c r="AD352" s="216"/>
      <c r="AE352" s="328">
        <v>41323</v>
      </c>
      <c r="AF352" s="433">
        <f t="shared" si="106"/>
        <v>0.26</v>
      </c>
      <c r="AG352" s="177">
        <v>422</v>
      </c>
      <c r="AH352" s="180">
        <v>0.97</v>
      </c>
      <c r="AI352" s="180">
        <v>1.91</v>
      </c>
      <c r="AJ352" s="661">
        <f t="shared" si="107"/>
        <v>1.726100318311859E-28</v>
      </c>
      <c r="AK352" s="328">
        <v>41332</v>
      </c>
      <c r="AL352" s="433">
        <f>ND代替値</f>
        <v>0.32500000000000001</v>
      </c>
      <c r="AM352" s="177">
        <v>345</v>
      </c>
      <c r="AN352" s="180">
        <v>0.45</v>
      </c>
      <c r="AO352" s="180">
        <v>0.76</v>
      </c>
      <c r="AP352" s="661">
        <f t="shared" si="113"/>
        <v>8.5616310861863492E-29</v>
      </c>
      <c r="AR352" s="485">
        <f t="shared" si="98"/>
        <v>0.9570256589042182</v>
      </c>
      <c r="AS352" s="485">
        <f t="shared" si="99"/>
        <v>0.52699918638351062</v>
      </c>
      <c r="AT352" s="486">
        <f t="shared" si="100"/>
        <v>1.1704393392826904E-3</v>
      </c>
      <c r="AU352" s="487">
        <f t="shared" si="101"/>
        <v>199.99999979313591</v>
      </c>
      <c r="AV352" s="488">
        <f t="shared" si="102"/>
        <v>0.89841512851372329</v>
      </c>
      <c r="AW352" s="486">
        <f t="shared" si="103"/>
        <v>9.5517219829501065E-2</v>
      </c>
      <c r="AX352" s="804">
        <f t="shared" si="104"/>
        <v>4.1097626626472831E-26</v>
      </c>
    </row>
    <row r="353" spans="2:50" ht="11.1" customHeight="1" x14ac:dyDescent="0.2">
      <c r="B353" s="182">
        <v>41410</v>
      </c>
      <c r="C353" s="776">
        <v>1.2</v>
      </c>
      <c r="D353" s="177">
        <v>319</v>
      </c>
      <c r="E353" s="224">
        <v>8.3000000000000004E-2</v>
      </c>
      <c r="F353" s="231">
        <v>0.16</v>
      </c>
      <c r="G353" s="802">
        <f t="shared" si="108"/>
        <v>5.0442836165966929E-32</v>
      </c>
      <c r="H353" s="212"/>
      <c r="I353" s="215"/>
      <c r="J353" s="501"/>
      <c r="K353" s="182">
        <v>41415</v>
      </c>
      <c r="L353" s="345">
        <v>1.1000000000000001</v>
      </c>
      <c r="M353" s="177">
        <v>313</v>
      </c>
      <c r="N353" s="435">
        <f t="shared" si="112"/>
        <v>1.1233362695601714E-2</v>
      </c>
      <c r="O353" s="434">
        <f>ND代替値*2.71828^(-(0.69315/30.07)*(K353-事故日Fk)/365.25)</f>
        <v>2.3766119360900399E-2</v>
      </c>
      <c r="P353" s="661">
        <f t="shared" si="109"/>
        <v>5.0108567642360459E-32</v>
      </c>
      <c r="Q353" s="631">
        <f t="shared" si="110"/>
        <v>0.215</v>
      </c>
      <c r="R353" s="177">
        <v>324</v>
      </c>
      <c r="S353" s="180">
        <v>0.17</v>
      </c>
      <c r="T353" s="180">
        <v>0.32</v>
      </c>
      <c r="U353" s="661">
        <f>ND代替値*2.71828^(-(0.69315/0.022177)*(K353-事故日Fk)/365.25)</f>
        <v>5.1674460381184223E-32</v>
      </c>
      <c r="V353" s="226">
        <v>41409</v>
      </c>
      <c r="W353" s="433">
        <f t="shared" si="105"/>
        <v>0.17499999999999999</v>
      </c>
      <c r="X353" s="177">
        <v>365</v>
      </c>
      <c r="Y353" s="180">
        <v>0.46</v>
      </c>
      <c r="Z353" s="180">
        <v>1</v>
      </c>
      <c r="AA353" s="802">
        <f t="shared" si="111"/>
        <v>5.8874381635342488E-32</v>
      </c>
      <c r="AB353" s="214"/>
      <c r="AC353" s="215"/>
      <c r="AD353" s="216"/>
      <c r="AE353" s="328">
        <v>41416</v>
      </c>
      <c r="AF353" s="433">
        <f t="shared" si="106"/>
        <v>0.26</v>
      </c>
      <c r="AG353" s="177">
        <v>310</v>
      </c>
      <c r="AH353" s="180">
        <v>0.16</v>
      </c>
      <c r="AI353" s="180">
        <v>0.44</v>
      </c>
      <c r="AJ353" s="661">
        <f t="shared" si="107"/>
        <v>6.0373681910141573E-32</v>
      </c>
      <c r="AK353" s="328">
        <v>41410</v>
      </c>
      <c r="AL353" s="433">
        <f>ND代替値</f>
        <v>0.32500000000000001</v>
      </c>
      <c r="AM353" s="177">
        <v>392</v>
      </c>
      <c r="AN353" s="180">
        <v>0.15</v>
      </c>
      <c r="AO353" s="180">
        <v>0.21</v>
      </c>
      <c r="AP353" s="661">
        <f t="shared" si="113"/>
        <v>1.0809179178421484E-31</v>
      </c>
      <c r="AR353" s="485">
        <f t="shared" si="98"/>
        <v>0.95094480125385106</v>
      </c>
      <c r="AS353" s="485">
        <f t="shared" si="99"/>
        <v>0.48022018513005982</v>
      </c>
      <c r="AT353" s="486">
        <f t="shared" si="100"/>
        <v>3.1463540315719536E-4</v>
      </c>
      <c r="AU353" s="487">
        <f t="shared" si="101"/>
        <v>199.99999976311688</v>
      </c>
      <c r="AV353" s="488">
        <f t="shared" si="102"/>
        <v>0.88455711915911095</v>
      </c>
      <c r="AW353" s="486">
        <f t="shared" si="103"/>
        <v>9.4883615803565552E-2</v>
      </c>
      <c r="AX353" s="804">
        <f t="shared" si="104"/>
        <v>1.4374686169081326E-29</v>
      </c>
    </row>
    <row r="354" spans="2:50" ht="11.1" customHeight="1" x14ac:dyDescent="0.2">
      <c r="B354" s="182">
        <v>41498</v>
      </c>
      <c r="C354" s="776">
        <v>1.6</v>
      </c>
      <c r="D354" s="177">
        <v>281</v>
      </c>
      <c r="E354" s="435">
        <f t="shared" ref="E354:E370" si="114">ND代替値*2.71828^(-(0.69315/2.062)*(B354-事故日Fk)/365.25)</f>
        <v>8.8572101943827572E-3</v>
      </c>
      <c r="F354" s="231">
        <v>0.1</v>
      </c>
      <c r="G354" s="802">
        <f t="shared" si="108"/>
        <v>2.7064457021712538E-35</v>
      </c>
      <c r="H354" s="437">
        <f>ND代替値*2.71828^(-(0.69315/28.799)*(B354-調査開始日)/365.25)</f>
        <v>4.6573873530647821E-3</v>
      </c>
      <c r="I354" s="215">
        <v>2.2999999999999998</v>
      </c>
      <c r="J354" s="203">
        <f>ND代替値</f>
        <v>5.0000000000000001E-3</v>
      </c>
      <c r="K354" s="182">
        <v>41514</v>
      </c>
      <c r="L354" s="345">
        <v>1.2</v>
      </c>
      <c r="M354" s="177">
        <v>298</v>
      </c>
      <c r="N354" s="435">
        <f t="shared" si="112"/>
        <v>1.0255093967313531E-2</v>
      </c>
      <c r="O354" s="434">
        <f>ND代替値*2.71828^(-(0.69315/30.07)*(K354-事故日Fk)/365.25)</f>
        <v>2.3618092431759385E-2</v>
      </c>
      <c r="P354" s="661">
        <f t="shared" si="109"/>
        <v>1.0488461487155855E-35</v>
      </c>
      <c r="Q354" s="631">
        <f t="shared" si="110"/>
        <v>0.215</v>
      </c>
      <c r="R354" s="177">
        <v>270</v>
      </c>
      <c r="S354" s="180">
        <v>0.15</v>
      </c>
      <c r="T354" s="180">
        <v>0.36</v>
      </c>
      <c r="U354" s="661">
        <f>ND代替値*2.71828^(-(0.69315/0.022177)*(K354-事故日Fk)/365.25)</f>
        <v>1.0816225908629476E-35</v>
      </c>
      <c r="V354" s="226">
        <v>41507</v>
      </c>
      <c r="W354" s="433">
        <f t="shared" si="105"/>
        <v>0.17499999999999999</v>
      </c>
      <c r="X354" s="177">
        <v>310</v>
      </c>
      <c r="Y354" s="180">
        <v>0.2</v>
      </c>
      <c r="Z354" s="180">
        <v>0.55000000000000004</v>
      </c>
      <c r="AA354" s="802">
        <f t="shared" si="111"/>
        <v>1.3424242734308087E-35</v>
      </c>
      <c r="AB354" s="214">
        <v>3.9E-2</v>
      </c>
      <c r="AC354" s="215">
        <v>2.4</v>
      </c>
      <c r="AD354" s="216">
        <v>1.6E-2</v>
      </c>
      <c r="AE354" s="328">
        <v>41512</v>
      </c>
      <c r="AF354" s="433">
        <f t="shared" si="106"/>
        <v>0.26</v>
      </c>
      <c r="AG354" s="177">
        <v>372</v>
      </c>
      <c r="AH354" s="180">
        <v>0.08</v>
      </c>
      <c r="AI354" s="180">
        <v>0.18</v>
      </c>
      <c r="AJ354" s="661">
        <f t="shared" si="107"/>
        <v>1.6335723605741787E-35</v>
      </c>
      <c r="AK354" s="328">
        <v>41515</v>
      </c>
      <c r="AL354" s="476">
        <v>0.72</v>
      </c>
      <c r="AM354" s="177">
        <v>392</v>
      </c>
      <c r="AN354" s="180">
        <v>0.12</v>
      </c>
      <c r="AO354" s="180">
        <v>0.3</v>
      </c>
      <c r="AP354" s="661">
        <f t="shared" si="113"/>
        <v>1.35397512273144E-35</v>
      </c>
      <c r="AR354" s="485">
        <f t="shared" si="98"/>
        <v>0.9456781344797911</v>
      </c>
      <c r="AS354" s="485">
        <f t="shared" si="99"/>
        <v>0.44286050971913782</v>
      </c>
      <c r="AT354" s="486">
        <f t="shared" si="100"/>
        <v>1.0016183634236385E-4</v>
      </c>
      <c r="AU354" s="487">
        <f t="shared" si="101"/>
        <v>199.99999973696166</v>
      </c>
      <c r="AV354" s="488">
        <f t="shared" si="102"/>
        <v>0.87265718927369884</v>
      </c>
      <c r="AW354" s="486">
        <f t="shared" si="103"/>
        <v>9.4334992052208924E-2</v>
      </c>
      <c r="AX354" s="804">
        <f t="shared" si="104"/>
        <v>3.8894580013670919E-33</v>
      </c>
    </row>
    <row r="355" spans="2:50" ht="11.1" customHeight="1" x14ac:dyDescent="0.2">
      <c r="B355" s="182">
        <v>41592</v>
      </c>
      <c r="C355" s="188">
        <v>1.5</v>
      </c>
      <c r="D355" s="177">
        <v>358</v>
      </c>
      <c r="E355" s="435">
        <f t="shared" si="114"/>
        <v>8.1231655798906632E-3</v>
      </c>
      <c r="F355" s="231">
        <v>0.19</v>
      </c>
      <c r="G355" s="802">
        <f t="shared" si="108"/>
        <v>8.6899506427530931E-39</v>
      </c>
      <c r="H355" s="212"/>
      <c r="I355" s="215"/>
      <c r="J355" s="501"/>
      <c r="K355" s="182">
        <v>41595</v>
      </c>
      <c r="L355" s="335">
        <v>1.5</v>
      </c>
      <c r="M355" s="177">
        <v>368</v>
      </c>
      <c r="N355" s="435">
        <f t="shared" si="112"/>
        <v>9.5184027571290266E-3</v>
      </c>
      <c r="O355" s="224">
        <v>0.1</v>
      </c>
      <c r="P355" s="661">
        <f t="shared" si="109"/>
        <v>1.0243705355470637E-38</v>
      </c>
      <c r="Q355" s="631">
        <f t="shared" si="110"/>
        <v>0.215</v>
      </c>
      <c r="R355" s="177">
        <v>366</v>
      </c>
      <c r="S355" s="180">
        <v>0.21</v>
      </c>
      <c r="T355" s="180">
        <v>0.37</v>
      </c>
      <c r="U355" s="634">
        <v>0.17</v>
      </c>
      <c r="V355" s="226">
        <v>41603</v>
      </c>
      <c r="W355" s="433">
        <f t="shared" si="105"/>
        <v>0.17499999999999999</v>
      </c>
      <c r="X355" s="177">
        <v>443</v>
      </c>
      <c r="Y355" s="180">
        <v>0.17</v>
      </c>
      <c r="Z355" s="180">
        <v>0.49</v>
      </c>
      <c r="AA355" s="802">
        <f t="shared" si="111"/>
        <v>3.632289964531781E-39</v>
      </c>
      <c r="AB355" s="214"/>
      <c r="AC355" s="215"/>
      <c r="AD355" s="216"/>
      <c r="AE355" s="328">
        <v>41605</v>
      </c>
      <c r="AF355" s="433">
        <f t="shared" si="106"/>
        <v>0.26</v>
      </c>
      <c r="AG355" s="177">
        <v>418</v>
      </c>
      <c r="AH355" s="180">
        <v>0.11</v>
      </c>
      <c r="AI355" s="180">
        <v>0.28999999999999998</v>
      </c>
      <c r="AJ355" s="661">
        <f t="shared" si="107"/>
        <v>5.7137338443318155E-39</v>
      </c>
      <c r="AK355" s="328">
        <v>41610</v>
      </c>
      <c r="AL355" s="476">
        <v>0.81</v>
      </c>
      <c r="AM355" s="177">
        <v>423</v>
      </c>
      <c r="AN355" s="178">
        <v>7.3999999999999996E-2</v>
      </c>
      <c r="AO355" s="180">
        <v>0.24</v>
      </c>
      <c r="AP355" s="661">
        <f t="shared" si="113"/>
        <v>3.9908466278918126E-39</v>
      </c>
      <c r="AR355" s="485">
        <f t="shared" si="98"/>
        <v>0.94008459233824704</v>
      </c>
      <c r="AS355" s="485">
        <f t="shared" si="99"/>
        <v>0.40615827899453316</v>
      </c>
      <c r="AT355" s="486">
        <f t="shared" si="100"/>
        <v>2.949194559824898E-5</v>
      </c>
      <c r="AU355" s="487">
        <f t="shared" si="101"/>
        <v>199.99999970902311</v>
      </c>
      <c r="AV355" s="488">
        <f t="shared" si="102"/>
        <v>0.86012268072412357</v>
      </c>
      <c r="AW355" s="486">
        <f t="shared" si="103"/>
        <v>9.3752465657062883E-2</v>
      </c>
      <c r="AX355" s="804">
        <f t="shared" si="104"/>
        <v>1.3604128200790036E-36</v>
      </c>
    </row>
    <row r="356" spans="2:50" ht="11.1" customHeight="1" x14ac:dyDescent="0.2">
      <c r="B356" s="182">
        <v>41694</v>
      </c>
      <c r="C356" s="433">
        <f>ND代替値</f>
        <v>0.18518518518518517</v>
      </c>
      <c r="D356" s="177">
        <v>373</v>
      </c>
      <c r="E356" s="435">
        <f t="shared" si="114"/>
        <v>7.3953047200071547E-3</v>
      </c>
      <c r="F356" s="224">
        <v>0.1</v>
      </c>
      <c r="G356" s="802">
        <f t="shared" si="108"/>
        <v>1.4071039877742523E-42</v>
      </c>
      <c r="H356" s="437">
        <f>ND代替値*2.71828^(-(0.69315/28.799)*(B356-調査開始日)/365.25)</f>
        <v>4.5976210819587381E-3</v>
      </c>
      <c r="I356" s="215">
        <v>1.5</v>
      </c>
      <c r="J356" s="203">
        <f>ND代替値</f>
        <v>5.0000000000000001E-3</v>
      </c>
      <c r="K356" s="182">
        <v>41694</v>
      </c>
      <c r="L356" s="433">
        <f>ND代替値</f>
        <v>2.9000000000000001E-2</v>
      </c>
      <c r="M356" s="177">
        <v>365</v>
      </c>
      <c r="N356" s="435">
        <f t="shared" si="112"/>
        <v>8.6894830460084067E-3</v>
      </c>
      <c r="O356" s="178">
        <v>9.2999999999999999E-2</v>
      </c>
      <c r="P356" s="661">
        <f t="shared" si="109"/>
        <v>2.1441584575607652E-42</v>
      </c>
      <c r="Q356" s="631">
        <f t="shared" si="110"/>
        <v>0.215</v>
      </c>
      <c r="R356" s="177">
        <v>346</v>
      </c>
      <c r="S356" s="180">
        <v>8.8999999999999996E-2</v>
      </c>
      <c r="T356" s="180">
        <v>0.21</v>
      </c>
      <c r="U356" s="634">
        <v>0.21</v>
      </c>
      <c r="V356" s="226">
        <v>41694</v>
      </c>
      <c r="W356" s="433">
        <f t="shared" si="105"/>
        <v>0.17499999999999999</v>
      </c>
      <c r="X356" s="177">
        <v>412</v>
      </c>
      <c r="Y356" s="224">
        <v>6.0999999999999999E-2</v>
      </c>
      <c r="Z356" s="180">
        <v>0.11</v>
      </c>
      <c r="AA356" s="802">
        <f t="shared" si="111"/>
        <v>1.507611415472413E-42</v>
      </c>
      <c r="AB356" s="214"/>
      <c r="AC356" s="215"/>
      <c r="AD356" s="216"/>
      <c r="AE356" s="328">
        <v>41691</v>
      </c>
      <c r="AF356" s="433">
        <f t="shared" si="106"/>
        <v>0.26</v>
      </c>
      <c r="AG356" s="177">
        <v>424</v>
      </c>
      <c r="AH356" s="180">
        <v>0.18</v>
      </c>
      <c r="AI356" s="180">
        <v>0.35</v>
      </c>
      <c r="AJ356" s="661">
        <f t="shared" si="107"/>
        <v>3.6378694075761278E-42</v>
      </c>
      <c r="AK356" s="328">
        <v>41702</v>
      </c>
      <c r="AL356" s="433">
        <f>ND代替値</f>
        <v>0.32500000000000001</v>
      </c>
      <c r="AM356" s="177">
        <v>342</v>
      </c>
      <c r="AN356" s="178">
        <v>7.0999999999999994E-2</v>
      </c>
      <c r="AO356" s="180">
        <v>0.16</v>
      </c>
      <c r="AP356" s="661">
        <f t="shared" si="113"/>
        <v>1.5205836125703971E-42</v>
      </c>
      <c r="AR356" s="485">
        <f t="shared" si="98"/>
        <v>0.93405242614736061</v>
      </c>
      <c r="AS356" s="485">
        <f t="shared" si="99"/>
        <v>0.36976523600035771</v>
      </c>
      <c r="AT356" s="486">
        <f t="shared" si="100"/>
        <v>7.8255195043246706E-6</v>
      </c>
      <c r="AU356" s="487">
        <f t="shared" si="101"/>
        <v>199.99999967870684</v>
      </c>
      <c r="AV356" s="488">
        <f t="shared" si="102"/>
        <v>0.84672499898769538</v>
      </c>
      <c r="AW356" s="486">
        <f t="shared" si="103"/>
        <v>9.3124431220057258E-2</v>
      </c>
      <c r="AX356" s="804">
        <f t="shared" si="104"/>
        <v>8.6615938275622077E-40</v>
      </c>
    </row>
    <row r="357" spans="2:50" ht="11.1" customHeight="1" x14ac:dyDescent="0.2">
      <c r="B357" s="182">
        <v>41766</v>
      </c>
      <c r="C357" s="433">
        <f>ND代替値</f>
        <v>0.18518518518518517</v>
      </c>
      <c r="D357" s="177">
        <v>254</v>
      </c>
      <c r="E357" s="435">
        <f t="shared" si="114"/>
        <v>6.9211425152793269E-3</v>
      </c>
      <c r="F357" s="434">
        <f>ND代替値*2.71828^(-(0.69315/30.07)*(B357-事故日Fk)/365.25)</f>
        <v>1.8596354904115847E-2</v>
      </c>
      <c r="G357" s="802">
        <f t="shared" si="108"/>
        <v>2.9685490528102399E-45</v>
      </c>
      <c r="H357" s="212"/>
      <c r="I357" s="215"/>
      <c r="J357" s="501"/>
      <c r="K357" s="182">
        <v>41788</v>
      </c>
      <c r="L357" s="345">
        <v>1.1000000000000001</v>
      </c>
      <c r="M357" s="177">
        <v>280</v>
      </c>
      <c r="N357" s="435">
        <f t="shared" si="112"/>
        <v>7.9693388818010275E-3</v>
      </c>
      <c r="O357" s="434">
        <f>ND代替値*2.71828^(-(0.69315/30.07)*(K357-事故日Fk)/365.25)</f>
        <v>2.3213191207501073E-2</v>
      </c>
      <c r="P357" s="634">
        <v>0.14000000000000001</v>
      </c>
      <c r="Q357" s="631">
        <f t="shared" si="110"/>
        <v>0.215</v>
      </c>
      <c r="R357" s="177">
        <v>319</v>
      </c>
      <c r="S357" s="435">
        <f>0.024*2.71828^(-(0.69315/2.062)*(K357-事故日Fk)/365.25)</f>
        <v>8.1388992835414748E-3</v>
      </c>
      <c r="T357" s="180">
        <v>0.22</v>
      </c>
      <c r="U357" s="634">
        <v>0.19</v>
      </c>
      <c r="V357" s="226">
        <v>41779</v>
      </c>
      <c r="W357" s="666">
        <v>0.57999999999999996</v>
      </c>
      <c r="X357" s="177">
        <v>302</v>
      </c>
      <c r="Y357" s="224">
        <v>0.05</v>
      </c>
      <c r="Z357" s="180">
        <v>0.17</v>
      </c>
      <c r="AA357" s="802">
        <f t="shared" si="111"/>
        <v>1.0456351016964319E-45</v>
      </c>
      <c r="AB357" s="214"/>
      <c r="AC357" s="215"/>
      <c r="AD357" s="216"/>
      <c r="AE357" s="328">
        <v>41780</v>
      </c>
      <c r="AF357" s="433">
        <f t="shared" ref="AF357" si="115">ND代替値</f>
        <v>0.26</v>
      </c>
      <c r="AG357" s="177">
        <v>271</v>
      </c>
      <c r="AH357" s="178">
        <v>8.5000000000000006E-2</v>
      </c>
      <c r="AI357" s="180">
        <v>0.2</v>
      </c>
      <c r="AJ357" s="661">
        <f>ND代替値*2.71828^(-(0.69315/0.022177)*(AE357-事故日Fk)/365.25)</f>
        <v>1.791774237254788E-45</v>
      </c>
      <c r="AK357" s="328">
        <v>41778</v>
      </c>
      <c r="AL357" s="433">
        <f>ND代替値</f>
        <v>0.32500000000000001</v>
      </c>
      <c r="AM357" s="177">
        <v>368</v>
      </c>
      <c r="AN357" s="224">
        <v>6.0999999999999999E-2</v>
      </c>
      <c r="AO357" s="180">
        <v>0.17</v>
      </c>
      <c r="AP357" s="640">
        <v>0.11</v>
      </c>
      <c r="AR357" s="485">
        <f t="shared" si="98"/>
        <v>0.9298177452057923</v>
      </c>
      <c r="AS357" s="485">
        <f t="shared" si="99"/>
        <v>0.34605712576396636</v>
      </c>
      <c r="AT357" s="486">
        <f t="shared" si="100"/>
        <v>3.0675429465211751E-6</v>
      </c>
      <c r="AU357" s="487">
        <f t="shared" si="101"/>
        <v>199.99999965730711</v>
      </c>
      <c r="AV357" s="488">
        <f t="shared" si="102"/>
        <v>0.83739365120701026</v>
      </c>
      <c r="AW357" s="486">
        <f t="shared" si="103"/>
        <v>9.2683647463631905E-2</v>
      </c>
      <c r="AX357" s="804">
        <f t="shared" si="104"/>
        <v>4.2661291363209234E-43</v>
      </c>
    </row>
    <row r="358" spans="2:50" ht="11.1" customHeight="1" x14ac:dyDescent="0.2">
      <c r="B358" s="182">
        <v>41856</v>
      </c>
      <c r="C358" s="433">
        <f>ND代替値</f>
        <v>0.18518518518518517</v>
      </c>
      <c r="D358" s="177">
        <v>295</v>
      </c>
      <c r="E358" s="435">
        <f t="shared" si="114"/>
        <v>6.3709609046008614E-3</v>
      </c>
      <c r="F358" s="178">
        <v>8.7999999999999995E-2</v>
      </c>
      <c r="G358" s="802">
        <f t="shared" si="108"/>
        <v>1.3421985783226652E-48</v>
      </c>
      <c r="H358" s="437">
        <f>ND代替値*2.71828^(-(0.69315/28.799)*(B358-調査開始日)/365.25)</f>
        <v>4.5488017902588938E-3</v>
      </c>
      <c r="I358" s="215">
        <v>2.1</v>
      </c>
      <c r="J358" s="203">
        <f>ND代替値</f>
        <v>5.0000000000000001E-3</v>
      </c>
      <c r="K358" s="182">
        <v>41856</v>
      </c>
      <c r="L358" s="753">
        <v>2</v>
      </c>
      <c r="M358" s="177">
        <v>354</v>
      </c>
      <c r="N358" s="435">
        <f t="shared" si="112"/>
        <v>7.4858790629060111E-3</v>
      </c>
      <c r="O358" s="178">
        <v>0.13</v>
      </c>
      <c r="P358" s="661">
        <f>ND代替値*2.71828^(-(0.69315/0.022177)*(K358-事故日Fk)/365.25)</f>
        <v>2.0452549764916803E-48</v>
      </c>
      <c r="Q358" s="631">
        <f t="shared" si="110"/>
        <v>0.215</v>
      </c>
      <c r="R358" s="177">
        <v>249</v>
      </c>
      <c r="S358" s="180">
        <v>0.12</v>
      </c>
      <c r="T358" s="180">
        <v>0.33</v>
      </c>
      <c r="U358" s="635">
        <v>0.13</v>
      </c>
      <c r="V358" s="226">
        <v>41871</v>
      </c>
      <c r="W358" s="232">
        <v>1.1000000000000001</v>
      </c>
      <c r="X358" s="177">
        <v>289</v>
      </c>
      <c r="Y358" s="224">
        <v>5.3999999999999999E-2</v>
      </c>
      <c r="Z358" s="233">
        <v>0.15</v>
      </c>
      <c r="AA358" s="199">
        <v>9.2999999999999999E-2</v>
      </c>
      <c r="AB358" s="214">
        <v>3.6999999999999998E-2</v>
      </c>
      <c r="AC358" s="215">
        <v>2.7</v>
      </c>
      <c r="AD358" s="216">
        <v>1.4E-2</v>
      </c>
      <c r="AE358" s="328">
        <v>41870</v>
      </c>
      <c r="AF358" s="235">
        <v>0.96</v>
      </c>
      <c r="AG358" s="177">
        <v>276</v>
      </c>
      <c r="AH358" s="197">
        <v>9.0999999999999998E-2</v>
      </c>
      <c r="AI358" s="233">
        <v>0.26</v>
      </c>
      <c r="AJ358" s="640">
        <v>9.2999999999999999E-2</v>
      </c>
      <c r="AK358" s="328">
        <v>41872</v>
      </c>
      <c r="AL358" s="235">
        <v>0.94</v>
      </c>
      <c r="AM358" s="177">
        <v>273</v>
      </c>
      <c r="AN358" s="197">
        <v>6.4000000000000001E-2</v>
      </c>
      <c r="AO358" s="233">
        <v>0.19</v>
      </c>
      <c r="AP358" s="640">
        <v>9.2999999999999999E-2</v>
      </c>
      <c r="AR358" s="485">
        <f t="shared" si="98"/>
        <v>0.92455138188716512</v>
      </c>
      <c r="AS358" s="485">
        <f t="shared" si="99"/>
        <v>0.31854804523004304</v>
      </c>
      <c r="AT358" s="486">
        <f t="shared" si="100"/>
        <v>9.5145333678532738E-7</v>
      </c>
      <c r="AU358" s="487">
        <f t="shared" si="101"/>
        <v>199.99999963055743</v>
      </c>
      <c r="AV358" s="488">
        <f t="shared" si="102"/>
        <v>0.82587394691861449</v>
      </c>
      <c r="AW358" s="486">
        <f t="shared" si="103"/>
        <v>9.2135600541958573E-2</v>
      </c>
      <c r="AX358" s="804">
        <f t="shared" si="104"/>
        <v>1.9288859169399185E-46</v>
      </c>
    </row>
    <row r="359" spans="2:50" ht="11.1" customHeight="1" x14ac:dyDescent="0.2">
      <c r="B359" s="182">
        <v>41955</v>
      </c>
      <c r="C359" s="234">
        <v>2.2999999999999998</v>
      </c>
      <c r="D359" s="177">
        <v>281</v>
      </c>
      <c r="E359" s="435">
        <f t="shared" si="114"/>
        <v>5.8161393439511832E-3</v>
      </c>
      <c r="F359" s="224">
        <v>8.8999999999999996E-2</v>
      </c>
      <c r="G359" s="802">
        <f t="shared" si="108"/>
        <v>2.809419378603747E-52</v>
      </c>
      <c r="J359" s="501"/>
      <c r="K359" s="182">
        <v>41948</v>
      </c>
      <c r="L359" s="345">
        <v>1.5</v>
      </c>
      <c r="M359" s="177">
        <v>345</v>
      </c>
      <c r="N359" s="435">
        <f t="shared" si="112"/>
        <v>6.8781328194409026E-3</v>
      </c>
      <c r="O359" s="178">
        <v>0.11</v>
      </c>
      <c r="P359" s="635">
        <v>0.12</v>
      </c>
      <c r="Q359" s="631">
        <f t="shared" si="110"/>
        <v>0.215</v>
      </c>
      <c r="R359" s="177">
        <v>375</v>
      </c>
      <c r="S359" s="180">
        <v>0.31</v>
      </c>
      <c r="T359" s="180">
        <v>0.86</v>
      </c>
      <c r="U359" s="635">
        <v>0.17</v>
      </c>
      <c r="V359" s="226">
        <v>41954</v>
      </c>
      <c r="W359" s="232">
        <v>1.4</v>
      </c>
      <c r="X359" s="177">
        <v>404</v>
      </c>
      <c r="Y359" s="435">
        <f>ND代替値*2.71828^(-(0.69315/2.062)*(V359-事故日Fk)/365.25)</f>
        <v>5.6759572647783387E-3</v>
      </c>
      <c r="Z359" s="233">
        <v>0.11</v>
      </c>
      <c r="AA359" s="802">
        <f t="shared" ref="AA359:AA364" si="116">ND代替値*2.71828^(-(0.69315/0.022177)*(V359-事故日Fk)/365.25)</f>
        <v>3.2790152426290146E-52</v>
      </c>
      <c r="AB359" s="214"/>
      <c r="AC359" s="215"/>
      <c r="AD359" s="216"/>
      <c r="AE359" s="328">
        <v>41955</v>
      </c>
      <c r="AF359" s="232">
        <v>2</v>
      </c>
      <c r="AG359" s="177">
        <v>364</v>
      </c>
      <c r="AH359" s="197">
        <v>8.8999999999999996E-2</v>
      </c>
      <c r="AI359" s="233">
        <v>0.24</v>
      </c>
      <c r="AJ359" s="661">
        <f t="shared" ref="AJ359:AJ364" si="117">ND代替値*2.71828^(-(0.69315/0.022177)*(AE359-事故日Fk)/365.25)</f>
        <v>5.618838757207494E-52</v>
      </c>
      <c r="AK359" s="328">
        <v>41960</v>
      </c>
      <c r="AL359" s="232">
        <v>1.2</v>
      </c>
      <c r="AM359" s="177">
        <v>367</v>
      </c>
      <c r="AN359" s="197">
        <v>7.4999999999999997E-2</v>
      </c>
      <c r="AO359" s="233">
        <v>0.28999999999999998</v>
      </c>
      <c r="AP359" s="661">
        <f>ND代替値*2.71828^(-(0.69315/0.022177)*(AK359-事故日Fk)/365.25)</f>
        <v>3.9245656724305056E-52</v>
      </c>
      <c r="AR359" s="485">
        <f t="shared" si="98"/>
        <v>0.91879282703790399</v>
      </c>
      <c r="AS359" s="485">
        <f t="shared" si="99"/>
        <v>0.29080696719755916</v>
      </c>
      <c r="AT359" s="486">
        <f t="shared" si="100"/>
        <v>2.6250889240524559E-7</v>
      </c>
      <c r="AU359" s="487">
        <f t="shared" si="101"/>
        <v>199.9999996011328</v>
      </c>
      <c r="AV359" s="488">
        <f t="shared" si="102"/>
        <v>0.8133852233620168</v>
      </c>
      <c r="AW359" s="486">
        <f t="shared" si="103"/>
        <v>9.1536491142207896E-2</v>
      </c>
      <c r="AX359" s="804">
        <f t="shared" si="104"/>
        <v>1.3378187517160699E-49</v>
      </c>
    </row>
    <row r="360" spans="2:50" ht="11.1" customHeight="1" x14ac:dyDescent="0.2">
      <c r="B360" s="182">
        <v>42047</v>
      </c>
      <c r="C360" s="433">
        <f>ND代替値</f>
        <v>0.18518518518518517</v>
      </c>
      <c r="D360" s="177">
        <v>369</v>
      </c>
      <c r="E360" s="435">
        <f t="shared" si="114"/>
        <v>5.3439520686756224E-3</v>
      </c>
      <c r="F360" s="434">
        <f>ND代替値*2.71828^(-(0.69315/30.07)*(B360-事故日Fk)/365.25)</f>
        <v>1.8269472002228677E-2</v>
      </c>
      <c r="G360" s="802">
        <f t="shared" si="108"/>
        <v>1.0704387981452575E-55</v>
      </c>
      <c r="H360" s="437">
        <f>ND代替値*2.71828^(-(0.69315/28.799)*(B360-調査開始日)/365.25)</f>
        <v>4.4919087026423794E-3</v>
      </c>
      <c r="I360" s="215">
        <v>1.5</v>
      </c>
      <c r="J360" s="203">
        <f>ND代替値</f>
        <v>5.0000000000000001E-3</v>
      </c>
      <c r="K360" s="182">
        <v>42038</v>
      </c>
      <c r="L360" s="433">
        <f>ND代替値</f>
        <v>2.9000000000000001E-2</v>
      </c>
      <c r="M360" s="177">
        <v>411</v>
      </c>
      <c r="N360" s="435">
        <f t="shared" si="112"/>
        <v>6.331370173720742E-3</v>
      </c>
      <c r="O360" s="178">
        <v>0.15</v>
      </c>
      <c r="P360" s="661">
        <f t="shared" ref="P360:P370" si="118">ND代替値*2.71828^(-(0.69315/0.022177)*(K360-事故日Fk)/365.25)</f>
        <v>3.5234269419508063E-55</v>
      </c>
      <c r="Q360" s="631">
        <f t="shared" si="110"/>
        <v>0.215</v>
      </c>
      <c r="R360" s="177">
        <v>383</v>
      </c>
      <c r="S360" s="197">
        <f>0.024*2.71828^(-(0.69315/2.062)*(K360-事故日Fk)/365.25)</f>
        <v>6.4660801774169274E-3</v>
      </c>
      <c r="T360" s="180">
        <v>0.26</v>
      </c>
      <c r="U360" s="634">
        <v>0.19</v>
      </c>
      <c r="V360" s="226">
        <v>42069</v>
      </c>
      <c r="W360" s="433">
        <f>ND代替値</f>
        <v>0.17499999999999999</v>
      </c>
      <c r="X360" s="177">
        <v>446</v>
      </c>
      <c r="Y360" s="435">
        <f>ND代替値*2.71828^(-(0.69315/2.062)*(V360-事故日Fk)/365.25)</f>
        <v>5.1059176498955243E-3</v>
      </c>
      <c r="Z360" s="434">
        <f>ND代替値*2.71828^(-(0.69315/30.07)*(V360-事故日Fk)/365.25)</f>
        <v>1.9612432875670965E-2</v>
      </c>
      <c r="AA360" s="802">
        <f t="shared" si="116"/>
        <v>1.7455207686230873E-56</v>
      </c>
      <c r="AB360" s="214"/>
      <c r="AC360" s="215"/>
      <c r="AD360" s="216"/>
      <c r="AE360" s="328">
        <v>42051</v>
      </c>
      <c r="AF360" s="433">
        <f>ND代替値</f>
        <v>0.26</v>
      </c>
      <c r="AG360" s="177">
        <v>391</v>
      </c>
      <c r="AH360" s="435">
        <f t="shared" ref="AH360:AH365" si="119">ND代替値*2.71828^(-(0.69315/2.062)*(AE360-事故日Fk)/365.25)</f>
        <v>6.2560704020667348E-3</v>
      </c>
      <c r="AI360" s="197">
        <v>6.4000000000000001E-2</v>
      </c>
      <c r="AJ360" s="661">
        <f t="shared" si="117"/>
        <v>1.5203279644197545E-55</v>
      </c>
      <c r="AK360" s="328">
        <v>42052</v>
      </c>
      <c r="AL360" s="433">
        <f>ND代替値</f>
        <v>0.32500000000000001</v>
      </c>
      <c r="AM360" s="177">
        <v>356</v>
      </c>
      <c r="AN360" s="224">
        <v>5.0999999999999997E-2</v>
      </c>
      <c r="AO360" s="233">
        <v>0.13</v>
      </c>
      <c r="AP360" s="661">
        <f>ND代替値*2.71828^(-(0.69315/0.022177)*(AK360-事故日Fk)/365.25)</f>
        <v>1.4953293885679837E-55</v>
      </c>
      <c r="AR360" s="485">
        <f t="shared" si="98"/>
        <v>0.91347360011143386</v>
      </c>
      <c r="AS360" s="485">
        <f t="shared" si="99"/>
        <v>0.26719760343378113</v>
      </c>
      <c r="AT360" s="486">
        <f t="shared" si="100"/>
        <v>7.9331015469535283E-8</v>
      </c>
      <c r="AU360" s="487">
        <f t="shared" si="101"/>
        <v>199.9999995737887</v>
      </c>
      <c r="AV360" s="488">
        <f t="shared" si="102"/>
        <v>0.80194889606521369</v>
      </c>
      <c r="AW360" s="486">
        <f t="shared" si="103"/>
        <v>9.0983235801542939E-2</v>
      </c>
      <c r="AX360" s="804">
        <f t="shared" si="104"/>
        <v>3.619828486713701E-53</v>
      </c>
    </row>
    <row r="361" spans="2:50" ht="11.1" customHeight="1" x14ac:dyDescent="0.2">
      <c r="B361" s="182">
        <v>42135</v>
      </c>
      <c r="C361" s="433">
        <f>ND代替値</f>
        <v>0.18518518518518517</v>
      </c>
      <c r="D361" s="177">
        <v>268</v>
      </c>
      <c r="E361" s="435">
        <f t="shared" si="114"/>
        <v>4.9282087890732155E-3</v>
      </c>
      <c r="F361" s="224">
        <v>8.6999999999999994E-2</v>
      </c>
      <c r="G361" s="802">
        <f t="shared" si="108"/>
        <v>5.7433021314378399E-59</v>
      </c>
      <c r="J361" s="501"/>
      <c r="K361" s="182">
        <v>42150</v>
      </c>
      <c r="L361" s="433">
        <f>ND代替値</f>
        <v>2.9000000000000001E-2</v>
      </c>
      <c r="M361" s="177">
        <v>266</v>
      </c>
      <c r="N361" s="435">
        <f t="shared" si="112"/>
        <v>5.7112541967903382E-3</v>
      </c>
      <c r="O361" s="434">
        <f>ND代替値*2.71828^(-(0.69315/30.07)*(K361-事故日Fk)/365.25)</f>
        <v>2.2688872707292043E-2</v>
      </c>
      <c r="P361" s="661">
        <f t="shared" si="118"/>
        <v>2.4245869932013404E-59</v>
      </c>
      <c r="Q361" s="631">
        <f t="shared" si="110"/>
        <v>0.215</v>
      </c>
      <c r="R361" s="177">
        <v>375</v>
      </c>
      <c r="S361" s="197">
        <f>0.024*2.71828^(-(0.69315/2.062)*(K361-事故日Fk)/365.25)</f>
        <v>5.8327702435305578E-3</v>
      </c>
      <c r="T361" s="180">
        <v>0.17</v>
      </c>
      <c r="U361" s="635">
        <v>0.15</v>
      </c>
      <c r="V361" s="226">
        <v>42146</v>
      </c>
      <c r="W361" s="666">
        <v>0.56999999999999995</v>
      </c>
      <c r="X361" s="177">
        <v>299</v>
      </c>
      <c r="Y361" s="224">
        <v>5.0999999999999997E-2</v>
      </c>
      <c r="Z361" s="233">
        <v>0.15</v>
      </c>
      <c r="AA361" s="802">
        <f t="shared" si="116"/>
        <v>2.4006279843133733E-59</v>
      </c>
      <c r="AB361" s="214"/>
      <c r="AC361" s="215"/>
      <c r="AD361" s="216"/>
      <c r="AE361" s="328">
        <v>42151</v>
      </c>
      <c r="AF361" s="235">
        <v>0.46</v>
      </c>
      <c r="AG361" s="177">
        <v>320</v>
      </c>
      <c r="AH361" s="435">
        <f t="shared" si="119"/>
        <v>5.7060003221486438E-3</v>
      </c>
      <c r="AI361" s="197">
        <v>7.3999999999999996E-2</v>
      </c>
      <c r="AJ361" s="661">
        <f t="shared" si="117"/>
        <v>2.9212817443869951E-59</v>
      </c>
      <c r="AK361" s="328">
        <v>42156</v>
      </c>
      <c r="AL361" s="433">
        <f>ND代替値</f>
        <v>0.32500000000000001</v>
      </c>
      <c r="AM361" s="177">
        <v>348</v>
      </c>
      <c r="AN361" s="435">
        <f t="shared" ref="AN361:AN370" si="120">ND代替値*2.71828^(-(0.69315/2.062)*(AK361-事故日Fk)/365.25)</f>
        <v>5.67980335693756E-3</v>
      </c>
      <c r="AO361" s="233">
        <v>7.5999999999999998E-2</v>
      </c>
      <c r="AP361" s="661">
        <f>ND代替値*2.71828^(-(0.69315/0.022177)*(AK361-事故日Fk)/365.25)</f>
        <v>2.0404148524127592E-59</v>
      </c>
      <c r="AR361" s="485">
        <f t="shared" si="98"/>
        <v>0.90841446202860898</v>
      </c>
      <c r="AS361" s="485">
        <f t="shared" si="99"/>
        <v>0.24641043945366078</v>
      </c>
      <c r="AT361" s="486">
        <f t="shared" si="100"/>
        <v>2.5254437703449559E-8</v>
      </c>
      <c r="AU361" s="487">
        <f t="shared" si="101"/>
        <v>199.99999954763345</v>
      </c>
      <c r="AV361" s="488">
        <f t="shared" si="102"/>
        <v>0.79116029301385671</v>
      </c>
      <c r="AW361" s="486">
        <f t="shared" si="103"/>
        <v>9.0457164322149217E-2</v>
      </c>
      <c r="AX361" s="804">
        <f t="shared" si="104"/>
        <v>6.9554327247309404E-57</v>
      </c>
    </row>
    <row r="362" spans="2:50" ht="11.1" customHeight="1" x14ac:dyDescent="0.2">
      <c r="B362" s="182">
        <v>42221</v>
      </c>
      <c r="C362" s="433">
        <f>ND代替値</f>
        <v>0.18518518518518517</v>
      </c>
      <c r="D362" s="177">
        <v>242</v>
      </c>
      <c r="E362" s="435">
        <f t="shared" si="114"/>
        <v>4.5531823152401606E-3</v>
      </c>
      <c r="F362" s="231">
        <v>0.15</v>
      </c>
      <c r="G362" s="802">
        <f t="shared" si="108"/>
        <v>3.6566951999611801E-62</v>
      </c>
      <c r="H362" s="212">
        <v>2.1999999999999999E-2</v>
      </c>
      <c r="I362" s="215">
        <v>2.2000000000000002</v>
      </c>
      <c r="J362" s="501">
        <f>H362/I362</f>
        <v>9.9999999999999985E-3</v>
      </c>
      <c r="K362" s="182">
        <v>42234</v>
      </c>
      <c r="L362" s="335">
        <v>0.83</v>
      </c>
      <c r="M362" s="177">
        <v>232</v>
      </c>
      <c r="N362" s="435">
        <f t="shared" si="112"/>
        <v>5.2863611342908257E-3</v>
      </c>
      <c r="O362" s="178">
        <v>0.1</v>
      </c>
      <c r="P362" s="661">
        <f t="shared" si="118"/>
        <v>1.8318594371477685E-62</v>
      </c>
      <c r="Q362" s="631">
        <f t="shared" si="110"/>
        <v>0.215</v>
      </c>
      <c r="R362" s="177">
        <v>245</v>
      </c>
      <c r="S362" s="180">
        <v>9.4E-2</v>
      </c>
      <c r="T362" s="180">
        <v>0.25</v>
      </c>
      <c r="U362" s="634">
        <v>0.2</v>
      </c>
      <c r="V362" s="226">
        <v>42275</v>
      </c>
      <c r="W362" s="232">
        <v>2.4</v>
      </c>
      <c r="X362" s="177">
        <v>311</v>
      </c>
      <c r="Y362" s="435">
        <f>ND代替値*2.71828^(-(0.69315/2.062)*(V362-事故日Fk)/365.25)</f>
        <v>4.2241170588719883E-3</v>
      </c>
      <c r="Z362" s="197">
        <v>8.1000000000000003E-2</v>
      </c>
      <c r="AA362" s="802">
        <f t="shared" si="116"/>
        <v>3.8566969282001154E-64</v>
      </c>
      <c r="AB362" s="437">
        <f>ND代替値*2.71828^(-(0.69315/28.799)*(V362-調査開始日)/365.25)</f>
        <v>3.9824328441699138E-3</v>
      </c>
      <c r="AC362" s="215">
        <v>2.4</v>
      </c>
      <c r="AD362" s="216">
        <f>ND代替値</f>
        <v>4.1379310344827587E-3</v>
      </c>
      <c r="AE362" s="328">
        <v>42247</v>
      </c>
      <c r="AF362" s="232">
        <v>3</v>
      </c>
      <c r="AG362" s="177">
        <v>290</v>
      </c>
      <c r="AH362" s="435">
        <f t="shared" si="119"/>
        <v>5.2234897849034656E-3</v>
      </c>
      <c r="AI362" s="197">
        <v>8.4000000000000005E-2</v>
      </c>
      <c r="AJ362" s="661">
        <f t="shared" si="117"/>
        <v>7.9043135420881074E-63</v>
      </c>
      <c r="AK362" s="328">
        <v>42248</v>
      </c>
      <c r="AL362" s="235">
        <v>0.92</v>
      </c>
      <c r="AM362" s="177">
        <v>335</v>
      </c>
      <c r="AN362" s="435">
        <f t="shared" si="120"/>
        <v>5.2186846125934173E-3</v>
      </c>
      <c r="AO362" s="233">
        <v>0.12</v>
      </c>
      <c r="AP362" s="661">
        <f>ND代替値*2.71828^(-(0.69315/0.022177)*(AK362-事故日Fk)/365.25)</f>
        <v>7.7743438340627608E-63</v>
      </c>
      <c r="AR362" s="485">
        <f t="shared" si="98"/>
        <v>0.90349737681375153</v>
      </c>
      <c r="AS362" s="485">
        <f t="shared" si="99"/>
        <v>0.22765911576200804</v>
      </c>
      <c r="AT362" s="486">
        <f t="shared" si="100"/>
        <v>8.2514494044903962E-9</v>
      </c>
      <c r="AU362" s="487">
        <f t="shared" si="101"/>
        <v>199.9999995220727</v>
      </c>
      <c r="AV362" s="488">
        <f t="shared" si="102"/>
        <v>0.7807571282646748</v>
      </c>
      <c r="AW362" s="486">
        <f t="shared" si="103"/>
        <v>8.994598801248084E-2</v>
      </c>
      <c r="AX362" s="804">
        <f t="shared" si="104"/>
        <v>1.8819794147828826E-60</v>
      </c>
    </row>
    <row r="363" spans="2:50" ht="11.1" customHeight="1" x14ac:dyDescent="0.2">
      <c r="B363" s="182">
        <v>42324</v>
      </c>
      <c r="C363" s="234">
        <v>2.29</v>
      </c>
      <c r="D363" s="177">
        <v>299</v>
      </c>
      <c r="E363" s="435">
        <f t="shared" si="114"/>
        <v>4.1413898023421863E-3</v>
      </c>
      <c r="F363" s="434">
        <f>ND代替値*2.71828^(-(0.69315/30.07)*(B363-事故日Fk)/365.25)</f>
        <v>1.7952866483628017E-2</v>
      </c>
      <c r="G363" s="802">
        <f t="shared" si="108"/>
        <v>5.4354312555362954E-66</v>
      </c>
      <c r="J363" s="501"/>
      <c r="K363" s="182">
        <v>42338</v>
      </c>
      <c r="L363" s="433">
        <f>ND代替値</f>
        <v>2.9000000000000001E-2</v>
      </c>
      <c r="M363" s="177">
        <v>380</v>
      </c>
      <c r="N363" s="435">
        <f t="shared" si="112"/>
        <v>4.8038362982521128E-3</v>
      </c>
      <c r="O363" s="178">
        <v>0.11</v>
      </c>
      <c r="P363" s="661">
        <f t="shared" si="118"/>
        <v>2.4996186336364502E-66</v>
      </c>
      <c r="Q363" s="631">
        <f t="shared" si="110"/>
        <v>0.215</v>
      </c>
      <c r="R363" s="177">
        <v>395</v>
      </c>
      <c r="S363" s="197">
        <f t="shared" ref="S363:S370" si="121">0.024*2.71828^(-(0.69315/2.062)*(K363-事故日Fk)/365.25)</f>
        <v>4.9060455811936465E-3</v>
      </c>
      <c r="T363" s="180">
        <v>0.18</v>
      </c>
      <c r="U363" s="661">
        <f>ND代替値*2.71828^(-(0.69315/0.022177)*(K363-事故日Fk)/365.25)</f>
        <v>2.577731715937589E-66</v>
      </c>
      <c r="V363" s="226">
        <v>42348</v>
      </c>
      <c r="W363" s="235">
        <v>0.63</v>
      </c>
      <c r="X363" s="177">
        <v>412</v>
      </c>
      <c r="Y363" s="435">
        <f>ND代替値*2.71828^(-(0.69315/2.062)*(V363-事故日Fk)/365.25)</f>
        <v>3.9496441141755262E-3</v>
      </c>
      <c r="Z363" s="197">
        <v>6.5000000000000002E-2</v>
      </c>
      <c r="AA363" s="802">
        <f t="shared" si="116"/>
        <v>7.4691281251616903E-67</v>
      </c>
      <c r="AB363" s="214"/>
      <c r="AC363" s="215"/>
      <c r="AD363" s="216"/>
      <c r="AE363" s="328">
        <v>42325</v>
      </c>
      <c r="AF363" s="232">
        <v>1.2</v>
      </c>
      <c r="AG363" s="177">
        <v>392</v>
      </c>
      <c r="AH363" s="435">
        <f t="shared" si="119"/>
        <v>4.8616565836827443E-3</v>
      </c>
      <c r="AI363" s="197">
        <v>7.4999999999999997E-2</v>
      </c>
      <c r="AJ363" s="661">
        <f t="shared" si="117"/>
        <v>9.9793065712329715E-66</v>
      </c>
      <c r="AK363" s="328">
        <v>42319</v>
      </c>
      <c r="AL363" s="204">
        <v>0.64</v>
      </c>
      <c r="AM363" s="177">
        <v>396</v>
      </c>
      <c r="AN363" s="435">
        <f t="shared" si="120"/>
        <v>4.8885770900847563E-3</v>
      </c>
      <c r="AO363" s="233">
        <v>0.18</v>
      </c>
      <c r="AP363" s="635">
        <v>8.1000000000000003E-2</v>
      </c>
      <c r="AR363" s="485">
        <f t="shared" si="98"/>
        <v>0.89764332418140091</v>
      </c>
      <c r="AS363" s="485">
        <f t="shared" si="99"/>
        <v>0.20706949011710929</v>
      </c>
      <c r="AT363" s="486">
        <f t="shared" si="100"/>
        <v>2.1611806535156003E-9</v>
      </c>
      <c r="AU363" s="487">
        <f t="shared" si="101"/>
        <v>199.99999949145919</v>
      </c>
      <c r="AV363" s="488">
        <f t="shared" si="102"/>
        <v>0.7684773949750805</v>
      </c>
      <c r="AW363" s="486">
        <f t="shared" si="103"/>
        <v>8.933756544241199E-2</v>
      </c>
      <c r="AX363" s="804">
        <f t="shared" si="104"/>
        <v>2.3760253741030886E-63</v>
      </c>
    </row>
    <row r="364" spans="2:50" ht="11.1" customHeight="1" x14ac:dyDescent="0.2">
      <c r="B364" s="182">
        <v>42403</v>
      </c>
      <c r="C364" s="433">
        <f>ND代替値</f>
        <v>0.18518518518518517</v>
      </c>
      <c r="D364" s="177">
        <v>385</v>
      </c>
      <c r="E364" s="435">
        <f t="shared" si="114"/>
        <v>3.8509682649125456E-3</v>
      </c>
      <c r="F364" s="434">
        <f>ND代替値*2.71828^(-(0.69315/30.07)*(B364-事故日Fk)/365.25)</f>
        <v>1.7863580768110149E-2</v>
      </c>
      <c r="G364" s="802">
        <f t="shared" si="108"/>
        <v>6.2995071686102091E-69</v>
      </c>
      <c r="H364" s="437">
        <f>ND代替値*2.71828^(-(0.69315/28.799)*(B364-調査開始日)/365.25)</f>
        <v>4.3877594578228705E-3</v>
      </c>
      <c r="I364" s="215">
        <v>1.6</v>
      </c>
      <c r="J364" s="203">
        <f>ND代替値</f>
        <v>5.0000000000000001E-3</v>
      </c>
      <c r="K364" s="182">
        <v>42422</v>
      </c>
      <c r="L364" s="433">
        <f>ND代替値</f>
        <v>2.9000000000000001E-2</v>
      </c>
      <c r="M364" s="177">
        <v>327</v>
      </c>
      <c r="N364" s="435">
        <f t="shared" si="112"/>
        <v>4.4464512745461589E-3</v>
      </c>
      <c r="O364" s="434">
        <f>ND代替値*2.71828^(-(0.69315/30.07)*(K364-事故日Fk)/365.25)</f>
        <v>2.2302716641035208E-2</v>
      </c>
      <c r="P364" s="661">
        <f t="shared" si="118"/>
        <v>1.8885484398525105E-69</v>
      </c>
      <c r="Q364" s="631">
        <f t="shared" si="110"/>
        <v>0.215</v>
      </c>
      <c r="R364" s="177">
        <v>333</v>
      </c>
      <c r="S364" s="197">
        <f t="shared" si="121"/>
        <v>4.5410566208130988E-3</v>
      </c>
      <c r="T364" s="180">
        <v>0.15</v>
      </c>
      <c r="U364" s="635">
        <v>0.15</v>
      </c>
      <c r="V364" s="226">
        <v>42409</v>
      </c>
      <c r="W364" s="433">
        <f>ND代替値</f>
        <v>0.17499999999999999</v>
      </c>
      <c r="X364" s="177">
        <v>424</v>
      </c>
      <c r="Y364" s="435">
        <f>ND代替値*2.71828^(-(0.69315/2.062)*(V364-事故日Fk)/365.25)</f>
        <v>3.7340176398613922E-3</v>
      </c>
      <c r="Z364" s="434">
        <f>ND代替値*2.71828^(-(0.69315/30.07)*(V364-事故日Fk)/365.25)</f>
        <v>1.9196079076607586E-2</v>
      </c>
      <c r="AA364" s="802">
        <f t="shared" si="116"/>
        <v>4.0391312675024837E-69</v>
      </c>
      <c r="AB364" s="214"/>
      <c r="AC364" s="215"/>
      <c r="AD364" s="216"/>
      <c r="AE364" s="328">
        <v>42410</v>
      </c>
      <c r="AF364" s="433">
        <f>ND代替値</f>
        <v>0.26</v>
      </c>
      <c r="AG364" s="177">
        <v>382</v>
      </c>
      <c r="AH364" s="435">
        <f t="shared" si="119"/>
        <v>4.4958303814481076E-3</v>
      </c>
      <c r="AI364" s="224">
        <v>5.8000000000000003E-2</v>
      </c>
      <c r="AJ364" s="661">
        <f t="shared" si="117"/>
        <v>6.9213546238643168E-69</v>
      </c>
      <c r="AK364" s="328">
        <v>42408</v>
      </c>
      <c r="AL364" s="433">
        <f>ND代替値</f>
        <v>0.32500000000000001</v>
      </c>
      <c r="AM364" s="177">
        <v>397</v>
      </c>
      <c r="AN364" s="435">
        <f t="shared" si="120"/>
        <v>4.5041133826245307E-3</v>
      </c>
      <c r="AO364" s="233">
        <v>0.12</v>
      </c>
      <c r="AP364" s="661">
        <f t="shared" ref="AP364:AP370" si="122">ND代替値*2.71828^(-(0.69315/0.022177)*(AK364-事故日Fk)/365.25)</f>
        <v>8.7999783070638849E-69</v>
      </c>
      <c r="AR364" s="485">
        <f t="shared" si="98"/>
        <v>0.8931790384055075</v>
      </c>
      <c r="AS364" s="485">
        <f t="shared" si="99"/>
        <v>0.19254841324562727</v>
      </c>
      <c r="AT364" s="486">
        <f t="shared" si="100"/>
        <v>7.7343901704015591E-10</v>
      </c>
      <c r="AU364" s="487">
        <f t="shared" si="101"/>
        <v>199.99999946797891</v>
      </c>
      <c r="AV364" s="488">
        <f t="shared" si="102"/>
        <v>0.75918999419265898</v>
      </c>
      <c r="AW364" s="486">
        <f t="shared" si="103"/>
        <v>8.8873701541776762E-2</v>
      </c>
      <c r="AX364" s="804">
        <f t="shared" si="104"/>
        <v>1.6479415771105516E-66</v>
      </c>
    </row>
    <row r="365" spans="2:50" ht="11.1" customHeight="1" x14ac:dyDescent="0.2">
      <c r="B365" s="182">
        <v>42500</v>
      </c>
      <c r="C365" s="234">
        <v>1.3</v>
      </c>
      <c r="D365" s="177">
        <v>331</v>
      </c>
      <c r="E365" s="435">
        <f t="shared" si="114"/>
        <v>3.5220798620840218E-3</v>
      </c>
      <c r="F365" s="224">
        <v>8.6999999999999994E-2</v>
      </c>
      <c r="G365" s="224">
        <v>0.11</v>
      </c>
      <c r="J365" s="501"/>
      <c r="K365" s="182">
        <v>42514</v>
      </c>
      <c r="L365" s="433">
        <f>ND代替値</f>
        <v>2.9000000000000001E-2</v>
      </c>
      <c r="M365" s="177">
        <v>259</v>
      </c>
      <c r="N365" s="435">
        <f t="shared" si="112"/>
        <v>4.0854630677974587E-3</v>
      </c>
      <c r="O365" s="178">
        <v>8.2000000000000003E-2</v>
      </c>
      <c r="P365" s="661">
        <f t="shared" si="118"/>
        <v>7.195705766077278E-73</v>
      </c>
      <c r="Q365" s="631">
        <f t="shared" si="110"/>
        <v>0.215</v>
      </c>
      <c r="R365" s="177">
        <v>402</v>
      </c>
      <c r="S365" s="197">
        <f t="shared" si="121"/>
        <v>4.1723878139208088E-3</v>
      </c>
      <c r="T365" s="180">
        <v>0.15</v>
      </c>
      <c r="U365" s="661">
        <f>ND代替値*2.71828^(-(0.69315/0.022177)*(K365-事故日Fk)/365.25)</f>
        <v>7.4205715712671932E-73</v>
      </c>
      <c r="V365" s="226">
        <v>42500</v>
      </c>
      <c r="W365" s="666">
        <v>0.51</v>
      </c>
      <c r="X365" s="177">
        <v>307</v>
      </c>
      <c r="Y365" s="435">
        <f>ND代替値*2.71828^(-(0.69315/2.062)*(V365-事故日Fk)/365.25)</f>
        <v>3.434027865531921E-3</v>
      </c>
      <c r="Z365" s="197">
        <v>9.1999999999999998E-2</v>
      </c>
      <c r="AA365" s="224">
        <v>7.8E-2</v>
      </c>
      <c r="AB365" s="214"/>
      <c r="AC365" s="215"/>
      <c r="AD365" s="216"/>
      <c r="AE365" s="328">
        <v>42508</v>
      </c>
      <c r="AF365" s="433">
        <f>ND代替値</f>
        <v>0.26</v>
      </c>
      <c r="AG365" s="177">
        <v>362</v>
      </c>
      <c r="AH365" s="435">
        <f t="shared" si="119"/>
        <v>4.1080855489988178E-3</v>
      </c>
      <c r="AI365" s="224">
        <v>6.4000000000000001E-2</v>
      </c>
      <c r="AJ365" s="635">
        <v>7.8E-2</v>
      </c>
      <c r="AK365" s="328">
        <v>42503</v>
      </c>
      <c r="AL365" s="433">
        <f>ND代替値</f>
        <v>0.32500000000000001</v>
      </c>
      <c r="AM365" s="177">
        <v>371</v>
      </c>
      <c r="AN365" s="435">
        <f t="shared" si="120"/>
        <v>4.1270332778985909E-3</v>
      </c>
      <c r="AO365" s="233">
        <v>0.15</v>
      </c>
      <c r="AP365" s="661">
        <f t="shared" si="122"/>
        <v>2.5937968255589881E-72</v>
      </c>
      <c r="AR365" s="485">
        <f t="shared" si="98"/>
        <v>0.88772792900621067</v>
      </c>
      <c r="AS365" s="485">
        <f t="shared" si="99"/>
        <v>0.17610399310420108</v>
      </c>
      <c r="AT365" s="486">
        <f t="shared" si="100"/>
        <v>2.1901832374979195E-10</v>
      </c>
      <c r="AU365" s="487">
        <f t="shared" si="101"/>
        <v>199.99999943914872</v>
      </c>
      <c r="AV365" s="488">
        <f t="shared" si="102"/>
        <v>0.74793985289792519</v>
      </c>
      <c r="AW365" s="486">
        <f t="shared" si="103"/>
        <v>8.8307440011288429E-2</v>
      </c>
      <c r="AX365" s="804">
        <f t="shared" si="104"/>
        <v>3.7575541565960843E-70</v>
      </c>
    </row>
    <row r="366" spans="2:50" ht="11.1" customHeight="1" x14ac:dyDescent="0.2">
      <c r="B366" s="182">
        <v>42607</v>
      </c>
      <c r="C366" s="234">
        <v>2.1</v>
      </c>
      <c r="D366" s="177">
        <v>260</v>
      </c>
      <c r="E366" s="435">
        <f t="shared" si="114"/>
        <v>3.1917691681989332E-3</v>
      </c>
      <c r="F366" s="178">
        <v>0.08</v>
      </c>
      <c r="G366" s="224">
        <v>0.11</v>
      </c>
      <c r="H366" s="212">
        <v>3.2000000000000001E-2</v>
      </c>
      <c r="I366" s="215">
        <v>2.27</v>
      </c>
      <c r="J366" s="501">
        <f>H366/I366</f>
        <v>1.4096916299559472E-2</v>
      </c>
      <c r="K366" s="182">
        <v>42618</v>
      </c>
      <c r="L366" s="433">
        <f>ND代替値</f>
        <v>2.9000000000000001E-2</v>
      </c>
      <c r="M366" s="177">
        <v>305</v>
      </c>
      <c r="N366" s="435">
        <f t="shared" si="112"/>
        <v>3.7125529795812391E-3</v>
      </c>
      <c r="O366" s="178">
        <v>0.13</v>
      </c>
      <c r="P366" s="661">
        <f t="shared" si="118"/>
        <v>9.8187229054308848E-77</v>
      </c>
      <c r="Q366" s="188">
        <v>0.65</v>
      </c>
      <c r="R366" s="177">
        <v>322</v>
      </c>
      <c r="S366" s="197">
        <f t="shared" si="121"/>
        <v>3.7915434685084994E-3</v>
      </c>
      <c r="T366" s="180">
        <v>0.33</v>
      </c>
      <c r="U366" s="634">
        <v>0.15</v>
      </c>
      <c r="V366" s="328">
        <v>42586</v>
      </c>
      <c r="W366" s="235">
        <v>0.99</v>
      </c>
      <c r="X366" s="177">
        <v>296</v>
      </c>
      <c r="Y366" s="435">
        <f t="shared" ref="Y366" si="123">ND代替値*2.71828^(-(0.69315/2.062)*(V366-事故日Fk)/365.25)</f>
        <v>3.1727054628954299E-3</v>
      </c>
      <c r="Z366" s="197">
        <v>7.5999999999999998E-2</v>
      </c>
      <c r="AA366" s="199">
        <v>0.1</v>
      </c>
      <c r="AB366" s="214">
        <v>0.04</v>
      </c>
      <c r="AC366" s="215">
        <v>2.2799999999999998</v>
      </c>
      <c r="AD366" s="216">
        <v>1.7999999999999999E-2</v>
      </c>
      <c r="AE366" s="328">
        <v>42586</v>
      </c>
      <c r="AF366" s="3"/>
      <c r="AG366" s="177"/>
      <c r="AH366" s="3"/>
      <c r="AI366" s="3"/>
      <c r="AJ366" s="216"/>
      <c r="AK366" s="328">
        <v>42618</v>
      </c>
      <c r="AL366" s="232">
        <v>1.2</v>
      </c>
      <c r="AM366" s="177">
        <v>284</v>
      </c>
      <c r="AN366" s="435">
        <f t="shared" si="120"/>
        <v>3.7125529795812391E-3</v>
      </c>
      <c r="AO366" s="233">
        <v>0.16</v>
      </c>
      <c r="AP366" s="661">
        <f t="shared" si="122"/>
        <v>1.380757908576218E-76</v>
      </c>
      <c r="AR366" s="485">
        <f t="shared" si="98"/>
        <v>0.8817534311926708</v>
      </c>
      <c r="AS366" s="485">
        <f t="shared" si="99"/>
        <v>0.15958845840994665</v>
      </c>
      <c r="AT366" s="486">
        <f t="shared" si="100"/>
        <v>5.4455980863162295E-11</v>
      </c>
      <c r="AU366" s="487">
        <f t="shared" si="101"/>
        <v>199.99999940734634</v>
      </c>
      <c r="AV366" s="488">
        <f t="shared" si="102"/>
        <v>0.73572318192743003</v>
      </c>
      <c r="AW366" s="486">
        <f t="shared" si="103"/>
        <v>8.7686985142321705E-2</v>
      </c>
      <c r="AX366" s="804">
        <f t="shared" si="104"/>
        <v>4.743964758864845E-73</v>
      </c>
    </row>
    <row r="367" spans="2:50" ht="11.1" customHeight="1" x14ac:dyDescent="0.2">
      <c r="B367" s="182">
        <v>42681</v>
      </c>
      <c r="C367" s="234">
        <v>2.4</v>
      </c>
      <c r="D367" s="177">
        <v>312</v>
      </c>
      <c r="E367" s="435">
        <f t="shared" si="114"/>
        <v>2.9816303258403164E-3</v>
      </c>
      <c r="F367" s="434">
        <f>ND代替値*2.71828^(-(0.69315/30.07)*(B367-事故日Fk)/365.25)</f>
        <v>1.7552901434567371E-2</v>
      </c>
      <c r="G367" s="802">
        <f>ND代替値*2.71828^(-(0.69315/0.022177)*(B367-事故日Fk)/365.25)</f>
        <v>2.936399231425724E-79</v>
      </c>
      <c r="J367" s="501"/>
      <c r="K367" s="182">
        <v>42681</v>
      </c>
      <c r="L367" s="335">
        <v>0.98</v>
      </c>
      <c r="M367" s="177">
        <v>327</v>
      </c>
      <c r="N367" s="435">
        <f t="shared" si="112"/>
        <v>3.5034156328623721E-3</v>
      </c>
      <c r="O367" s="178">
        <v>0.11</v>
      </c>
      <c r="P367" s="661">
        <f t="shared" si="118"/>
        <v>4.4745131145534838E-79</v>
      </c>
      <c r="Q367" s="631">
        <f>ND代替値</f>
        <v>0.215</v>
      </c>
      <c r="R367" s="177">
        <v>375</v>
      </c>
      <c r="S367" s="197">
        <f t="shared" si="121"/>
        <v>3.5779563910083799E-3</v>
      </c>
      <c r="T367" s="180">
        <v>0.3</v>
      </c>
      <c r="U367" s="634">
        <v>0.27</v>
      </c>
      <c r="V367" s="226">
        <v>42712</v>
      </c>
      <c r="W367" s="235">
        <v>0.98</v>
      </c>
      <c r="X367" s="177">
        <v>429</v>
      </c>
      <c r="Y367" s="435">
        <f>ND代替値*2.71828^(-(0.69315/2.062)*(V367-事故日Fk)/365.25)</f>
        <v>2.8253207795366662E-3</v>
      </c>
      <c r="Z367" s="224">
        <v>6.8000000000000005E-2</v>
      </c>
      <c r="AA367" s="802">
        <f>ND代替値*2.71828^(-(0.69315/0.022177)*(V367-事故日Fk)/365.25)</f>
        <v>2.2166929241351132E-80</v>
      </c>
      <c r="AB367" s="214"/>
      <c r="AC367" s="215"/>
      <c r="AD367" s="216"/>
      <c r="AE367" s="328">
        <v>42695</v>
      </c>
      <c r="AF367" s="232">
        <v>4.4000000000000004</v>
      </c>
      <c r="AG367" s="177">
        <v>343</v>
      </c>
      <c r="AH367" s="435">
        <f>ND代替値*2.71828^(-(0.69315/2.062)*(AE367-事故日Fk)/365.25)</f>
        <v>3.4585645570335806E-3</v>
      </c>
      <c r="AI367" s="197">
        <v>0.11</v>
      </c>
      <c r="AJ367" s="661">
        <f>ND代替値*2.71828^(-(0.69315/0.022177)*(AE367-事故日Fk)/365.25)</f>
        <v>1.7723690596194594E-79</v>
      </c>
      <c r="AK367" s="328">
        <v>42688</v>
      </c>
      <c r="AL367" s="232">
        <v>1.8</v>
      </c>
      <c r="AM367" s="177">
        <v>386</v>
      </c>
      <c r="AN367" s="435">
        <f t="shared" si="120"/>
        <v>3.4809178583205857E-3</v>
      </c>
      <c r="AO367" s="233">
        <v>0.14000000000000001</v>
      </c>
      <c r="AP367" s="661">
        <f t="shared" si="122"/>
        <v>3.4567092518895175E-79</v>
      </c>
      <c r="AR367" s="485">
        <f t="shared" si="98"/>
        <v>0.87764507172836859</v>
      </c>
      <c r="AS367" s="485">
        <f t="shared" si="99"/>
        <v>0.14908151629201583</v>
      </c>
      <c r="AT367" s="486">
        <f t="shared" si="100"/>
        <v>2.0798174155806934E-11</v>
      </c>
      <c r="AU367" s="487">
        <f t="shared" si="101"/>
        <v>199.9999993853522</v>
      </c>
      <c r="AV367" s="488">
        <f t="shared" si="102"/>
        <v>0.72739118810356873</v>
      </c>
      <c r="AW367" s="486">
        <f t="shared" si="103"/>
        <v>8.7260437333958052E-2</v>
      </c>
      <c r="AX367" s="804">
        <f t="shared" si="104"/>
        <v>4.2199263324272844E-77</v>
      </c>
    </row>
    <row r="368" spans="2:50" ht="11.1" customHeight="1" x14ac:dyDescent="0.2">
      <c r="B368" s="182">
        <v>42780</v>
      </c>
      <c r="C368" s="433">
        <f>ND代替値</f>
        <v>0.18518518518518517</v>
      </c>
      <c r="D368" s="177">
        <v>402</v>
      </c>
      <c r="E368" s="435">
        <f t="shared" si="114"/>
        <v>2.7219720395261627E-3</v>
      </c>
      <c r="F368" s="224">
        <v>9.8000000000000004E-2</v>
      </c>
      <c r="G368" s="802">
        <f>ND代替値*2.71828^(-(0.69315/0.022177)*(B368-事故日Fk)/365.25)</f>
        <v>6.1463162287014238E-83</v>
      </c>
      <c r="H368" s="437">
        <f>ND代替値*2.71828^(-(0.69315/28.799)*(B368-調査開始日)/365.25)</f>
        <v>4.2800980423693879E-3</v>
      </c>
      <c r="I368" s="215">
        <v>1.46</v>
      </c>
      <c r="J368" s="203">
        <f>ND代替値</f>
        <v>5.0000000000000001E-3</v>
      </c>
      <c r="K368" s="182">
        <v>42774</v>
      </c>
      <c r="L368" s="433">
        <f>ND代替値</f>
        <v>2.9000000000000001E-2</v>
      </c>
      <c r="M368" s="177">
        <v>341</v>
      </c>
      <c r="N368" s="435">
        <f t="shared" si="112"/>
        <v>3.2160272244247824E-3</v>
      </c>
      <c r="O368" s="178">
        <v>0.12</v>
      </c>
      <c r="P368" s="661">
        <f t="shared" si="118"/>
        <v>1.5650471100371089E-82</v>
      </c>
      <c r="Q368" s="204">
        <v>0.76</v>
      </c>
      <c r="R368" s="177">
        <v>382</v>
      </c>
      <c r="S368" s="197">
        <f t="shared" si="121"/>
        <v>3.2844533355827566E-3</v>
      </c>
      <c r="T368" s="180">
        <v>0.15</v>
      </c>
      <c r="U368" s="635">
        <v>0.14000000000000001</v>
      </c>
      <c r="V368" s="226">
        <v>42794</v>
      </c>
      <c r="W368" s="198">
        <f>ND代替値</f>
        <v>0.17499999999999999</v>
      </c>
      <c r="X368" s="177">
        <v>366</v>
      </c>
      <c r="Y368" s="435">
        <f>ND代替値*2.71828^(-(0.69315/2.062)*(V368-事故日Fk)/365.25)</f>
        <v>2.6199469553413479E-3</v>
      </c>
      <c r="Z368" s="224">
        <v>5.8999999999999997E-2</v>
      </c>
      <c r="AA368" s="802">
        <f>ND代替値*2.71828^(-(0.69315/0.022177)*(V368-事故日Fk)/365.25)</f>
        <v>1.9874087011914433E-83</v>
      </c>
      <c r="AB368" s="214"/>
      <c r="AC368" s="215"/>
      <c r="AD368" s="216"/>
      <c r="AE368" s="328">
        <v>42794</v>
      </c>
      <c r="AF368" s="433">
        <f>ND代替値</f>
        <v>0.26</v>
      </c>
      <c r="AG368" s="177">
        <v>364</v>
      </c>
      <c r="AH368" s="435">
        <f>ND代替値*2.71828^(-(0.69315/2.062)*(AE368-事故日Fk)/365.25)</f>
        <v>3.1573719718216244E-3</v>
      </c>
      <c r="AI368" s="224">
        <v>6.4000000000000001E-2</v>
      </c>
      <c r="AJ368" s="661">
        <f>ND代替値*2.71828^(-(0.69315/0.022177)*(AE368-事故日Fk)/365.25)</f>
        <v>3.7098295755573617E-83</v>
      </c>
      <c r="AK368" s="328">
        <v>42767</v>
      </c>
      <c r="AL368" s="433">
        <f>ND代替値</f>
        <v>0.32500000000000001</v>
      </c>
      <c r="AM368" s="177">
        <v>386</v>
      </c>
      <c r="AN368" s="435">
        <f t="shared" si="120"/>
        <v>3.2368129649565239E-3</v>
      </c>
      <c r="AO368" s="233">
        <v>0.1</v>
      </c>
      <c r="AP368" s="661">
        <f t="shared" si="122"/>
        <v>4.006225759896969E-82</v>
      </c>
      <c r="AR368" s="485">
        <f t="shared" si="98"/>
        <v>0.87217867215042888</v>
      </c>
      <c r="AS368" s="485">
        <f t="shared" si="99"/>
        <v>0.13609860197630813</v>
      </c>
      <c r="AT368" s="486">
        <f t="shared" si="100"/>
        <v>5.7382800087064419E-12</v>
      </c>
      <c r="AU368" s="487">
        <f t="shared" si="101"/>
        <v>199.99999935592757</v>
      </c>
      <c r="AV368" s="488">
        <f t="shared" si="102"/>
        <v>0.71639170386069573</v>
      </c>
      <c r="AW368" s="486">
        <f t="shared" si="103"/>
        <v>8.6693028559004431E-2</v>
      </c>
      <c r="AX368" s="804">
        <f t="shared" si="104"/>
        <v>8.8329275608508607E-81</v>
      </c>
    </row>
    <row r="369" spans="2:50" ht="11.1" customHeight="1" x14ac:dyDescent="0.2">
      <c r="B369" s="182">
        <v>42873</v>
      </c>
      <c r="C369" s="206">
        <v>1.1000000000000001</v>
      </c>
      <c r="D369" s="177">
        <v>319</v>
      </c>
      <c r="E369" s="435">
        <f t="shared" si="114"/>
        <v>2.4986861681858224E-3</v>
      </c>
      <c r="F369" s="434">
        <f>ND代替値*2.71828^(-(0.69315/30.07)*(B369-事故日Fk)/365.25)</f>
        <v>1.7341491762565477E-2</v>
      </c>
      <c r="G369" s="802">
        <f>ND代替値*2.71828^(-(0.69315/0.022177)*(B369-事故日Fk)/365.25)</f>
        <v>2.1497924365929565E-86</v>
      </c>
      <c r="H369" s="212">
        <v>3.5999999999999997E-2</v>
      </c>
      <c r="I369" s="215">
        <v>1.65</v>
      </c>
      <c r="J369" s="501">
        <f>H369/I369</f>
        <v>2.1818181818181816E-2</v>
      </c>
      <c r="K369" s="182">
        <v>42866</v>
      </c>
      <c r="L369" s="433">
        <f>ND代替値</f>
        <v>2.9000000000000001E-2</v>
      </c>
      <c r="M369" s="177">
        <v>236</v>
      </c>
      <c r="N369" s="435">
        <f t="shared" si="112"/>
        <v>2.9549318409566269E-3</v>
      </c>
      <c r="O369" s="434">
        <f>ND代替値*2.71828^(-(0.69315/30.07)*(K369-事故日Fk)/365.25)</f>
        <v>2.168644311983654E-2</v>
      </c>
      <c r="P369" s="661">
        <f t="shared" si="118"/>
        <v>5.9631081079161618E-86</v>
      </c>
      <c r="Q369" s="631">
        <f>ND代替値</f>
        <v>0.215</v>
      </c>
      <c r="R369" s="177">
        <v>364</v>
      </c>
      <c r="S369" s="197">
        <f t="shared" si="121"/>
        <v>3.0178027311897463E-3</v>
      </c>
      <c r="T369" s="180">
        <v>0.25</v>
      </c>
      <c r="U369" s="635">
        <v>0.14000000000000001</v>
      </c>
      <c r="V369" s="226">
        <v>42895</v>
      </c>
      <c r="W369" s="235">
        <v>0.77</v>
      </c>
      <c r="X369" s="177">
        <v>394</v>
      </c>
      <c r="Y369" s="435">
        <f>ND代替値*2.71828^(-(0.69315/2.062)*(V369-事故日Fk)/365.25)</f>
        <v>2.3873877691518298E-3</v>
      </c>
      <c r="Z369" s="434">
        <f>ND代替値*2.71828^(-(0.69315/30.07)*(V369-事故日Fk)/365.25)</f>
        <v>1.8616238231505912E-2</v>
      </c>
      <c r="AA369" s="802">
        <f>ND代替値*2.71828^(-(0.69315/0.022177)*(V369-事故日Fk)/365.25)</f>
        <v>3.5055786027224938E-87</v>
      </c>
      <c r="AB369" s="214"/>
      <c r="AC369" s="215"/>
      <c r="AD369" s="216"/>
      <c r="AE369" s="328">
        <v>42877</v>
      </c>
      <c r="AF369" s="235">
        <v>0.48</v>
      </c>
      <c r="AG369" s="177">
        <v>290</v>
      </c>
      <c r="AH369" s="435">
        <f>ND代替値*2.71828^(-(0.69315/2.062)*(AE369-事故日Fk)/365.25)</f>
        <v>2.9251678121272684E-3</v>
      </c>
      <c r="AI369" s="197">
        <v>5.7000000000000002E-2</v>
      </c>
      <c r="AJ369" s="661">
        <f>ND代替値*2.71828^(-(0.69315/0.022177)*(AE369-事故日Fk)/365.25)</f>
        <v>3.0533175410994738E-86</v>
      </c>
      <c r="AK369" s="328">
        <v>42873</v>
      </c>
      <c r="AL369" s="232">
        <v>0.48</v>
      </c>
      <c r="AM369" s="177">
        <v>344</v>
      </c>
      <c r="AN369" s="435">
        <f t="shared" si="120"/>
        <v>2.9359562476183412E-3</v>
      </c>
      <c r="AO369" s="233">
        <v>7.0000000000000007E-2</v>
      </c>
      <c r="AP369" s="661">
        <f t="shared" si="122"/>
        <v>4.606698078413477E-86</v>
      </c>
      <c r="AR369" s="485">
        <f t="shared" si="98"/>
        <v>0.86707458812827376</v>
      </c>
      <c r="AS369" s="485">
        <f t="shared" si="99"/>
        <v>0.12493430840929112</v>
      </c>
      <c r="AT369" s="486">
        <f t="shared" si="100"/>
        <v>1.7117163793850286E-12</v>
      </c>
      <c r="AU369" s="487">
        <f t="shared" si="101"/>
        <v>199.99999932828624</v>
      </c>
      <c r="AV369" s="488">
        <f t="shared" si="102"/>
        <v>0.70621041816461561</v>
      </c>
      <c r="AW369" s="486">
        <f t="shared" si="103"/>
        <v>8.6163369559455152E-2</v>
      </c>
      <c r="AX369" s="804">
        <f t="shared" si="104"/>
        <v>7.2698036692844615E-84</v>
      </c>
    </row>
    <row r="370" spans="2:50" ht="11.1" customHeight="1" x14ac:dyDescent="0.2">
      <c r="B370" s="182">
        <v>43046</v>
      </c>
      <c r="C370" s="206">
        <v>1.8</v>
      </c>
      <c r="D370" s="177">
        <v>361</v>
      </c>
      <c r="E370" s="435">
        <f t="shared" si="114"/>
        <v>2.1309040619596183E-3</v>
      </c>
      <c r="F370" s="231">
        <v>0.1</v>
      </c>
      <c r="G370" s="802">
        <f>ND代替値*2.71828^(-(0.69315/0.022177)*(B370-事故日Fk)/365.25)</f>
        <v>7.9999466160533254E-93</v>
      </c>
      <c r="H370" s="437">
        <f>ND代替値*2.71828^(-(0.69315/28.799)*(B370-調査開始日)/365.25)</f>
        <v>4.2057286925398073E-3</v>
      </c>
      <c r="I370" s="215">
        <v>2.2599999999999998</v>
      </c>
      <c r="J370" s="203">
        <f>ND代替値</f>
        <v>5.0000000000000001E-3</v>
      </c>
      <c r="K370" s="182">
        <v>43053</v>
      </c>
      <c r="L370" s="433">
        <f>ND代替値</f>
        <v>2.9000000000000001E-2</v>
      </c>
      <c r="M370" s="177">
        <v>367</v>
      </c>
      <c r="N370" s="435">
        <f t="shared" si="112"/>
        <v>2.4877336198787896E-3</v>
      </c>
      <c r="O370" s="434">
        <f>ND代替値*2.71828^(-(0.69315/30.07)*(K370-事故日Fk)/365.25)</f>
        <v>2.1432010360065892E-2</v>
      </c>
      <c r="P370" s="661">
        <f t="shared" si="118"/>
        <v>6.6968767126169477E-93</v>
      </c>
      <c r="Q370" s="631">
        <f>ND代替値</f>
        <v>0.215</v>
      </c>
      <c r="R370" s="177">
        <v>422</v>
      </c>
      <c r="S370" s="197">
        <f t="shared" si="121"/>
        <v>2.5406641224294023E-3</v>
      </c>
      <c r="T370" s="180">
        <v>0.17</v>
      </c>
      <c r="U370" s="661">
        <f>ND代替値*2.71828^(-(0.69315/0.022177)*(K370-事故日Fk)/365.25)</f>
        <v>6.9061541098862275E-93</v>
      </c>
      <c r="V370" s="226">
        <v>43054</v>
      </c>
      <c r="W370" s="232">
        <v>2</v>
      </c>
      <c r="X370" s="177">
        <v>354</v>
      </c>
      <c r="Y370" s="435">
        <f>ND代替値*2.71828^(-(0.69315/2.062)*(V370-事故日Fk)/365.25)</f>
        <v>2.0623906262525809E-3</v>
      </c>
      <c r="Z370" s="178">
        <v>9.8000000000000004E-2</v>
      </c>
      <c r="AA370" s="802">
        <f>ND代替値*2.71828^(-(0.69315/0.022177)*(V370-事故日Fk)/365.25)</f>
        <v>4.3225617408171108E-93</v>
      </c>
      <c r="AB370" s="214">
        <v>4.4999999999999998E-2</v>
      </c>
      <c r="AC370" s="215">
        <v>2.41</v>
      </c>
      <c r="AD370" s="216">
        <v>1.9E-2</v>
      </c>
      <c r="AE370" s="328">
        <v>43054</v>
      </c>
      <c r="AF370" s="293"/>
      <c r="AG370" s="177"/>
      <c r="AH370" s="197"/>
      <c r="AI370" s="197"/>
      <c r="AJ370" s="640"/>
      <c r="AK370" s="328">
        <v>43052</v>
      </c>
      <c r="AL370" s="232">
        <v>1.8</v>
      </c>
      <c r="AM370" s="177">
        <v>385</v>
      </c>
      <c r="AN370" s="435">
        <f t="shared" si="120"/>
        <v>2.4900242332406633E-3</v>
      </c>
      <c r="AO370" s="233">
        <v>0.14000000000000001</v>
      </c>
      <c r="AP370" s="661">
        <f t="shared" si="122"/>
        <v>1.0258845224040119E-92</v>
      </c>
      <c r="AR370" s="485">
        <f t="shared" si="98"/>
        <v>0.85765922328897837</v>
      </c>
      <c r="AS370" s="485">
        <f t="shared" si="99"/>
        <v>0.10654520309798091</v>
      </c>
      <c r="AT370" s="486">
        <f t="shared" si="100"/>
        <v>1.8037151704386896E-13</v>
      </c>
      <c r="AU370" s="487">
        <f t="shared" si="101"/>
        <v>199.99999927686741</v>
      </c>
      <c r="AV370" s="488">
        <f t="shared" si="102"/>
        <v>0.68765440206426254</v>
      </c>
      <c r="AW370" s="486">
        <f t="shared" si="103"/>
        <v>8.5186683586326806E-2</v>
      </c>
      <c r="AX370" s="804">
        <f t="shared" si="104"/>
        <v>1.9211385514742715E-90</v>
      </c>
    </row>
    <row r="371" spans="2:50" ht="11.1" customHeight="1" x14ac:dyDescent="0.2">
      <c r="B371" s="182"/>
      <c r="C371" s="206"/>
      <c r="D371" s="177"/>
      <c r="E371" s="178"/>
      <c r="F371" s="178"/>
      <c r="G371" s="178"/>
      <c r="H371" s="212"/>
      <c r="I371" s="215"/>
      <c r="J371" s="501"/>
      <c r="K371" s="182"/>
      <c r="L371" s="335"/>
      <c r="M371" s="177"/>
      <c r="N371" s="184"/>
      <c r="O371" s="184"/>
      <c r="P371" s="638"/>
      <c r="Q371" s="188"/>
      <c r="R371" s="177"/>
      <c r="S371" s="289"/>
      <c r="T371" s="289"/>
      <c r="U371" s="638"/>
      <c r="V371" s="182"/>
      <c r="W371" s="202"/>
      <c r="X371" s="177"/>
      <c r="Y371" s="178"/>
      <c r="Z371" s="178"/>
      <c r="AA371" s="178"/>
      <c r="AB371" s="214"/>
      <c r="AC371" s="215"/>
      <c r="AD371" s="216"/>
      <c r="AE371" s="328"/>
      <c r="AF371" s="293"/>
      <c r="AG371" s="177"/>
      <c r="AH371" s="197"/>
      <c r="AI371" s="197"/>
      <c r="AJ371" s="640"/>
      <c r="AK371" s="328"/>
      <c r="AL371" s="293"/>
      <c r="AM371" s="177"/>
      <c r="AN371" s="197"/>
      <c r="AO371" s="197"/>
      <c r="AP371" s="640"/>
      <c r="AR371" s="431"/>
      <c r="AS371" s="432"/>
      <c r="AT371" s="428"/>
      <c r="AU371" s="429"/>
      <c r="AV371" s="430"/>
      <c r="AW371" s="430"/>
      <c r="AX371" s="436"/>
    </row>
    <row r="372" spans="2:50" ht="11.1" customHeight="1" x14ac:dyDescent="0.2">
      <c r="B372" s="182"/>
      <c r="C372" s="206"/>
      <c r="D372" s="177"/>
      <c r="E372" s="178"/>
      <c r="F372" s="178"/>
      <c r="G372" s="178"/>
      <c r="H372" s="212"/>
      <c r="I372" s="215"/>
      <c r="J372" s="501"/>
      <c r="K372" s="182"/>
      <c r="L372" s="335"/>
      <c r="M372" s="177"/>
      <c r="N372" s="184"/>
      <c r="O372" s="184"/>
      <c r="P372" s="638"/>
      <c r="Q372" s="188"/>
      <c r="R372" s="177"/>
      <c r="S372" s="289"/>
      <c r="T372" s="289"/>
      <c r="U372" s="638"/>
      <c r="V372" s="182"/>
      <c r="W372" s="202"/>
      <c r="X372" s="177"/>
      <c r="Y372" s="178"/>
      <c r="Z372" s="178"/>
      <c r="AA372" s="178"/>
      <c r="AB372" s="214"/>
      <c r="AC372" s="215"/>
      <c r="AD372" s="216"/>
      <c r="AE372" s="328"/>
      <c r="AF372" s="293"/>
      <c r="AG372" s="177"/>
      <c r="AH372" s="197"/>
      <c r="AI372" s="197"/>
      <c r="AJ372" s="640"/>
      <c r="AK372" s="328"/>
      <c r="AL372" s="293"/>
      <c r="AM372" s="177"/>
      <c r="AN372" s="197"/>
      <c r="AO372" s="197"/>
      <c r="AP372" s="640"/>
      <c r="AR372" s="431"/>
      <c r="AS372" s="432"/>
      <c r="AT372" s="428"/>
      <c r="AU372" s="429"/>
      <c r="AV372" s="430"/>
      <c r="AW372" s="430"/>
      <c r="AX372" s="436"/>
    </row>
    <row r="373" spans="2:50" ht="11.1" customHeight="1" x14ac:dyDescent="0.2">
      <c r="B373" s="182"/>
      <c r="C373" s="206"/>
      <c r="D373" s="177"/>
      <c r="E373" s="178"/>
      <c r="F373" s="178"/>
      <c r="G373" s="178"/>
      <c r="H373" s="212"/>
      <c r="I373" s="215"/>
      <c r="J373" s="501"/>
      <c r="K373" s="182"/>
      <c r="L373" s="335"/>
      <c r="M373" s="177"/>
      <c r="N373" s="184"/>
      <c r="O373" s="184"/>
      <c r="P373" s="638"/>
      <c r="Q373" s="188"/>
      <c r="R373" s="177"/>
      <c r="S373" s="289"/>
      <c r="T373" s="289"/>
      <c r="U373" s="638"/>
      <c r="V373" s="182"/>
      <c r="W373" s="202"/>
      <c r="X373" s="177"/>
      <c r="Y373" s="178"/>
      <c r="Z373" s="178"/>
      <c r="AA373" s="178"/>
      <c r="AB373" s="214"/>
      <c r="AC373" s="215"/>
      <c r="AD373" s="216"/>
      <c r="AE373" s="328"/>
      <c r="AF373" s="293"/>
      <c r="AG373" s="177"/>
      <c r="AH373" s="197"/>
      <c r="AI373" s="197"/>
      <c r="AJ373" s="640"/>
      <c r="AK373" s="328"/>
      <c r="AL373" s="293"/>
      <c r="AM373" s="177"/>
      <c r="AN373" s="197"/>
      <c r="AO373" s="197"/>
      <c r="AP373" s="640"/>
      <c r="AR373" s="431"/>
      <c r="AS373" s="432"/>
      <c r="AT373" s="428"/>
      <c r="AU373" s="429"/>
      <c r="AV373" s="430"/>
      <c r="AW373" s="430"/>
      <c r="AX373" s="436"/>
    </row>
    <row r="374" spans="2:50" ht="11.1" customHeight="1" x14ac:dyDescent="0.2">
      <c r="B374" s="182"/>
      <c r="C374" s="206"/>
      <c r="D374" s="177"/>
      <c r="E374" s="178"/>
      <c r="F374" s="178"/>
      <c r="G374" s="178"/>
      <c r="H374" s="212"/>
      <c r="I374" s="215"/>
      <c r="J374" s="501"/>
      <c r="K374" s="182"/>
      <c r="L374" s="335"/>
      <c r="M374" s="177"/>
      <c r="N374" s="184"/>
      <c r="O374" s="184"/>
      <c r="P374" s="638"/>
      <c r="Q374" s="188"/>
      <c r="R374" s="177"/>
      <c r="S374" s="289"/>
      <c r="T374" s="289"/>
      <c r="U374" s="638"/>
      <c r="V374" s="182"/>
      <c r="W374" s="202"/>
      <c r="X374" s="177"/>
      <c r="Y374" s="178"/>
      <c r="Z374" s="178"/>
      <c r="AA374" s="178"/>
      <c r="AB374" s="214"/>
      <c r="AC374" s="215"/>
      <c r="AD374" s="216"/>
      <c r="AE374" s="328"/>
      <c r="AF374" s="293"/>
      <c r="AG374" s="177"/>
      <c r="AH374" s="197"/>
      <c r="AI374" s="197"/>
      <c r="AJ374" s="640"/>
      <c r="AK374" s="328"/>
      <c r="AL374" s="293"/>
      <c r="AM374" s="177"/>
      <c r="AN374" s="197"/>
      <c r="AO374" s="197"/>
      <c r="AP374" s="640"/>
      <c r="AR374" s="431"/>
      <c r="AS374" s="432"/>
      <c r="AT374" s="428"/>
      <c r="AU374" s="429"/>
      <c r="AV374" s="430"/>
      <c r="AW374" s="430"/>
      <c r="AX374" s="436"/>
    </row>
    <row r="375" spans="2:50" ht="11.1" customHeight="1" x14ac:dyDescent="0.2">
      <c r="B375" s="182"/>
      <c r="C375" s="206"/>
      <c r="D375" s="177"/>
      <c r="E375" s="178"/>
      <c r="F375" s="178"/>
      <c r="G375" s="178"/>
      <c r="H375" s="212"/>
      <c r="I375" s="215"/>
      <c r="J375" s="501"/>
      <c r="K375" s="182"/>
      <c r="L375" s="335"/>
      <c r="M375" s="177"/>
      <c r="N375" s="184"/>
      <c r="O375" s="184"/>
      <c r="P375" s="638"/>
      <c r="Q375" s="188"/>
      <c r="R375" s="177"/>
      <c r="S375" s="289"/>
      <c r="T375" s="289"/>
      <c r="U375" s="638"/>
      <c r="V375" s="182"/>
      <c r="W375" s="202"/>
      <c r="X375" s="177"/>
      <c r="Y375" s="178"/>
      <c r="Z375" s="178"/>
      <c r="AA375" s="178"/>
      <c r="AB375" s="214"/>
      <c r="AC375" s="215"/>
      <c r="AD375" s="216"/>
      <c r="AE375" s="328"/>
      <c r="AF375" s="293"/>
      <c r="AG375" s="177"/>
      <c r="AH375" s="197"/>
      <c r="AI375" s="197"/>
      <c r="AJ375" s="640"/>
      <c r="AK375" s="292"/>
      <c r="AL375" s="293"/>
      <c r="AM375" s="177"/>
      <c r="AN375" s="197"/>
      <c r="AO375" s="197"/>
      <c r="AP375" s="203"/>
      <c r="AR375" s="431"/>
      <c r="AS375" s="432"/>
      <c r="AT375" s="428"/>
      <c r="AU375" s="429"/>
      <c r="AV375" s="430"/>
      <c r="AW375" s="430"/>
      <c r="AX375" s="436"/>
    </row>
    <row r="376" spans="2:50" ht="11.1" customHeight="1" x14ac:dyDescent="0.2">
      <c r="B376" s="182"/>
      <c r="C376" s="206"/>
      <c r="D376" s="177"/>
      <c r="E376" s="178"/>
      <c r="F376" s="178"/>
      <c r="G376" s="178"/>
      <c r="H376" s="212"/>
      <c r="I376" s="215"/>
      <c r="J376" s="501"/>
      <c r="K376" s="182"/>
      <c r="L376" s="335"/>
      <c r="M376" s="177"/>
      <c r="N376" s="184"/>
      <c r="O376" s="184"/>
      <c r="P376" s="290"/>
      <c r="Q376" s="188"/>
      <c r="R376" s="177"/>
      <c r="S376" s="289"/>
      <c r="T376" s="289"/>
      <c r="U376" s="290"/>
      <c r="V376" s="182"/>
      <c r="W376" s="202"/>
      <c r="X376" s="177"/>
      <c r="Y376" s="178"/>
      <c r="Z376" s="178"/>
      <c r="AA376" s="178"/>
      <c r="AB376" s="214"/>
      <c r="AC376" s="215"/>
      <c r="AD376" s="216"/>
      <c r="AE376" s="328"/>
      <c r="AF376" s="293"/>
      <c r="AG376" s="177"/>
      <c r="AH376" s="197"/>
      <c r="AI376" s="197"/>
      <c r="AJ376" s="640"/>
      <c r="AK376" s="292"/>
      <c r="AL376" s="293"/>
      <c r="AM376" s="177"/>
      <c r="AN376" s="197"/>
      <c r="AO376" s="197"/>
      <c r="AP376" s="203"/>
      <c r="AR376" s="431"/>
      <c r="AS376" s="432"/>
      <c r="AT376" s="428"/>
      <c r="AU376" s="429"/>
      <c r="AV376" s="430"/>
      <c r="AW376" s="430"/>
      <c r="AX376" s="436"/>
    </row>
    <row r="377" spans="2:50" ht="11.1" customHeight="1" x14ac:dyDescent="0.2">
      <c r="B377" s="182"/>
      <c r="C377" s="780"/>
      <c r="D377" s="781"/>
      <c r="E377" s="781"/>
      <c r="F377" s="781"/>
      <c r="G377" s="781"/>
      <c r="H377" s="782"/>
      <c r="I377" s="782"/>
      <c r="J377" s="783"/>
      <c r="K377" s="784"/>
      <c r="L377" s="785"/>
      <c r="M377" s="781"/>
      <c r="N377" s="781"/>
      <c r="O377" s="781"/>
      <c r="P377" s="786"/>
      <c r="Q377" s="787"/>
      <c r="R377" s="781"/>
      <c r="S377" s="781"/>
      <c r="T377" s="781"/>
      <c r="U377" s="786"/>
      <c r="V377" s="784"/>
      <c r="W377" s="787"/>
      <c r="X377" s="781"/>
      <c r="Y377" s="781"/>
      <c r="Z377" s="781"/>
      <c r="AA377" s="781"/>
      <c r="AB377" s="788"/>
      <c r="AC377" s="782"/>
      <c r="AD377" s="789"/>
      <c r="AE377" s="790"/>
      <c r="AF377" s="791"/>
      <c r="AG377" s="781"/>
      <c r="AH377" s="792"/>
      <c r="AI377" s="792"/>
      <c r="AJ377" s="793"/>
      <c r="AK377" s="794"/>
      <c r="AL377" s="791"/>
      <c r="AM377" s="781"/>
      <c r="AN377" s="792"/>
      <c r="AO377" s="792"/>
      <c r="AP377" s="795"/>
      <c r="AQ377" s="796"/>
      <c r="AR377" s="797"/>
      <c r="AS377" s="797"/>
      <c r="AT377" s="798"/>
      <c r="AU377" s="798"/>
      <c r="AV377" s="797"/>
      <c r="AW377" s="797"/>
      <c r="AX377" s="798"/>
    </row>
    <row r="378" spans="2:50" ht="11.1" customHeight="1" x14ac:dyDescent="0.2">
      <c r="B378" s="182"/>
      <c r="C378" s="206"/>
      <c r="D378" s="177"/>
      <c r="E378" s="178"/>
      <c r="F378" s="178"/>
      <c r="G378" s="178"/>
      <c r="H378" s="212"/>
      <c r="I378" s="215"/>
      <c r="J378" s="501"/>
      <c r="K378" s="182"/>
      <c r="L378" s="335"/>
      <c r="M378" s="177"/>
      <c r="N378" s="184"/>
      <c r="O378" s="184"/>
      <c r="P378" s="290"/>
      <c r="Q378" s="188"/>
      <c r="R378" s="177"/>
      <c r="S378" s="289"/>
      <c r="T378" s="289"/>
      <c r="U378" s="290"/>
      <c r="V378" s="182"/>
      <c r="W378" s="202"/>
      <c r="X378" s="177"/>
      <c r="Y378" s="178"/>
      <c r="Z378" s="178"/>
      <c r="AA378" s="178"/>
      <c r="AB378" s="214"/>
      <c r="AC378" s="215"/>
      <c r="AD378" s="216"/>
      <c r="AE378" s="328"/>
      <c r="AF378" s="293"/>
      <c r="AG378" s="177"/>
      <c r="AH378" s="197"/>
      <c r="AI378" s="197"/>
      <c r="AJ378" s="640"/>
      <c r="AK378" s="292"/>
      <c r="AL378" s="293"/>
      <c r="AM378" s="177"/>
      <c r="AN378" s="197"/>
      <c r="AO378" s="197"/>
      <c r="AP378" s="203"/>
      <c r="AR378" s="431"/>
      <c r="AS378" s="432"/>
      <c r="AT378" s="428"/>
      <c r="AU378" s="429"/>
      <c r="AV378" s="430"/>
      <c r="AW378" s="430"/>
      <c r="AX378" s="436"/>
    </row>
    <row r="379" spans="2:50" ht="11.1" customHeight="1" x14ac:dyDescent="0.2">
      <c r="B379" s="182"/>
      <c r="C379" s="206"/>
      <c r="D379" s="177"/>
      <c r="E379" s="178"/>
      <c r="F379" s="178"/>
      <c r="G379" s="178"/>
      <c r="H379" s="212"/>
      <c r="I379" s="215"/>
      <c r="J379" s="501"/>
      <c r="K379" s="182"/>
      <c r="L379" s="335"/>
      <c r="M379" s="177"/>
      <c r="N379" s="184"/>
      <c r="O379" s="184"/>
      <c r="P379" s="290"/>
      <c r="Q379" s="188"/>
      <c r="R379" s="177"/>
      <c r="S379" s="289"/>
      <c r="T379" s="289"/>
      <c r="U379" s="290"/>
      <c r="V379" s="182"/>
      <c r="W379" s="202"/>
      <c r="X379" s="177"/>
      <c r="Y379" s="178"/>
      <c r="Z379" s="178"/>
      <c r="AA379" s="178"/>
      <c r="AB379" s="214"/>
      <c r="AC379" s="215"/>
      <c r="AD379" s="216"/>
      <c r="AE379" s="328"/>
      <c r="AF379" s="293"/>
      <c r="AG379" s="177"/>
      <c r="AH379" s="197"/>
      <c r="AI379" s="197"/>
      <c r="AJ379" s="640"/>
      <c r="AK379" s="292"/>
      <c r="AL379" s="335"/>
      <c r="AM379" s="177"/>
      <c r="AN379" s="197"/>
      <c r="AO379" s="197"/>
      <c r="AP379" s="203"/>
      <c r="AR379" s="431"/>
      <c r="AS379" s="432"/>
      <c r="AT379" s="428"/>
      <c r="AU379" s="429"/>
      <c r="AV379" s="430"/>
      <c r="AW379" s="430"/>
      <c r="AX379" s="436"/>
    </row>
    <row r="380" spans="2:50" ht="11.1" customHeight="1" x14ac:dyDescent="0.2">
      <c r="B380" s="182"/>
      <c r="C380" s="206"/>
      <c r="D380" s="177"/>
      <c r="E380" s="178"/>
      <c r="F380" s="178"/>
      <c r="G380" s="178"/>
      <c r="H380" s="212"/>
      <c r="I380" s="215"/>
      <c r="J380" s="501"/>
      <c r="K380" s="182"/>
      <c r="L380" s="335"/>
      <c r="M380" s="177"/>
      <c r="N380" s="184"/>
      <c r="O380" s="184"/>
      <c r="P380" s="290"/>
      <c r="Q380" s="188"/>
      <c r="R380" s="177"/>
      <c r="S380" s="289"/>
      <c r="T380" s="289"/>
      <c r="U380" s="290"/>
      <c r="V380" s="182"/>
      <c r="W380" s="236"/>
      <c r="X380" s="177"/>
      <c r="Y380" s="192"/>
      <c r="Z380" s="192"/>
      <c r="AA380" s="178"/>
      <c r="AB380" s="214"/>
      <c r="AC380" s="215"/>
      <c r="AD380" s="216"/>
      <c r="AE380" s="328"/>
      <c r="AF380" s="335"/>
      <c r="AG380" s="177"/>
      <c r="AH380" s="289"/>
      <c r="AI380" s="289"/>
      <c r="AJ380" s="425"/>
      <c r="AK380" s="292"/>
      <c r="AL380" s="335"/>
      <c r="AM380" s="177"/>
      <c r="AN380" s="289"/>
      <c r="AO380" s="289"/>
      <c r="AP380" s="290"/>
      <c r="AR380" s="431"/>
      <c r="AS380" s="432"/>
      <c r="AT380" s="428"/>
      <c r="AU380" s="429"/>
      <c r="AV380" s="430"/>
      <c r="AW380" s="430"/>
      <c r="AX380" s="436"/>
    </row>
    <row r="381" spans="2:50" ht="11.1" customHeight="1" x14ac:dyDescent="0.2">
      <c r="B381" s="182"/>
      <c r="C381" s="206"/>
      <c r="D381" s="177"/>
      <c r="E381" s="178"/>
      <c r="F381" s="178"/>
      <c r="G381" s="178"/>
      <c r="H381" s="212"/>
      <c r="I381" s="215"/>
      <c r="J381" s="501"/>
      <c r="K381" s="182"/>
      <c r="L381" s="343"/>
      <c r="M381" s="177"/>
      <c r="N381" s="184"/>
      <c r="O381" s="184"/>
      <c r="P381" s="290"/>
      <c r="Q381" s="205"/>
      <c r="R381" s="177"/>
      <c r="S381" s="291"/>
      <c r="T381" s="291"/>
      <c r="U381" s="290"/>
      <c r="V381" s="182"/>
      <c r="W381" s="183"/>
      <c r="X381" s="177"/>
      <c r="Y381" s="192"/>
      <c r="Z381" s="192"/>
      <c r="AA381" s="178"/>
      <c r="AB381" s="214"/>
      <c r="AC381" s="215"/>
      <c r="AD381" s="216"/>
      <c r="AE381" s="189"/>
      <c r="AF381" s="335"/>
      <c r="AG381" s="177"/>
      <c r="AH381" s="289"/>
      <c r="AI381" s="289"/>
      <c r="AJ381" s="425"/>
      <c r="AK381" s="182"/>
      <c r="AL381" s="335"/>
      <c r="AM381" s="177"/>
      <c r="AN381" s="289"/>
      <c r="AO381" s="289"/>
      <c r="AP381" s="290"/>
      <c r="AR381" s="431"/>
      <c r="AS381" s="432"/>
      <c r="AT381" s="428"/>
      <c r="AU381" s="429"/>
      <c r="AV381" s="430"/>
      <c r="AW381" s="430"/>
      <c r="AX381" s="436"/>
    </row>
    <row r="382" spans="2:50" ht="11.1" customHeight="1" x14ac:dyDescent="0.2">
      <c r="B382" s="182"/>
      <c r="C382" s="206"/>
      <c r="D382" s="177"/>
      <c r="E382" s="178"/>
      <c r="F382" s="178"/>
      <c r="G382" s="178"/>
      <c r="H382" s="212"/>
      <c r="I382" s="215"/>
      <c r="J382" s="501"/>
      <c r="K382" s="182"/>
      <c r="L382" s="335"/>
      <c r="M382" s="177"/>
      <c r="N382" s="184"/>
      <c r="O382" s="184"/>
      <c r="P382" s="290"/>
      <c r="Q382" s="188"/>
      <c r="R382" s="177"/>
      <c r="S382" s="289"/>
      <c r="T382" s="289"/>
      <c r="U382" s="290"/>
      <c r="V382" s="182"/>
      <c r="W382" s="183"/>
      <c r="X382" s="177"/>
      <c r="Y382" s="192"/>
      <c r="Z382" s="192"/>
      <c r="AA382" s="178"/>
      <c r="AB382" s="214"/>
      <c r="AC382" s="215"/>
      <c r="AD382" s="216"/>
      <c r="AE382" s="189"/>
      <c r="AF382" s="335"/>
      <c r="AG382" s="177"/>
      <c r="AH382" s="289"/>
      <c r="AI382" s="289"/>
      <c r="AJ382" s="425"/>
      <c r="AK382" s="182"/>
      <c r="AL382" s="188"/>
      <c r="AM382" s="177"/>
      <c r="AN382" s="289"/>
      <c r="AO382" s="289"/>
      <c r="AP382" s="290"/>
      <c r="AR382" s="431"/>
      <c r="AS382" s="432"/>
      <c r="AT382" s="428"/>
      <c r="AU382" s="429"/>
      <c r="AV382" s="430"/>
      <c r="AW382" s="430"/>
      <c r="AX382" s="436"/>
    </row>
    <row r="383" spans="2:50" ht="11.1" customHeight="1" thickBot="1" x14ac:dyDescent="0.25">
      <c r="B383" s="25"/>
      <c r="C383" s="119"/>
      <c r="D383" s="113"/>
      <c r="E383" s="114"/>
      <c r="F383" s="120"/>
      <c r="G383" s="120"/>
      <c r="H383" s="118"/>
      <c r="I383" s="130"/>
      <c r="J383" s="505"/>
      <c r="K383" s="25"/>
      <c r="L383" s="337"/>
      <c r="M383" s="113"/>
      <c r="N383" s="116"/>
      <c r="O383" s="116"/>
      <c r="P383" s="35"/>
      <c r="Q383" s="121"/>
      <c r="R383" s="113"/>
      <c r="S383" s="116"/>
      <c r="T383" s="116"/>
      <c r="U383" s="35"/>
      <c r="V383" s="25"/>
      <c r="W383" s="119"/>
      <c r="X383" s="113"/>
      <c r="Y383" s="133"/>
      <c r="Z383" s="136"/>
      <c r="AA383" s="136"/>
      <c r="AB383" s="134"/>
      <c r="AC383" s="130"/>
      <c r="AD383" s="38"/>
      <c r="AE383" s="34"/>
      <c r="AF383" s="337"/>
      <c r="AG383" s="113"/>
      <c r="AH383" s="116"/>
      <c r="AI383" s="116"/>
      <c r="AJ383" s="426"/>
      <c r="AK383" s="25"/>
      <c r="AL383" s="121"/>
      <c r="AM383" s="113"/>
      <c r="AN383" s="116"/>
      <c r="AO383" s="116"/>
      <c r="AP383" s="35"/>
      <c r="AR383" s="431"/>
      <c r="AS383" s="432"/>
      <c r="AT383" s="428"/>
      <c r="AU383" s="429"/>
      <c r="AV383" s="430"/>
      <c r="AW383" s="430"/>
      <c r="AX383" s="436"/>
    </row>
    <row r="384" spans="2:50" ht="11.1" customHeight="1" thickTop="1" x14ac:dyDescent="0.2">
      <c r="B384" s="304" t="s">
        <v>31</v>
      </c>
      <c r="C384" s="750">
        <f t="shared" ref="C384:J384" si="124">MAX(C197:C383)</f>
        <v>2.8</v>
      </c>
      <c r="D384" s="752">
        <f t="shared" si="124"/>
        <v>562.96296296296293</v>
      </c>
      <c r="E384" s="751">
        <f t="shared" si="124"/>
        <v>1.2</v>
      </c>
      <c r="F384" s="751">
        <f t="shared" si="124"/>
        <v>1.5</v>
      </c>
      <c r="G384" s="748">
        <f t="shared" si="124"/>
        <v>0.17</v>
      </c>
      <c r="H384" s="748">
        <f t="shared" si="124"/>
        <v>0.1</v>
      </c>
      <c r="I384" s="751">
        <f t="shared" si="124"/>
        <v>3.9</v>
      </c>
      <c r="J384" s="749">
        <f t="shared" si="124"/>
        <v>7.3999999999999996E-2</v>
      </c>
      <c r="K384" s="329"/>
      <c r="L384" s="754">
        <f>MAX(L332:L383)</f>
        <v>2</v>
      </c>
      <c r="M384" s="755">
        <f t="shared" ref="M384:P384" si="125">MAX(M332:M383)</f>
        <v>411</v>
      </c>
      <c r="N384" s="770">
        <f t="shared" si="125"/>
        <v>9.1999999999999998E-2</v>
      </c>
      <c r="O384" s="770">
        <f t="shared" si="125"/>
        <v>0.17</v>
      </c>
      <c r="P384" s="771">
        <f t="shared" si="125"/>
        <v>0.14000000000000001</v>
      </c>
      <c r="Q384" s="322" t="e">
        <f>MAX(#REF!)</f>
        <v>#REF!</v>
      </c>
      <c r="R384" s="752" t="e">
        <f>MAX(#REF!)</f>
        <v>#REF!</v>
      </c>
      <c r="S384" s="294" t="e">
        <f>MAX(#REF!)</f>
        <v>#REF!</v>
      </c>
      <c r="T384" s="294" t="e">
        <f>MAX(#REF!)</f>
        <v>#REF!</v>
      </c>
      <c r="U384" s="295" t="e">
        <f>MAX(#REF!)</f>
        <v>#REF!</v>
      </c>
      <c r="V384" s="307"/>
      <c r="W384" s="305">
        <f t="shared" ref="W384:AD384" si="126">MAX(W197:W383)</f>
        <v>2.4</v>
      </c>
      <c r="X384" s="306">
        <f t="shared" si="126"/>
        <v>479</v>
      </c>
      <c r="Y384" s="306">
        <f t="shared" si="126"/>
        <v>11.05</v>
      </c>
      <c r="Z384" s="306">
        <f t="shared" si="126"/>
        <v>12.76</v>
      </c>
      <c r="AA384" s="294">
        <f t="shared" si="126"/>
        <v>1.34</v>
      </c>
      <c r="AB384" s="306">
        <f t="shared" si="126"/>
        <v>9.6296296296296297E-2</v>
      </c>
      <c r="AC384" s="306">
        <f t="shared" si="126"/>
        <v>3.2</v>
      </c>
      <c r="AD384" s="307">
        <f t="shared" si="126"/>
        <v>5.9259259259259262E-2</v>
      </c>
      <c r="AE384" s="295"/>
      <c r="AF384" s="338" t="e">
        <f>MAX(#REF!)</f>
        <v>#REF!</v>
      </c>
      <c r="AG384" s="294" t="e">
        <f>MAX(#REF!)</f>
        <v>#REF!</v>
      </c>
      <c r="AH384" s="294" t="e">
        <f>MAX(#REF!)</f>
        <v>#REF!</v>
      </c>
      <c r="AI384" s="294" t="e">
        <f>MAX(#REF!)</f>
        <v>#REF!</v>
      </c>
      <c r="AJ384" s="422" t="e">
        <f>MAX(#REF!)</f>
        <v>#REF!</v>
      </c>
      <c r="AK384" s="459"/>
      <c r="AL384" s="477" t="e">
        <f>MAX(#REF!)</f>
        <v>#REF!</v>
      </c>
      <c r="AM384" s="478" t="e">
        <f>MAX(#REF!)</f>
        <v>#REF!</v>
      </c>
      <c r="AN384" s="294" t="e">
        <f>MAX(#REF!)</f>
        <v>#REF!</v>
      </c>
      <c r="AO384" s="294" t="e">
        <f>MAX(#REF!)</f>
        <v>#REF!</v>
      </c>
      <c r="AP384" s="295" t="e">
        <f>MAX(#REF!)</f>
        <v>#REF!</v>
      </c>
      <c r="AR384" s="823" t="s">
        <v>220</v>
      </c>
      <c r="AS384" s="823" t="s">
        <v>215</v>
      </c>
      <c r="AT384" s="823" t="s">
        <v>217</v>
      </c>
      <c r="AU384" s="823" t="s">
        <v>218</v>
      </c>
      <c r="AV384" s="823" t="s">
        <v>219</v>
      </c>
      <c r="AW384" s="823" t="s">
        <v>222</v>
      </c>
      <c r="AX384" s="823" t="s">
        <v>223</v>
      </c>
    </row>
    <row r="385" spans="2:50" ht="11.1" customHeight="1" thickBot="1" x14ac:dyDescent="0.25">
      <c r="B385" s="769" t="s">
        <v>253</v>
      </c>
      <c r="C385" s="760">
        <v>0.18518518518518517</v>
      </c>
      <c r="D385" s="761">
        <v>109.5</v>
      </c>
      <c r="E385" s="763">
        <v>0.02</v>
      </c>
      <c r="F385" s="763">
        <v>0.02</v>
      </c>
      <c r="G385" s="763">
        <v>2.1000000000000001E-2</v>
      </c>
      <c r="H385" s="763">
        <v>0.01</v>
      </c>
      <c r="I385" s="763">
        <v>0.47</v>
      </c>
      <c r="J385" s="764">
        <v>5.0000000000000001E-3</v>
      </c>
      <c r="K385" s="769" t="s">
        <v>253</v>
      </c>
      <c r="L385" s="760">
        <v>2.9000000000000001E-2</v>
      </c>
      <c r="M385" s="761">
        <v>139</v>
      </c>
      <c r="N385" s="758">
        <v>2.35E-2</v>
      </c>
      <c r="O385" s="758">
        <v>2.5000000000000001E-2</v>
      </c>
      <c r="P385" s="759">
        <v>3.2000000000000001E-2</v>
      </c>
      <c r="Q385" s="760">
        <v>0.215</v>
      </c>
      <c r="R385" s="761">
        <v>136.5</v>
      </c>
      <c r="S385" s="758">
        <v>2.35E-2</v>
      </c>
      <c r="T385" s="758">
        <v>2.6499999999999999E-2</v>
      </c>
      <c r="U385" s="759">
        <v>3.3000000000000002E-2</v>
      </c>
      <c r="V385" s="762"/>
      <c r="W385" s="760">
        <v>0.17499999999999999</v>
      </c>
      <c r="X385" s="761">
        <v>104</v>
      </c>
      <c r="Y385" s="758">
        <v>1.95E-2</v>
      </c>
      <c r="Z385" s="758">
        <v>2.1499999999999998E-2</v>
      </c>
      <c r="AA385" s="758">
        <v>2.2499999999999999E-2</v>
      </c>
      <c r="AB385" s="763">
        <v>8.9999999999999993E-3</v>
      </c>
      <c r="AC385" s="763">
        <v>0.35499999999999998</v>
      </c>
      <c r="AD385" s="764">
        <v>4.1379310344827587E-3</v>
      </c>
      <c r="AE385" s="762"/>
      <c r="AF385" s="760">
        <v>0.26</v>
      </c>
      <c r="AG385" s="765">
        <v>129.5</v>
      </c>
      <c r="AH385" s="758">
        <v>2.35E-2</v>
      </c>
      <c r="AI385" s="758">
        <v>2.35E-2</v>
      </c>
      <c r="AJ385" s="759">
        <v>4.2000000000000003E-2</v>
      </c>
      <c r="AK385" s="766"/>
      <c r="AL385" s="767">
        <v>0.32500000000000001</v>
      </c>
      <c r="AM385" s="768">
        <v>137</v>
      </c>
      <c r="AN385" s="758">
        <v>2.35E-2</v>
      </c>
      <c r="AO385" s="758">
        <v>2.4E-2</v>
      </c>
      <c r="AP385" s="759">
        <v>4.4999999999999998E-2</v>
      </c>
      <c r="AR385" s="824"/>
      <c r="AS385" s="824"/>
      <c r="AT385" s="824"/>
      <c r="AU385" s="824"/>
      <c r="AV385" s="824"/>
      <c r="AW385" s="824"/>
      <c r="AX385" s="824"/>
    </row>
    <row r="386" spans="2:50" ht="11.1" customHeight="1" thickTop="1" x14ac:dyDescent="0.2">
      <c r="B386" s="311" t="s">
        <v>59</v>
      </c>
      <c r="C386" s="738">
        <f t="shared" ref="C386:J386" si="127">IF(C385&lt;&gt;"",SMALL(C197:C383,C388+1),MIN(C197:C383))</f>
        <v>0.18518518518518517</v>
      </c>
      <c r="D386" s="313">
        <f t="shared" si="127"/>
        <v>219</v>
      </c>
      <c r="E386" s="744">
        <f t="shared" si="127"/>
        <v>3.0820731192019112E-3</v>
      </c>
      <c r="F386" s="744">
        <f t="shared" si="127"/>
        <v>0.04</v>
      </c>
      <c r="G386" s="744">
        <f t="shared" si="127"/>
        <v>0.11</v>
      </c>
      <c r="H386" s="744">
        <f t="shared" si="127"/>
        <v>7.1849220512741428E-3</v>
      </c>
      <c r="I386" s="744">
        <f t="shared" si="127"/>
        <v>0.94</v>
      </c>
      <c r="J386" s="745">
        <f t="shared" si="127"/>
        <v>5.0000000000000001E-3</v>
      </c>
      <c r="K386" s="330"/>
      <c r="L386" s="339">
        <f>IF(L385&lt;&gt;"",SMALL(L332:L383,L388+1),MIN(L332:L383))</f>
        <v>5.8000000000000003E-2</v>
      </c>
      <c r="M386" s="756">
        <f t="shared" ref="M386:P386" si="128">IF(M385&lt;&gt;"",SMALL(M332:M383,M388+1),MIN(M332:M383))</f>
        <v>232</v>
      </c>
      <c r="N386" s="770">
        <f t="shared" si="128"/>
        <v>7.9000000000000001E-2</v>
      </c>
      <c r="O386" s="770">
        <f t="shared" si="128"/>
        <v>0.05</v>
      </c>
      <c r="P386" s="771">
        <f t="shared" si="128"/>
        <v>6.4000000000000001E-2</v>
      </c>
      <c r="Q386" s="323" t="e">
        <f>IF(Q385&lt;&gt;"",SMALL(#REF!,Q388+1),MIN(#REF!))</f>
        <v>#REF!</v>
      </c>
      <c r="R386" s="297" t="e">
        <f>IF(R385&lt;&gt;"",SMALL(#REF!,R388+1),MIN(#REF!))</f>
        <v>#REF!</v>
      </c>
      <c r="S386" s="297" t="e">
        <f>IF(S385&lt;&gt;"",SMALL(#REF!,S388+1),MIN(#REF!))</f>
        <v>#REF!</v>
      </c>
      <c r="T386" s="297" t="e">
        <f>IF(T385&lt;&gt;"",SMALL(#REF!,T388+1),MIN(#REF!))</f>
        <v>#REF!</v>
      </c>
      <c r="U386" s="298" t="e">
        <f>IF(U385&lt;&gt;"",SMALL(#REF!,U388+1),MIN(#REF!))</f>
        <v>#REF!</v>
      </c>
      <c r="V386" s="315"/>
      <c r="W386" s="312">
        <f t="shared" ref="W386:AD386" si="129">IF(W385&lt;&gt;"",SMALL(W197:W383,W388+1),MIN(W197:W383))</f>
        <v>0.35</v>
      </c>
      <c r="X386" s="313">
        <f t="shared" si="129"/>
        <v>208</v>
      </c>
      <c r="Y386" s="313">
        <f t="shared" si="129"/>
        <v>4.694241201606538E-6</v>
      </c>
      <c r="Z386" s="313">
        <f t="shared" si="129"/>
        <v>1.2623557697389947E-2</v>
      </c>
      <c r="AA386" s="313">
        <f t="shared" si="129"/>
        <v>4.3225617408171108E-93</v>
      </c>
      <c r="AB386" s="314">
        <f t="shared" si="129"/>
        <v>4.5061718127830507E-3</v>
      </c>
      <c r="AC386" s="314">
        <f t="shared" si="129"/>
        <v>0.71</v>
      </c>
      <c r="AD386" s="315">
        <f t="shared" si="129"/>
        <v>8.2758620689655175E-3</v>
      </c>
      <c r="AE386" s="298"/>
      <c r="AF386" s="339" t="e">
        <f>IF(AF385&lt;&gt;"",SMALL(#REF!,AF388+1),MIN(#REF!))</f>
        <v>#REF!</v>
      </c>
      <c r="AG386" s="297" t="e">
        <f>IF(AG385&lt;&gt;"",SMALL(#REF!,AG388+1),MIN(#REF!))</f>
        <v>#REF!</v>
      </c>
      <c r="AH386" s="297" t="e">
        <f>IF(AH385&lt;&gt;"",SMALL(#REF!,AH388+1),MIN(#REF!))</f>
        <v>#REF!</v>
      </c>
      <c r="AI386" s="297" t="e">
        <f>IF(AI385&lt;&gt;"",SMALL(#REF!,AI388+1),MIN(#REF!))</f>
        <v>#REF!</v>
      </c>
      <c r="AJ386" s="423" t="e">
        <f>IF(AJ385&lt;&gt;"",SMALL(#REF!,AJ388+1),MIN(#REF!))</f>
        <v>#REF!</v>
      </c>
      <c r="AK386" s="460"/>
      <c r="AL386" s="479" t="e">
        <f>IF(AL385&lt;&gt;"",SMALL(#REF!,AL388+1),MIN(#REF!))</f>
        <v>#REF!</v>
      </c>
      <c r="AM386" s="480" t="e">
        <f>IF(AM385&lt;&gt;"",SMALL(#REF!,AM388+1),MIN(#REF!))</f>
        <v>#REF!</v>
      </c>
      <c r="AN386" s="297" t="e">
        <f>IF(AN385&lt;&gt;"",SMALL(#REF!,AN388+1),MIN(#REF!))</f>
        <v>#REF!</v>
      </c>
      <c r="AO386" s="297" t="e">
        <f>IF(AO385&lt;&gt;"",SMALL(#REF!,AO388+1),MIN(#REF!))</f>
        <v>#REF!</v>
      </c>
      <c r="AP386" s="298" t="e">
        <f>IF(AP385&lt;&gt;"",SMALL(#REF!,AP388+1),MIN(#REF!))</f>
        <v>#REF!</v>
      </c>
      <c r="AR386" s="825"/>
      <c r="AS386" s="825"/>
      <c r="AT386" s="825"/>
      <c r="AU386" s="825"/>
      <c r="AV386" s="825"/>
      <c r="AW386" s="825"/>
      <c r="AX386" s="825"/>
    </row>
    <row r="387" spans="2:50" ht="11.1" customHeight="1" x14ac:dyDescent="0.2">
      <c r="B387" s="311" t="s">
        <v>32</v>
      </c>
      <c r="C387" s="743">
        <f t="shared" ref="C387:J387" si="130">IF(C385&lt;&gt;"",(SUM(C197:C383)-C385*C388)/(C389-C388),AVERAGE(C197:C383))</f>
        <v>0.86220043572984773</v>
      </c>
      <c r="D387" s="299">
        <f t="shared" si="130"/>
        <v>346.49753949753949</v>
      </c>
      <c r="E387" s="746">
        <f t="shared" si="130"/>
        <v>1.8193324530495568E-2</v>
      </c>
      <c r="F387" s="746">
        <f t="shared" si="130"/>
        <v>0.10720745320462327</v>
      </c>
      <c r="G387" s="746">
        <f t="shared" si="130"/>
        <v>1.7000000003190865E-2</v>
      </c>
      <c r="H387" s="746">
        <f t="shared" si="130"/>
        <v>2.784384723156122E-2</v>
      </c>
      <c r="I387" s="746">
        <f t="shared" si="130"/>
        <v>1.9011594202898543</v>
      </c>
      <c r="J387" s="747">
        <f t="shared" si="130"/>
        <v>1.5768649008900779E-2</v>
      </c>
      <c r="K387" s="331"/>
      <c r="L387" s="340">
        <f>IF(L385&lt;&gt;"",(SUM(L332:L383)-L385*L388)/(L389-L388),AVERAGE(L332:L383))</f>
        <v>1.0157647058823527</v>
      </c>
      <c r="M387" s="757">
        <f t="shared" ref="M387:P387" si="131">IF(M385&lt;&gt;"",(SUM(M332:M383)-M385*M388)/(M389-M388),AVERAGE(M332:M383))</f>
        <v>329.9375</v>
      </c>
      <c r="N387" s="340">
        <f t="shared" si="131"/>
        <v>-0.19978017385460625</v>
      </c>
      <c r="O387" s="340">
        <f t="shared" si="131"/>
        <v>9.4728392787278057E-2</v>
      </c>
      <c r="P387" s="772">
        <f t="shared" si="131"/>
        <v>-0.11924282517852929</v>
      </c>
      <c r="Q387" s="324" t="e">
        <f>IF(Q385&lt;&gt;"",(SUM(#REF!)-Q385*Q388)/(Q389-Q388),AVERAGE(#REF!))</f>
        <v>#REF!</v>
      </c>
      <c r="R387" s="299" t="e">
        <f>IF(R385&lt;&gt;"",(SUM(#REF!)-R385*R388)/(R389-R388),AVERAGE(#REF!))</f>
        <v>#REF!</v>
      </c>
      <c r="S387" s="299" t="e">
        <f>IF(S385&lt;&gt;"",(SUM(#REF!)-S385*S388)/(S389-S388),AVERAGE(#REF!))</f>
        <v>#REF!</v>
      </c>
      <c r="T387" s="299" t="e">
        <f>IF(T385&lt;&gt;"",(SUM(#REF!)-T385*T388)/(T389-T388),AVERAGE(#REF!))</f>
        <v>#REF!</v>
      </c>
      <c r="U387" s="300" t="e">
        <f>IF(U385&lt;&gt;"",(SUM(#REF!)-U385*U388)/(U389-U388),AVERAGE(#REF!))</f>
        <v>#REF!</v>
      </c>
      <c r="V387" s="318"/>
      <c r="W387" s="316">
        <f t="shared" ref="W387:AD387" si="132">IF(W385&lt;&gt;"",(SUM(W197:W383)-W385*W388)/(W389-W388),AVERAGE(W197:W383))</f>
        <v>0.91409116809116686</v>
      </c>
      <c r="X387" s="299">
        <f t="shared" si="132"/>
        <v>354.11577503429362</v>
      </c>
      <c r="Y387" s="299">
        <f t="shared" si="132"/>
        <v>0.23061820148592341</v>
      </c>
      <c r="Z387" s="299">
        <f t="shared" si="132"/>
        <v>0.37136166237732909</v>
      </c>
      <c r="AA387" s="299">
        <f t="shared" si="132"/>
        <v>7.0750000355479126E-2</v>
      </c>
      <c r="AB387" s="317">
        <f t="shared" si="132"/>
        <v>3.1653207158242568E-2</v>
      </c>
      <c r="AC387" s="317">
        <f t="shared" si="132"/>
        <v>1.8357142857142856</v>
      </c>
      <c r="AD387" s="318">
        <f t="shared" si="132"/>
        <v>2.5774483014902816E-2</v>
      </c>
      <c r="AE387" s="300"/>
      <c r="AF387" s="340" t="e">
        <f>IF(AF385&lt;&gt;"",(SUM(#REF!)-AF385*AF388)/(AF389-AF388),AVERAGE(#REF!))</f>
        <v>#REF!</v>
      </c>
      <c r="AG387" s="299" t="e">
        <f>IF(AG385&lt;&gt;"",(SUM(#REF!)-AG385*AG388)/(AG389-AG388),AVERAGE(#REF!))</f>
        <v>#REF!</v>
      </c>
      <c r="AH387" s="299" t="e">
        <f>IF(AH385&lt;&gt;"",(SUM(#REF!)-AH385*AH388)/(AH389-AH388),AVERAGE(#REF!))</f>
        <v>#REF!</v>
      </c>
      <c r="AI387" s="299" t="e">
        <f>IF(AI385&lt;&gt;"",(SUM(#REF!)-AI385*AI388)/(AI389-AI388),AVERAGE(#REF!))</f>
        <v>#REF!</v>
      </c>
      <c r="AJ387" s="424" t="e">
        <f>IF(AJ385&lt;&gt;"",(SUM(#REF!)-AJ385*AJ388)/(AJ389-AJ388),AVERAGE(#REF!))</f>
        <v>#REF!</v>
      </c>
      <c r="AK387" s="461"/>
      <c r="AL387" s="481" t="e">
        <f>IF(AL385&lt;&gt;"",(SUM(#REF!)-AL385*AL388)/(AL389-AL388),AVERAGE(#REF!))</f>
        <v>#REF!</v>
      </c>
      <c r="AM387" s="482" t="e">
        <f>IF(AM385&lt;&gt;"",(SUM(#REF!)-AM385*AM388)/(AM389-AM388),AVERAGE(#REF!))</f>
        <v>#REF!</v>
      </c>
      <c r="AN387" s="299" t="e">
        <f>IF(AN385&lt;&gt;"",(SUM(#REF!)-AN385*AN388)/(AN389-AN388),AVERAGE(#REF!))</f>
        <v>#REF!</v>
      </c>
      <c r="AO387" s="299" t="e">
        <f>IF(AO385&lt;&gt;"",(SUM(#REF!)-AO385*AO388)/(AO389-AO388),AVERAGE(#REF!))</f>
        <v>#REF!</v>
      </c>
      <c r="AP387" s="300" t="e">
        <f>IF(AP385&lt;&gt;"",(SUM(#REF!)-AP385*AP388)/(AP389-AP388),AVERAGE(#REF!))</f>
        <v>#REF!</v>
      </c>
      <c r="AR387" s="69"/>
      <c r="AS387" s="69"/>
      <c r="AT387" s="69"/>
    </row>
    <row r="388" spans="2:50" ht="11.1" customHeight="1" x14ac:dyDescent="0.2">
      <c r="B388" s="311" t="s">
        <v>259</v>
      </c>
      <c r="C388" s="301">
        <f>COUNTIF(C266:C383,"&lt;=0.1852")</f>
        <v>41</v>
      </c>
      <c r="D388" s="302">
        <f>COUNTIF(D266:D383,"&lt;=111")</f>
        <v>0</v>
      </c>
      <c r="E388" s="302">
        <f>COUNTIF(E266:E383,"&lt;=0.0201")</f>
        <v>79</v>
      </c>
      <c r="F388" s="302">
        <f>COUNTIF(F266:F383,"&lt;=0.0201")</f>
        <v>20</v>
      </c>
      <c r="G388" s="302">
        <f>COUNTIF(G266:G383,"&lt;=0.0211")</f>
        <v>22</v>
      </c>
      <c r="H388" s="302">
        <f>COUNTIF(H266:H383,"&lt;=0.0101")</f>
        <v>27</v>
      </c>
      <c r="I388" s="302">
        <f>COUNTIF(I266:I383,"&lt;=0.471")</f>
        <v>0</v>
      </c>
      <c r="J388" s="303">
        <f>COUNTIF(J266:J383,"&lt;=0.0051")</f>
        <v>27</v>
      </c>
      <c r="K388" s="332"/>
      <c r="L388" s="319">
        <f>COUNTIF(L332:L383,"&lt;=0.0291")</f>
        <v>15</v>
      </c>
      <c r="M388" s="757">
        <f>COUNTIF(M332:M383,"&lt;=140")</f>
        <v>0</v>
      </c>
      <c r="N388" s="319">
        <f>COUNTIF(N332:N383,"&lt;=0.0241")</f>
        <v>30</v>
      </c>
      <c r="O388" s="319">
        <f>COUNTIF(O332:O383,"&lt;=0.0251")</f>
        <v>11</v>
      </c>
      <c r="P388" s="332">
        <f>COUNTIF(P332:P383,"&lt;=0.0321")</f>
        <v>28</v>
      </c>
      <c r="Q388" s="301" t="e">
        <f>COUNTIF(#REF!,Q385)</f>
        <v>#REF!</v>
      </c>
      <c r="R388" s="302" t="e">
        <f>COUNTIF(#REF!,R385)</f>
        <v>#REF!</v>
      </c>
      <c r="S388" s="302" t="e">
        <f>COUNTIF(#REF!,S385)</f>
        <v>#REF!</v>
      </c>
      <c r="T388" s="302" t="e">
        <f>COUNTIF(#REF!,T385)</f>
        <v>#REF!</v>
      </c>
      <c r="U388" s="303" t="e">
        <f>COUNTIF(#REF!,U385)</f>
        <v>#REF!</v>
      </c>
      <c r="V388" s="303"/>
      <c r="W388" s="301">
        <f t="shared" ref="W388:AD388" si="133">COUNTIF(W197:W383,W385)</f>
        <v>70</v>
      </c>
      <c r="X388" s="302">
        <f t="shared" si="133"/>
        <v>0</v>
      </c>
      <c r="Y388" s="302">
        <f t="shared" si="133"/>
        <v>0</v>
      </c>
      <c r="Z388" s="302">
        <f t="shared" si="133"/>
        <v>0</v>
      </c>
      <c r="AA388" s="302">
        <f t="shared" si="133"/>
        <v>0</v>
      </c>
      <c r="AB388" s="302">
        <f t="shared" si="133"/>
        <v>1</v>
      </c>
      <c r="AC388" s="302">
        <f t="shared" si="133"/>
        <v>0</v>
      </c>
      <c r="AD388" s="303">
        <f t="shared" si="133"/>
        <v>10</v>
      </c>
      <c r="AE388" s="303"/>
      <c r="AF388" s="319" t="e">
        <f>COUNTIF(#REF!,AF385)</f>
        <v>#REF!</v>
      </c>
      <c r="AG388" s="302" t="e">
        <f>COUNTIF(#REF!,AG385)</f>
        <v>#REF!</v>
      </c>
      <c r="AH388" s="302" t="e">
        <f>COUNTIF(#REF!,AH385)</f>
        <v>#REF!</v>
      </c>
      <c r="AI388" s="302" t="e">
        <f>COUNTIF(#REF!,AI385)</f>
        <v>#REF!</v>
      </c>
      <c r="AJ388" s="301" t="e">
        <f>COUNTIF(#REF!,AJ385)</f>
        <v>#REF!</v>
      </c>
      <c r="AK388" s="462"/>
      <c r="AL388" s="483" t="e">
        <f>COUNTIF(#REF!,AL385)</f>
        <v>#REF!</v>
      </c>
      <c r="AM388" s="484" t="e">
        <f>COUNTIF(#REF!,AM385)</f>
        <v>#REF!</v>
      </c>
      <c r="AN388" s="302" t="e">
        <f>COUNTIF(#REF!,AN385)</f>
        <v>#REF!</v>
      </c>
      <c r="AO388" s="302" t="e">
        <f>COUNTIF(#REF!,AO385)</f>
        <v>#REF!</v>
      </c>
      <c r="AP388" s="303" t="e">
        <f>COUNTIF(#REF!,AP385)</f>
        <v>#REF!</v>
      </c>
      <c r="AR388" s="69"/>
      <c r="AS388" s="69"/>
      <c r="AT388" s="69"/>
    </row>
    <row r="389" spans="2:50" ht="11.1" customHeight="1" thickBot="1" x14ac:dyDescent="0.25">
      <c r="B389" s="160" t="s">
        <v>60</v>
      </c>
      <c r="C389" s="122">
        <f t="shared" ref="C389:J389" si="134">COUNTA(C197:C383)</f>
        <v>143</v>
      </c>
      <c r="D389" s="123">
        <f t="shared" si="134"/>
        <v>143</v>
      </c>
      <c r="E389" s="123">
        <f t="shared" si="134"/>
        <v>143</v>
      </c>
      <c r="F389" s="123">
        <f t="shared" si="134"/>
        <v>142</v>
      </c>
      <c r="G389" s="123">
        <f t="shared" si="134"/>
        <v>26</v>
      </c>
      <c r="H389" s="123">
        <f t="shared" si="134"/>
        <v>69</v>
      </c>
      <c r="I389" s="123">
        <f t="shared" si="134"/>
        <v>69</v>
      </c>
      <c r="J389" s="158">
        <f t="shared" si="134"/>
        <v>69</v>
      </c>
      <c r="K389" s="333"/>
      <c r="L389" s="320">
        <f>COUNTA(L332:L383)</f>
        <v>32</v>
      </c>
      <c r="M389" s="320">
        <f t="shared" ref="M389:P389" si="135">COUNTA(M332:M383)</f>
        <v>32</v>
      </c>
      <c r="N389" s="320">
        <f t="shared" si="135"/>
        <v>32</v>
      </c>
      <c r="O389" s="320">
        <f t="shared" si="135"/>
        <v>32</v>
      </c>
      <c r="P389" s="333">
        <f t="shared" si="135"/>
        <v>32</v>
      </c>
      <c r="Q389" s="122">
        <f>COUNTA(#REF!)</f>
        <v>1</v>
      </c>
      <c r="R389" s="123">
        <f>COUNTA(#REF!)</f>
        <v>1</v>
      </c>
      <c r="S389" s="123">
        <f>COUNTA(#REF!)</f>
        <v>1</v>
      </c>
      <c r="T389" s="123">
        <f>COUNTA(#REF!)</f>
        <v>1</v>
      </c>
      <c r="U389" s="158">
        <f>COUNTA(#REF!)</f>
        <v>1</v>
      </c>
      <c r="V389" s="158"/>
      <c r="W389" s="122">
        <f t="shared" ref="W389:AD389" si="136">COUNTA(W197:W383)</f>
        <v>135</v>
      </c>
      <c r="X389" s="123">
        <f t="shared" si="136"/>
        <v>135</v>
      </c>
      <c r="Y389" s="123">
        <f t="shared" si="136"/>
        <v>135</v>
      </c>
      <c r="Z389" s="123">
        <f t="shared" si="136"/>
        <v>134</v>
      </c>
      <c r="AA389" s="123">
        <f t="shared" si="136"/>
        <v>28</v>
      </c>
      <c r="AB389" s="123">
        <f t="shared" si="136"/>
        <v>35</v>
      </c>
      <c r="AC389" s="123">
        <f t="shared" si="136"/>
        <v>35</v>
      </c>
      <c r="AD389" s="158">
        <f t="shared" si="136"/>
        <v>35</v>
      </c>
      <c r="AE389" s="158"/>
      <c r="AF389" s="320">
        <f>COUNTA(#REF!)</f>
        <v>1</v>
      </c>
      <c r="AG389" s="123">
        <f>COUNTA(#REF!)</f>
        <v>1</v>
      </c>
      <c r="AH389" s="123">
        <f>COUNTA(#REF!)</f>
        <v>1</v>
      </c>
      <c r="AI389" s="123">
        <f>COUNTA(#REF!)</f>
        <v>1</v>
      </c>
      <c r="AJ389" s="122">
        <f>COUNTA(#REF!)</f>
        <v>1</v>
      </c>
      <c r="AK389" s="68"/>
      <c r="AL389" s="122">
        <f>COUNTA(#REF!)</f>
        <v>1</v>
      </c>
      <c r="AM389" s="123">
        <f>COUNTA(#REF!)</f>
        <v>1</v>
      </c>
      <c r="AN389" s="123">
        <f>COUNTA(#REF!)</f>
        <v>1</v>
      </c>
      <c r="AO389" s="123">
        <f>COUNTA(#REF!)</f>
        <v>1</v>
      </c>
      <c r="AP389" s="158">
        <f>COUNTA(#REF!)</f>
        <v>1</v>
      </c>
      <c r="AR389" s="69"/>
      <c r="AS389" s="69"/>
      <c r="AT389" s="69"/>
    </row>
    <row r="390" spans="2:50" ht="11.1" customHeight="1" thickTop="1" x14ac:dyDescent="0.2">
      <c r="B390" s="159" t="s">
        <v>212</v>
      </c>
      <c r="C390" s="108" t="s">
        <v>5</v>
      </c>
      <c r="D390" s="109" t="s">
        <v>6</v>
      </c>
      <c r="E390" s="110" t="s">
        <v>83</v>
      </c>
      <c r="F390" s="109" t="s">
        <v>7</v>
      </c>
      <c r="G390" s="109" t="s">
        <v>34</v>
      </c>
      <c r="H390" s="545" t="s">
        <v>28</v>
      </c>
      <c r="I390" s="546" t="s">
        <v>14</v>
      </c>
      <c r="J390" s="547" t="s">
        <v>29</v>
      </c>
      <c r="K390" s="551" t="s">
        <v>4</v>
      </c>
      <c r="L390" s="344" t="s">
        <v>5</v>
      </c>
      <c r="M390" s="131" t="s">
        <v>6</v>
      </c>
      <c r="N390" s="109" t="s">
        <v>83</v>
      </c>
      <c r="O390" s="342" t="s">
        <v>7</v>
      </c>
      <c r="P390" s="334" t="s">
        <v>34</v>
      </c>
      <c r="Q390" s="137" t="s">
        <v>5</v>
      </c>
      <c r="R390" s="131" t="s">
        <v>6</v>
      </c>
      <c r="S390" s="109" t="s">
        <v>83</v>
      </c>
      <c r="T390" s="109" t="s">
        <v>7</v>
      </c>
      <c r="U390" s="74" t="s">
        <v>34</v>
      </c>
      <c r="V390" s="76" t="s">
        <v>4</v>
      </c>
      <c r="W390" s="108" t="s">
        <v>5</v>
      </c>
      <c r="X390" s="131" t="s">
        <v>6</v>
      </c>
      <c r="Y390" s="110" t="s">
        <v>83</v>
      </c>
      <c r="Z390" s="109" t="s">
        <v>7</v>
      </c>
      <c r="AA390" s="109" t="s">
        <v>34</v>
      </c>
      <c r="AB390" s="545" t="s">
        <v>28</v>
      </c>
      <c r="AC390" s="549" t="s">
        <v>14</v>
      </c>
      <c r="AD390" s="550" t="s">
        <v>29</v>
      </c>
      <c r="AE390" s="326" t="s">
        <v>4</v>
      </c>
      <c r="AF390" s="341" t="s">
        <v>5</v>
      </c>
      <c r="AG390" s="131" t="s">
        <v>6</v>
      </c>
      <c r="AH390" s="109" t="s">
        <v>83</v>
      </c>
      <c r="AI390" s="342" t="s">
        <v>7</v>
      </c>
      <c r="AJ390" s="421" t="s">
        <v>34</v>
      </c>
      <c r="AK390" s="552" t="s">
        <v>4</v>
      </c>
      <c r="AL390" s="553" t="s">
        <v>5</v>
      </c>
      <c r="AM390" s="554" t="s">
        <v>6</v>
      </c>
      <c r="AN390" s="342" t="s">
        <v>83</v>
      </c>
      <c r="AO390" s="342" t="s">
        <v>7</v>
      </c>
      <c r="AP390" s="74" t="s">
        <v>34</v>
      </c>
      <c r="AT390" s="30"/>
    </row>
    <row r="391" spans="2:50" ht="11.1" customHeight="1" x14ac:dyDescent="0.2">
      <c r="B391" s="9" t="s">
        <v>2</v>
      </c>
      <c r="C391" s="347" t="s">
        <v>108</v>
      </c>
      <c r="D391" s="348"/>
      <c r="E391" s="348"/>
      <c r="F391" s="348"/>
      <c r="G391" s="348"/>
      <c r="H391" s="348"/>
      <c r="I391" s="348"/>
      <c r="J391" s="353"/>
      <c r="K391" s="9" t="s">
        <v>2</v>
      </c>
      <c r="L391" s="321" t="s">
        <v>58</v>
      </c>
      <c r="M391" s="23"/>
      <c r="N391" s="23"/>
      <c r="O391" s="23"/>
      <c r="P391" s="390"/>
      <c r="Q391" s="67" t="s">
        <v>56</v>
      </c>
      <c r="R391" s="23"/>
      <c r="S391" s="23"/>
      <c r="T391" s="23"/>
      <c r="U391" s="31"/>
      <c r="V391" s="350" t="s">
        <v>2</v>
      </c>
      <c r="W391" s="355" t="s">
        <v>154</v>
      </c>
      <c r="X391" s="348"/>
      <c r="Y391" s="348"/>
      <c r="Z391" s="348"/>
      <c r="AA391" s="348"/>
      <c r="AB391" s="348"/>
      <c r="AC391" s="348"/>
      <c r="AD391" s="349"/>
      <c r="AE391" s="327" t="s">
        <v>2</v>
      </c>
      <c r="AF391" s="67" t="s">
        <v>55</v>
      </c>
      <c r="AG391" s="23"/>
      <c r="AH391" s="23"/>
      <c r="AI391" s="23"/>
      <c r="AJ391" s="23"/>
      <c r="AK391" s="9" t="s">
        <v>2</v>
      </c>
      <c r="AL391" s="67" t="s">
        <v>57</v>
      </c>
      <c r="AM391" s="23"/>
      <c r="AN391" s="23"/>
      <c r="AO391" s="23"/>
      <c r="AP391" s="31"/>
      <c r="AT391" s="30"/>
    </row>
    <row r="392" spans="2:50" ht="11.1" customHeight="1" x14ac:dyDescent="0.2">
      <c r="B392" s="27"/>
      <c r="C392" s="2" t="s">
        <v>1</v>
      </c>
      <c r="H392" s="4"/>
      <c r="I392" s="5"/>
      <c r="J392" s="4"/>
      <c r="L392" s="3" t="s">
        <v>1</v>
      </c>
      <c r="O392" s="3"/>
      <c r="P392" s="3"/>
      <c r="Q392" s="3"/>
      <c r="R392" s="3"/>
      <c r="V392" s="28"/>
      <c r="W392" s="2" t="s">
        <v>25</v>
      </c>
      <c r="X392" s="7"/>
      <c r="AB392" s="4"/>
      <c r="AC392" s="5"/>
      <c r="AD392" s="4"/>
      <c r="AF392" s="29" t="s">
        <v>25</v>
      </c>
      <c r="AG392" s="3"/>
      <c r="AH392" s="3"/>
      <c r="AI392" s="3"/>
      <c r="AJ392" s="3"/>
      <c r="AK392" s="3"/>
      <c r="AL392" s="3" t="s">
        <v>25</v>
      </c>
      <c r="AM392" s="3"/>
      <c r="AN392" s="3"/>
      <c r="AO392" s="3"/>
      <c r="AP392" s="3"/>
    </row>
    <row r="393" spans="2:50" ht="11.1" customHeight="1" x14ac:dyDescent="0.2">
      <c r="B393" s="27"/>
      <c r="C393" s="2"/>
      <c r="H393" s="4"/>
      <c r="I393" s="5"/>
      <c r="J393" s="4"/>
      <c r="K393" s="4"/>
      <c r="L393" s="4"/>
      <c r="M393" s="4"/>
      <c r="N393" s="2"/>
      <c r="O393" s="3"/>
      <c r="P393" s="3"/>
      <c r="Q393" s="3"/>
      <c r="R393" s="2"/>
      <c r="V393" s="28"/>
      <c r="W393" s="2"/>
      <c r="X393" s="7"/>
      <c r="AB393" s="4"/>
      <c r="AC393" s="3"/>
      <c r="AD393" s="3"/>
      <c r="AE393" s="3"/>
      <c r="AF393" s="3"/>
      <c r="AG393" s="3"/>
      <c r="AH393" s="3"/>
      <c r="AI393" s="3"/>
      <c r="AJ393" s="3"/>
      <c r="AK393" s="3"/>
      <c r="AL393" s="3"/>
      <c r="AM393" s="3"/>
      <c r="AN393" s="3"/>
      <c r="AO393" s="3"/>
      <c r="AP393" s="3"/>
    </row>
    <row r="394" spans="2:50" ht="11.1" customHeight="1" x14ac:dyDescent="0.2">
      <c r="B394" s="27"/>
      <c r="C394" s="2"/>
      <c r="H394" s="4"/>
      <c r="I394" s="5"/>
      <c r="J394" s="4"/>
      <c r="K394" s="2"/>
      <c r="O394" s="2"/>
      <c r="P394" s="3"/>
      <c r="Q394" s="3"/>
      <c r="R394" s="3"/>
      <c r="S394" s="28"/>
      <c r="T394" s="2"/>
      <c r="U394" s="7"/>
      <c r="V394" s="7"/>
      <c r="W394" s="7"/>
      <c r="X394" s="7"/>
      <c r="Y394" s="4"/>
      <c r="Z394" s="30" t="s">
        <v>40</v>
      </c>
      <c r="AA394" s="30"/>
      <c r="AB394" s="30"/>
      <c r="AC394" s="3"/>
      <c r="AD394" s="30"/>
      <c r="AE394" s="3"/>
      <c r="AF394" s="3"/>
      <c r="AG394" s="3"/>
      <c r="AH394" s="3"/>
      <c r="AI394" s="3"/>
      <c r="AJ394" s="3"/>
      <c r="AK394" s="3"/>
      <c r="AL394" s="3"/>
      <c r="AM394" s="3"/>
      <c r="AN394" s="3"/>
      <c r="AO394" s="3"/>
      <c r="AP394" s="3"/>
    </row>
    <row r="395" spans="2:50" ht="11.1" customHeight="1" x14ac:dyDescent="0.2">
      <c r="B395" s="27"/>
      <c r="C395" s="56" t="s">
        <v>42</v>
      </c>
      <c r="N395" s="623"/>
      <c r="O395" s="3" t="s">
        <v>224</v>
      </c>
      <c r="P395" s="3"/>
      <c r="Q395" s="3"/>
      <c r="R395" s="3"/>
      <c r="W395" s="3"/>
      <c r="Y395" s="4"/>
      <c r="Z395" s="240"/>
      <c r="AA395" s="243"/>
      <c r="AB395" s="242" t="s">
        <v>1</v>
      </c>
      <c r="AC395" s="241"/>
      <c r="AD395" s="243"/>
      <c r="AE395" s="3"/>
      <c r="AF395" s="3"/>
      <c r="AG395" s="3"/>
      <c r="AH395" s="3"/>
      <c r="AI395" s="3"/>
      <c r="AJ395" s="3"/>
      <c r="AK395" s="3"/>
      <c r="AL395" s="3"/>
      <c r="AM395" s="3"/>
      <c r="AN395" s="3"/>
      <c r="AO395" s="3"/>
      <c r="AP395" s="3"/>
    </row>
    <row r="396" spans="2:50" ht="11.1" customHeight="1" x14ac:dyDescent="0.2">
      <c r="B396" s="9" t="s">
        <v>2</v>
      </c>
      <c r="C396" s="80" t="s">
        <v>155</v>
      </c>
      <c r="D396" s="78"/>
      <c r="E396" s="78"/>
      <c r="F396" s="78"/>
      <c r="G396" s="79"/>
      <c r="H396" s="80" t="s">
        <v>156</v>
      </c>
      <c r="I396" s="78"/>
      <c r="J396" s="79"/>
      <c r="K396" s="84" t="s">
        <v>157</v>
      </c>
      <c r="L396" s="78"/>
      <c r="M396" s="79"/>
      <c r="N396" s="352" t="s">
        <v>158</v>
      </c>
      <c r="O396" s="78"/>
      <c r="P396" s="78"/>
      <c r="Q396" s="78"/>
      <c r="R396" s="78"/>
      <c r="S396" s="84" t="s">
        <v>159</v>
      </c>
      <c r="T396" s="78"/>
      <c r="U396" s="79"/>
      <c r="V396" s="84" t="s">
        <v>160</v>
      </c>
      <c r="W396" s="78"/>
      <c r="X396" s="79"/>
      <c r="Y396" s="4"/>
      <c r="Z396" s="104"/>
      <c r="AA396" s="79"/>
      <c r="AB396" s="84" t="s">
        <v>27</v>
      </c>
      <c r="AC396" s="78"/>
      <c r="AD396" s="79"/>
      <c r="AE396" s="3"/>
      <c r="AF396" s="3"/>
      <c r="AG396" s="3"/>
      <c r="AH396" s="3"/>
      <c r="AI396" s="3"/>
      <c r="AJ396" s="3"/>
      <c r="AK396" s="3"/>
      <c r="AL396" s="3"/>
      <c r="AM396" s="3"/>
      <c r="AN396" s="3"/>
      <c r="AO396" s="3"/>
      <c r="AP396" s="3"/>
    </row>
    <row r="397" spans="2:50" ht="11.1" customHeight="1" x14ac:dyDescent="0.2">
      <c r="B397" s="21" t="s">
        <v>4</v>
      </c>
      <c r="C397" s="531" t="s">
        <v>5</v>
      </c>
      <c r="D397" s="532" t="s">
        <v>6</v>
      </c>
      <c r="E397" s="532" t="s">
        <v>10</v>
      </c>
      <c r="F397" s="533" t="s">
        <v>28</v>
      </c>
      <c r="G397" s="534" t="s">
        <v>33</v>
      </c>
      <c r="H397" s="531" t="s">
        <v>5</v>
      </c>
      <c r="I397" s="532" t="s">
        <v>6</v>
      </c>
      <c r="J397" s="535" t="s">
        <v>10</v>
      </c>
      <c r="K397" s="536" t="s">
        <v>5</v>
      </c>
      <c r="L397" s="532" t="s">
        <v>6</v>
      </c>
      <c r="M397" s="537" t="s">
        <v>10</v>
      </c>
      <c r="N397" s="531" t="s">
        <v>5</v>
      </c>
      <c r="O397" s="532" t="s">
        <v>6</v>
      </c>
      <c r="P397" s="532" t="s">
        <v>10</v>
      </c>
      <c r="Q397" s="533" t="s">
        <v>28</v>
      </c>
      <c r="R397" s="534" t="s">
        <v>37</v>
      </c>
      <c r="S397" s="531" t="s">
        <v>5</v>
      </c>
      <c r="T397" s="532" t="s">
        <v>6</v>
      </c>
      <c r="U397" s="537" t="s">
        <v>10</v>
      </c>
      <c r="V397" s="531" t="s">
        <v>5</v>
      </c>
      <c r="W397" s="532" t="s">
        <v>6</v>
      </c>
      <c r="X397" s="537" t="s">
        <v>10</v>
      </c>
      <c r="Y397" s="4"/>
      <c r="Z397" s="244" t="s">
        <v>28</v>
      </c>
      <c r="AA397" s="245" t="s">
        <v>33</v>
      </c>
      <c r="AB397" s="144" t="s">
        <v>5</v>
      </c>
      <c r="AC397" s="145" t="s">
        <v>6</v>
      </c>
      <c r="AD397" s="246" t="s">
        <v>10</v>
      </c>
      <c r="AE397" s="3"/>
      <c r="AF397" s="3"/>
      <c r="AG397" s="3"/>
      <c r="AH397" s="3"/>
      <c r="AI397" s="3"/>
      <c r="AJ397" s="3"/>
      <c r="AK397" s="3"/>
      <c r="AL397" s="3"/>
      <c r="AM397" s="3"/>
      <c r="AN397" s="3"/>
      <c r="AO397" s="3"/>
      <c r="AP397" s="3"/>
    </row>
    <row r="398" spans="2:50" ht="11.1" customHeight="1" x14ac:dyDescent="0.2">
      <c r="B398" s="21" t="s">
        <v>11</v>
      </c>
      <c r="C398" s="146" t="s">
        <v>16</v>
      </c>
      <c r="D398" s="138" t="s">
        <v>16</v>
      </c>
      <c r="E398" s="138" t="s">
        <v>16</v>
      </c>
      <c r="F398" s="138" t="s">
        <v>16</v>
      </c>
      <c r="G398" s="81" t="s">
        <v>36</v>
      </c>
      <c r="H398" s="146" t="s">
        <v>16</v>
      </c>
      <c r="I398" s="138" t="s">
        <v>16</v>
      </c>
      <c r="J398" s="451" t="s">
        <v>16</v>
      </c>
      <c r="K398" s="448" t="s">
        <v>16</v>
      </c>
      <c r="L398" s="138" t="s">
        <v>16</v>
      </c>
      <c r="M398" s="81" t="s">
        <v>16</v>
      </c>
      <c r="N398" s="146" t="s">
        <v>16</v>
      </c>
      <c r="O398" s="138" t="s">
        <v>16</v>
      </c>
      <c r="P398" s="138" t="s">
        <v>16</v>
      </c>
      <c r="Q398" s="138" t="s">
        <v>12</v>
      </c>
      <c r="R398" s="81" t="s">
        <v>36</v>
      </c>
      <c r="S398" s="146" t="s">
        <v>16</v>
      </c>
      <c r="T398" s="138" t="s">
        <v>16</v>
      </c>
      <c r="U398" s="81" t="s">
        <v>16</v>
      </c>
      <c r="V398" s="146" t="s">
        <v>16</v>
      </c>
      <c r="W398" s="138" t="s">
        <v>16</v>
      </c>
      <c r="X398" s="81" t="s">
        <v>16</v>
      </c>
      <c r="Y398" s="4"/>
      <c r="Z398" s="247" t="s">
        <v>16</v>
      </c>
      <c r="AA398" s="248" t="s">
        <v>36</v>
      </c>
      <c r="AB398" s="247" t="s">
        <v>16</v>
      </c>
      <c r="AC398" s="249" t="s">
        <v>16</v>
      </c>
      <c r="AD398" s="248" t="s">
        <v>16</v>
      </c>
      <c r="AE398" s="3"/>
      <c r="AF398" s="3"/>
      <c r="AG398" s="3"/>
      <c r="AH398" s="3"/>
      <c r="AI398" s="3"/>
      <c r="AJ398" s="3"/>
      <c r="AK398" s="3"/>
      <c r="AL398" s="3"/>
      <c r="AM398" s="3"/>
      <c r="AN398" s="3"/>
      <c r="AO398" s="3"/>
      <c r="AP398" s="3"/>
    </row>
    <row r="399" spans="2:50" ht="11.1" customHeight="1" x14ac:dyDescent="0.2">
      <c r="B399" s="643">
        <v>29902</v>
      </c>
      <c r="C399" s="262"/>
      <c r="D399" s="263"/>
      <c r="E399" s="524"/>
      <c r="F399" s="252"/>
      <c r="G399" s="251"/>
      <c r="H399" s="616"/>
      <c r="I399" s="252">
        <v>11800</v>
      </c>
      <c r="J399" s="452">
        <v>4.4000000000000004</v>
      </c>
      <c r="K399" s="265"/>
      <c r="L399" s="263"/>
      <c r="M399" s="264"/>
      <c r="N399" s="265"/>
      <c r="O399" s="263"/>
      <c r="P399" s="263"/>
      <c r="Q399" s="171"/>
      <c r="R399" s="166"/>
      <c r="S399" s="265"/>
      <c r="T399" s="263"/>
      <c r="U399" s="264"/>
      <c r="V399" s="265"/>
      <c r="W399" s="263"/>
      <c r="X399" s="264"/>
      <c r="Y399" s="4"/>
      <c r="Z399" s="250"/>
      <c r="AA399" s="251"/>
      <c r="AB399" s="648"/>
      <c r="AC399" s="252">
        <v>11800</v>
      </c>
      <c r="AD399" s="251">
        <v>4.4000000000000004</v>
      </c>
      <c r="AE399" s="3"/>
      <c r="AF399" s="3"/>
      <c r="AG399" s="3"/>
      <c r="AH399" s="3"/>
      <c r="AI399" s="3"/>
      <c r="AJ399" s="3"/>
      <c r="AK399" s="3"/>
      <c r="AL399" s="3"/>
      <c r="AM399" s="3"/>
      <c r="AN399" s="3"/>
      <c r="AO399" s="3"/>
      <c r="AP399" s="3"/>
    </row>
    <row r="400" spans="2:50" ht="11.1" customHeight="1" x14ac:dyDescent="0.2">
      <c r="B400" s="175">
        <v>29931</v>
      </c>
      <c r="C400" s="266">
        <v>18</v>
      </c>
      <c r="D400" s="267">
        <v>10200</v>
      </c>
      <c r="E400" s="525">
        <v>4</v>
      </c>
      <c r="F400" s="255"/>
      <c r="G400" s="254"/>
      <c r="H400" s="612"/>
      <c r="I400" s="255">
        <v>11500</v>
      </c>
      <c r="J400" s="453">
        <v>4.7</v>
      </c>
      <c r="K400" s="271"/>
      <c r="L400" s="269"/>
      <c r="M400" s="270"/>
      <c r="N400" s="271"/>
      <c r="O400" s="269"/>
      <c r="P400" s="269"/>
      <c r="Q400" s="215"/>
      <c r="R400" s="213"/>
      <c r="S400" s="271"/>
      <c r="T400" s="269"/>
      <c r="U400" s="270"/>
      <c r="V400" s="271"/>
      <c r="W400" s="269"/>
      <c r="X400" s="270"/>
      <c r="Y400" s="4"/>
      <c r="Z400" s="253">
        <v>2.9</v>
      </c>
      <c r="AA400" s="254">
        <v>14000</v>
      </c>
      <c r="AB400" s="649"/>
      <c r="AC400" s="255">
        <v>11500</v>
      </c>
      <c r="AD400" s="256">
        <v>4.7</v>
      </c>
      <c r="AE400" s="3"/>
      <c r="AF400" s="3"/>
      <c r="AG400" s="3"/>
      <c r="AH400" s="3"/>
      <c r="AI400" s="3"/>
      <c r="AJ400" s="3"/>
      <c r="AK400" s="3"/>
      <c r="AL400" s="3"/>
      <c r="AM400" s="3"/>
      <c r="AN400" s="3"/>
      <c r="AO400" s="3"/>
      <c r="AP400" s="3"/>
    </row>
    <row r="401" spans="2:42" ht="11.1" customHeight="1" x14ac:dyDescent="0.2">
      <c r="B401" s="182">
        <v>29991</v>
      </c>
      <c r="C401" s="227"/>
      <c r="D401" s="269"/>
      <c r="E401" s="526"/>
      <c r="F401" s="259"/>
      <c r="G401" s="258"/>
      <c r="H401" s="617"/>
      <c r="I401" s="259"/>
      <c r="J401" s="454"/>
      <c r="K401" s="271"/>
      <c r="L401" s="269"/>
      <c r="M401" s="270"/>
      <c r="N401" s="271"/>
      <c r="O401" s="269"/>
      <c r="P401" s="269"/>
      <c r="Q401" s="215"/>
      <c r="R401" s="213"/>
      <c r="S401" s="271"/>
      <c r="T401" s="269"/>
      <c r="U401" s="270"/>
      <c r="V401" s="271"/>
      <c r="W401" s="269"/>
      <c r="X401" s="270"/>
      <c r="Y401" s="4"/>
      <c r="Z401" s="257"/>
      <c r="AA401" s="258"/>
      <c r="AB401" s="257"/>
      <c r="AC401" s="259"/>
      <c r="AD401" s="258"/>
      <c r="AE401" s="3"/>
      <c r="AF401" s="3"/>
      <c r="AG401" s="3"/>
      <c r="AH401" s="3"/>
      <c r="AI401" s="3"/>
      <c r="AJ401" s="3"/>
      <c r="AK401" s="3"/>
      <c r="AL401" s="3"/>
      <c r="AM401" s="3"/>
      <c r="AN401" s="3"/>
      <c r="AO401" s="3"/>
      <c r="AP401" s="3"/>
    </row>
    <row r="402" spans="2:42" ht="11.1" customHeight="1" x14ac:dyDescent="0.2">
      <c r="B402" s="175">
        <v>30049</v>
      </c>
      <c r="C402" s="605"/>
      <c r="D402" s="267">
        <v>8520</v>
      </c>
      <c r="E402" s="525">
        <v>3.1</v>
      </c>
      <c r="F402" s="259"/>
      <c r="G402" s="258"/>
      <c r="H402" s="257"/>
      <c r="I402" s="259"/>
      <c r="J402" s="454"/>
      <c r="K402" s="271"/>
      <c r="L402" s="269"/>
      <c r="M402" s="270"/>
      <c r="N402" s="271"/>
      <c r="O402" s="269"/>
      <c r="P402" s="269"/>
      <c r="Q402" s="215"/>
      <c r="R402" s="213"/>
      <c r="S402" s="271"/>
      <c r="T402" s="269"/>
      <c r="U402" s="270"/>
      <c r="V402" s="271"/>
      <c r="W402" s="269"/>
      <c r="X402" s="270"/>
      <c r="Y402" s="4"/>
      <c r="Z402" s="257"/>
      <c r="AA402" s="258"/>
      <c r="AB402" s="257"/>
      <c r="AC402" s="259"/>
      <c r="AD402" s="258"/>
      <c r="AE402" s="3"/>
      <c r="AF402" s="3"/>
      <c r="AG402" s="3"/>
      <c r="AH402" s="3"/>
      <c r="AI402" s="3"/>
      <c r="AJ402" s="3"/>
      <c r="AK402" s="3"/>
      <c r="AL402" s="3"/>
      <c r="AM402" s="3"/>
      <c r="AN402" s="3"/>
      <c r="AO402" s="3"/>
      <c r="AP402" s="3"/>
    </row>
    <row r="403" spans="2:42" ht="11.1" customHeight="1" x14ac:dyDescent="0.2">
      <c r="B403" s="175">
        <v>30089</v>
      </c>
      <c r="C403" s="523">
        <v>10</v>
      </c>
      <c r="D403" s="267">
        <v>7320</v>
      </c>
      <c r="E403" s="525">
        <v>1.9</v>
      </c>
      <c r="F403" s="259"/>
      <c r="G403" s="258"/>
      <c r="H403" s="257"/>
      <c r="I403" s="259"/>
      <c r="J403" s="454"/>
      <c r="K403" s="271"/>
      <c r="L403" s="269"/>
      <c r="M403" s="270"/>
      <c r="N403" s="271"/>
      <c r="O403" s="269"/>
      <c r="P403" s="269"/>
      <c r="Q403" s="215"/>
      <c r="R403" s="213"/>
      <c r="S403" s="271"/>
      <c r="T403" s="269"/>
      <c r="U403" s="270"/>
      <c r="V403" s="271"/>
      <c r="W403" s="269"/>
      <c r="X403" s="270"/>
      <c r="Y403" s="4"/>
      <c r="Z403" s="257"/>
      <c r="AA403" s="258"/>
      <c r="AB403" s="257"/>
      <c r="AC403" s="259"/>
      <c r="AD403" s="258"/>
      <c r="AE403" s="3"/>
      <c r="AF403" s="3"/>
      <c r="AG403" s="3"/>
      <c r="AH403" s="3"/>
      <c r="AI403" s="3"/>
      <c r="AJ403" s="3"/>
      <c r="AK403" s="3"/>
      <c r="AL403" s="3"/>
      <c r="AM403" s="3"/>
      <c r="AN403" s="3"/>
      <c r="AO403" s="3"/>
      <c r="AP403" s="3"/>
    </row>
    <row r="404" spans="2:42" ht="11.1" customHeight="1" x14ac:dyDescent="0.2">
      <c r="B404" s="175">
        <v>30243</v>
      </c>
      <c r="C404" s="523">
        <v>17</v>
      </c>
      <c r="D404" s="267">
        <v>7230</v>
      </c>
      <c r="E404" s="525">
        <v>4.0999999999999996</v>
      </c>
      <c r="F404" s="255"/>
      <c r="G404" s="256"/>
      <c r="H404" s="612"/>
      <c r="I404" s="255">
        <v>8180</v>
      </c>
      <c r="J404" s="453">
        <v>3.6</v>
      </c>
      <c r="K404" s="271"/>
      <c r="L404" s="269"/>
      <c r="M404" s="270"/>
      <c r="N404" s="272"/>
      <c r="O404" s="269"/>
      <c r="P404" s="269"/>
      <c r="Q404" s="215"/>
      <c r="R404" s="213"/>
      <c r="S404" s="621"/>
      <c r="T404" s="269">
        <v>9480</v>
      </c>
      <c r="U404" s="270">
        <v>7.5</v>
      </c>
      <c r="V404" s="271"/>
      <c r="W404" s="269"/>
      <c r="X404" s="270"/>
      <c r="Y404" s="4"/>
      <c r="Z404" s="253"/>
      <c r="AA404" s="256"/>
      <c r="AB404" s="649"/>
      <c r="AC404" s="255">
        <v>8180</v>
      </c>
      <c r="AD404" s="256">
        <v>3.6</v>
      </c>
      <c r="AE404" s="3"/>
      <c r="AF404" s="3"/>
      <c r="AG404" s="3"/>
      <c r="AH404" s="3"/>
      <c r="AI404" s="3"/>
      <c r="AJ404" s="3"/>
      <c r="AK404" s="3"/>
      <c r="AL404" s="3"/>
      <c r="AM404" s="3"/>
      <c r="AN404" s="3"/>
      <c r="AO404" s="3"/>
      <c r="AP404" s="3"/>
    </row>
    <row r="405" spans="2:42" ht="11.1" customHeight="1" x14ac:dyDescent="0.2">
      <c r="B405" s="175">
        <v>30272</v>
      </c>
      <c r="C405" s="605"/>
      <c r="D405" s="267">
        <v>9440</v>
      </c>
      <c r="E405" s="525">
        <v>5</v>
      </c>
      <c r="F405" s="259"/>
      <c r="G405" s="258"/>
      <c r="H405" s="615"/>
      <c r="I405" s="259">
        <v>9170</v>
      </c>
      <c r="J405" s="454">
        <v>4.9000000000000004</v>
      </c>
      <c r="K405" s="271"/>
      <c r="L405" s="269"/>
      <c r="M405" s="270"/>
      <c r="N405" s="271"/>
      <c r="O405" s="269"/>
      <c r="P405" s="269"/>
      <c r="Q405" s="215"/>
      <c r="R405" s="213"/>
      <c r="S405" s="271"/>
      <c r="T405" s="269"/>
      <c r="U405" s="270"/>
      <c r="V405" s="271"/>
      <c r="W405" s="269"/>
      <c r="X405" s="270"/>
      <c r="Y405" s="4"/>
      <c r="Z405" s="257"/>
      <c r="AA405" s="258"/>
      <c r="AB405" s="615"/>
      <c r="AC405" s="259">
        <v>9170</v>
      </c>
      <c r="AD405" s="258">
        <v>4.9000000000000004</v>
      </c>
      <c r="AE405" s="3"/>
      <c r="AF405" s="3"/>
      <c r="AG405" s="3"/>
      <c r="AH405" s="3"/>
      <c r="AI405" s="3"/>
      <c r="AJ405" s="3"/>
      <c r="AK405" s="3"/>
      <c r="AL405" s="3"/>
      <c r="AM405" s="3"/>
      <c r="AN405" s="3"/>
      <c r="AO405" s="3"/>
      <c r="AP405" s="3"/>
    </row>
    <row r="406" spans="2:42" ht="11.1" customHeight="1" x14ac:dyDescent="0.2">
      <c r="B406" s="182">
        <v>30402</v>
      </c>
      <c r="C406" s="227"/>
      <c r="D406" s="269"/>
      <c r="E406" s="526"/>
      <c r="F406" s="259"/>
      <c r="G406" s="258"/>
      <c r="H406" s="257"/>
      <c r="I406" s="259"/>
      <c r="J406" s="454"/>
      <c r="K406" s="271"/>
      <c r="L406" s="269"/>
      <c r="M406" s="270"/>
      <c r="N406" s="271"/>
      <c r="O406" s="269"/>
      <c r="P406" s="269"/>
      <c r="Q406" s="215"/>
      <c r="R406" s="213"/>
      <c r="S406" s="621"/>
      <c r="T406" s="269">
        <v>9460</v>
      </c>
      <c r="U406" s="627"/>
      <c r="V406" s="271"/>
      <c r="W406" s="269"/>
      <c r="X406" s="270"/>
      <c r="Y406" s="4"/>
      <c r="Z406" s="257"/>
      <c r="AA406" s="258"/>
      <c r="AB406" s="257"/>
      <c r="AC406" s="259"/>
      <c r="AD406" s="258"/>
      <c r="AE406" s="3"/>
      <c r="AF406" s="3"/>
      <c r="AG406" s="3"/>
      <c r="AH406" s="3"/>
      <c r="AI406" s="3"/>
      <c r="AJ406" s="3"/>
      <c r="AK406" s="3"/>
      <c r="AL406" s="3"/>
      <c r="AM406" s="3"/>
      <c r="AN406" s="3"/>
      <c r="AO406" s="3"/>
      <c r="AP406" s="3"/>
    </row>
    <row r="407" spans="2:42" ht="11.1" customHeight="1" x14ac:dyDescent="0.2">
      <c r="B407" s="175">
        <v>30594</v>
      </c>
      <c r="C407" s="227"/>
      <c r="D407" s="267">
        <v>7610</v>
      </c>
      <c r="E407" s="525">
        <v>4.5</v>
      </c>
      <c r="F407" s="259"/>
      <c r="G407" s="258"/>
      <c r="H407" s="257"/>
      <c r="I407" s="259"/>
      <c r="J407" s="454"/>
      <c r="K407" s="271"/>
      <c r="L407" s="269"/>
      <c r="M407" s="270"/>
      <c r="N407" s="621"/>
      <c r="O407" s="269">
        <v>9100</v>
      </c>
      <c r="P407" s="274">
        <v>5.5</v>
      </c>
      <c r="Q407" s="215"/>
      <c r="R407" s="213"/>
      <c r="S407" s="621"/>
      <c r="T407" s="269">
        <v>9000</v>
      </c>
      <c r="U407" s="273">
        <v>6.2</v>
      </c>
      <c r="V407" s="271">
        <v>39</v>
      </c>
      <c r="W407" s="269">
        <v>6490</v>
      </c>
      <c r="X407" s="270">
        <v>5.0999999999999996</v>
      </c>
      <c r="Y407" s="4"/>
      <c r="Z407" s="257"/>
      <c r="AA407" s="258"/>
      <c r="AB407" s="257"/>
      <c r="AC407" s="259"/>
      <c r="AD407" s="258"/>
      <c r="AE407" s="3"/>
      <c r="AF407" s="3"/>
      <c r="AG407" s="3"/>
      <c r="AH407" s="3"/>
      <c r="AI407" s="3"/>
      <c r="AJ407" s="3"/>
      <c r="AK407" s="3"/>
      <c r="AL407" s="3"/>
      <c r="AM407" s="3"/>
      <c r="AN407" s="3"/>
      <c r="AO407" s="3"/>
      <c r="AP407" s="3"/>
    </row>
    <row r="408" spans="2:42" ht="11.1" customHeight="1" x14ac:dyDescent="0.2">
      <c r="B408" s="175">
        <v>30649</v>
      </c>
      <c r="C408" s="266">
        <v>24</v>
      </c>
      <c r="D408" s="267">
        <v>15200</v>
      </c>
      <c r="E408" s="525">
        <v>4.5999999999999996</v>
      </c>
      <c r="F408" s="255"/>
      <c r="G408" s="256"/>
      <c r="H408" s="253">
        <v>31</v>
      </c>
      <c r="I408" s="255">
        <v>15000</v>
      </c>
      <c r="J408" s="453">
        <v>5.6</v>
      </c>
      <c r="K408" s="618"/>
      <c r="L408" s="267">
        <v>15400</v>
      </c>
      <c r="M408" s="275">
        <v>5.5</v>
      </c>
      <c r="N408" s="271"/>
      <c r="O408" s="269"/>
      <c r="P408" s="269"/>
      <c r="Q408" s="215"/>
      <c r="R408" s="213"/>
      <c r="S408" s="271"/>
      <c r="T408" s="269"/>
      <c r="U408" s="270"/>
      <c r="V408" s="271"/>
      <c r="W408" s="269"/>
      <c r="X408" s="270"/>
      <c r="Y408" s="4"/>
      <c r="Z408" s="253"/>
      <c r="AA408" s="256"/>
      <c r="AB408" s="253">
        <v>31</v>
      </c>
      <c r="AC408" s="255">
        <v>15000</v>
      </c>
      <c r="AD408" s="256">
        <v>5.6</v>
      </c>
      <c r="AE408" s="3"/>
      <c r="AF408" s="3"/>
      <c r="AG408" s="3"/>
      <c r="AH408" s="3"/>
      <c r="AI408" s="3"/>
      <c r="AJ408" s="3"/>
      <c r="AK408" s="3"/>
      <c r="AL408" s="3"/>
      <c r="AM408" s="3"/>
      <c r="AN408" s="3"/>
      <c r="AO408" s="3"/>
      <c r="AP408" s="3"/>
    </row>
    <row r="409" spans="2:42" ht="11.1" customHeight="1" x14ac:dyDescent="0.2">
      <c r="B409" s="175">
        <v>30733</v>
      </c>
      <c r="C409" s="227"/>
      <c r="D409" s="267">
        <v>10400</v>
      </c>
      <c r="E409" s="525">
        <v>2</v>
      </c>
      <c r="F409" s="610"/>
      <c r="G409" s="611"/>
      <c r="H409" s="612"/>
      <c r="I409" s="255">
        <v>9030</v>
      </c>
      <c r="J409" s="453">
        <v>2.2999999999999998</v>
      </c>
      <c r="K409" s="618"/>
      <c r="L409" s="267">
        <v>11300</v>
      </c>
      <c r="M409" s="275">
        <v>2.6</v>
      </c>
      <c r="N409" s="621"/>
      <c r="O409" s="269">
        <v>11300</v>
      </c>
      <c r="P409" s="274">
        <v>6.2</v>
      </c>
      <c r="Q409" s="215"/>
      <c r="R409" s="213"/>
      <c r="S409" s="621"/>
      <c r="T409" s="269">
        <v>12200</v>
      </c>
      <c r="U409" s="273">
        <v>5.8</v>
      </c>
      <c r="V409" s="271"/>
      <c r="W409" s="269"/>
      <c r="X409" s="270"/>
      <c r="Y409" s="4"/>
      <c r="Z409" s="615"/>
      <c r="AA409" s="650"/>
      <c r="AB409" s="649"/>
      <c r="AC409" s="255">
        <v>9030</v>
      </c>
      <c r="AD409" s="256">
        <v>2.2999999999999998</v>
      </c>
      <c r="AE409" s="3"/>
      <c r="AF409" s="3"/>
      <c r="AG409" s="3"/>
      <c r="AH409" s="3"/>
      <c r="AI409" s="3"/>
      <c r="AJ409" s="3"/>
      <c r="AK409" s="3"/>
      <c r="AL409" s="3"/>
      <c r="AM409" s="3"/>
      <c r="AN409" s="3"/>
      <c r="AO409" s="3"/>
      <c r="AP409" s="3"/>
    </row>
    <row r="410" spans="2:42" ht="11.1" customHeight="1" x14ac:dyDescent="0.2">
      <c r="B410" s="175">
        <v>30812</v>
      </c>
      <c r="C410" s="227"/>
      <c r="D410" s="267">
        <v>7890</v>
      </c>
      <c r="E410" s="525">
        <v>1.8</v>
      </c>
      <c r="F410" s="255"/>
      <c r="G410" s="256"/>
      <c r="H410" s="253">
        <v>26</v>
      </c>
      <c r="I410" s="255">
        <v>7650</v>
      </c>
      <c r="J410" s="453">
        <v>1.9</v>
      </c>
      <c r="K410" s="450">
        <v>20</v>
      </c>
      <c r="L410" s="267">
        <v>7540</v>
      </c>
      <c r="M410" s="275">
        <v>1.9</v>
      </c>
      <c r="N410" s="621"/>
      <c r="O410" s="269">
        <v>8700</v>
      </c>
      <c r="P410" s="274">
        <v>5.4</v>
      </c>
      <c r="Q410" s="215">
        <v>1.7</v>
      </c>
      <c r="R410" s="213">
        <v>1</v>
      </c>
      <c r="S410" s="621"/>
      <c r="T410" s="269">
        <v>8500</v>
      </c>
      <c r="U410" s="627"/>
      <c r="V410" s="271"/>
      <c r="W410" s="269"/>
      <c r="X410" s="270"/>
      <c r="Y410" s="4"/>
      <c r="Z410" s="253"/>
      <c r="AA410" s="256"/>
      <c r="AB410" s="253">
        <v>26</v>
      </c>
      <c r="AC410" s="255">
        <v>7650</v>
      </c>
      <c r="AD410" s="256">
        <v>1.9</v>
      </c>
      <c r="AE410" s="3"/>
      <c r="AF410" s="3"/>
      <c r="AG410" s="3"/>
      <c r="AH410" s="3"/>
      <c r="AI410" s="3"/>
      <c r="AJ410" s="3"/>
      <c r="AK410" s="3"/>
      <c r="AL410" s="3"/>
      <c r="AM410" s="3"/>
      <c r="AN410" s="3"/>
      <c r="AO410" s="3"/>
      <c r="AP410" s="3"/>
    </row>
    <row r="411" spans="2:42" ht="11.1" customHeight="1" x14ac:dyDescent="0.2">
      <c r="B411" s="175">
        <v>30901</v>
      </c>
      <c r="C411" s="227"/>
      <c r="D411" s="267">
        <v>8270</v>
      </c>
      <c r="E411" s="525">
        <v>3.4</v>
      </c>
      <c r="F411" s="255">
        <v>1.7</v>
      </c>
      <c r="G411" s="254"/>
      <c r="H411" s="612"/>
      <c r="I411" s="255">
        <v>5640</v>
      </c>
      <c r="J411" s="455">
        <v>2</v>
      </c>
      <c r="K411" s="618"/>
      <c r="L411" s="267">
        <v>5320</v>
      </c>
      <c r="M411" s="275">
        <v>1.9</v>
      </c>
      <c r="N411" s="621"/>
      <c r="O411" s="269">
        <v>8980</v>
      </c>
      <c r="P411" s="530" t="s">
        <v>18</v>
      </c>
      <c r="Q411" s="208"/>
      <c r="R411" s="277"/>
      <c r="S411" s="621"/>
      <c r="T411" s="269">
        <v>9830</v>
      </c>
      <c r="U411" s="627"/>
      <c r="V411" s="271"/>
      <c r="W411" s="269"/>
      <c r="X411" s="270"/>
      <c r="Y411" s="4"/>
      <c r="Z411" s="253">
        <v>1.7</v>
      </c>
      <c r="AA411" s="254">
        <v>9000</v>
      </c>
      <c r="AB411" s="649"/>
      <c r="AC411" s="255">
        <v>5640</v>
      </c>
      <c r="AD411" s="256">
        <v>2</v>
      </c>
      <c r="AE411" s="3"/>
      <c r="AF411" s="3"/>
      <c r="AG411" s="3"/>
      <c r="AH411" s="3"/>
      <c r="AI411" s="3"/>
      <c r="AJ411" s="3"/>
      <c r="AK411" s="3"/>
      <c r="AL411" s="3"/>
      <c r="AM411" s="3"/>
      <c r="AN411" s="3"/>
      <c r="AO411" s="3"/>
      <c r="AP411" s="3"/>
    </row>
    <row r="412" spans="2:42" ht="11.1" customHeight="1" x14ac:dyDescent="0.2">
      <c r="B412" s="175">
        <v>30994</v>
      </c>
      <c r="C412" s="266">
        <v>20</v>
      </c>
      <c r="D412" s="267">
        <v>9600</v>
      </c>
      <c r="E412" s="525">
        <v>3.9</v>
      </c>
      <c r="F412" s="259">
        <v>1.5</v>
      </c>
      <c r="G412" s="256"/>
      <c r="H412" s="612"/>
      <c r="I412" s="255">
        <v>9460</v>
      </c>
      <c r="J412" s="453">
        <v>4.4000000000000004</v>
      </c>
      <c r="K412" s="450">
        <v>13</v>
      </c>
      <c r="L412" s="267">
        <v>10100</v>
      </c>
      <c r="M412" s="275">
        <v>3.7</v>
      </c>
      <c r="N412" s="621"/>
      <c r="O412" s="269">
        <v>7630</v>
      </c>
      <c r="P412" s="274">
        <v>4.8</v>
      </c>
      <c r="Q412" s="215"/>
      <c r="R412" s="213"/>
      <c r="S412" s="621"/>
      <c r="T412" s="269">
        <v>8770</v>
      </c>
      <c r="U412" s="627"/>
      <c r="V412" s="271"/>
      <c r="W412" s="269"/>
      <c r="X412" s="270"/>
      <c r="Y412" s="4"/>
      <c r="Z412" s="253"/>
      <c r="AA412" s="256"/>
      <c r="AB412" s="649"/>
      <c r="AC412" s="255">
        <v>9460</v>
      </c>
      <c r="AD412" s="256">
        <v>4.4000000000000004</v>
      </c>
      <c r="AE412" s="3"/>
      <c r="AF412" s="3"/>
      <c r="AG412" s="3"/>
      <c r="AH412" s="3"/>
      <c r="AI412" s="3"/>
      <c r="AJ412" s="3"/>
      <c r="AK412" s="3"/>
      <c r="AL412" s="3"/>
      <c r="AM412" s="3"/>
      <c r="AN412" s="3"/>
      <c r="AO412" s="3"/>
      <c r="AP412" s="3"/>
    </row>
    <row r="413" spans="2:42" ht="11.1" customHeight="1" x14ac:dyDescent="0.2">
      <c r="B413" s="175">
        <v>31061</v>
      </c>
      <c r="C413" s="227"/>
      <c r="D413" s="269"/>
      <c r="E413" s="526"/>
      <c r="F413" s="278"/>
      <c r="G413" s="254"/>
      <c r="H413" s="279"/>
      <c r="I413" s="259"/>
      <c r="J413" s="454"/>
      <c r="K413" s="271"/>
      <c r="L413" s="269"/>
      <c r="M413" s="270"/>
      <c r="N413" s="271"/>
      <c r="O413" s="269"/>
      <c r="P413" s="269"/>
      <c r="Q413" s="215"/>
      <c r="R413" s="213"/>
      <c r="S413" s="271"/>
      <c r="T413" s="269"/>
      <c r="U413" s="270"/>
      <c r="V413" s="271"/>
      <c r="W413" s="269"/>
      <c r="X413" s="270"/>
      <c r="Y413" s="4"/>
      <c r="Z413" s="257"/>
      <c r="AA413" s="254">
        <v>12700</v>
      </c>
      <c r="AB413" s="253">
        <v>3.2</v>
      </c>
      <c r="AC413" s="259"/>
      <c r="AD413" s="258"/>
      <c r="AE413" s="3"/>
      <c r="AF413" s="3"/>
      <c r="AG413" s="3"/>
      <c r="AH413" s="3"/>
      <c r="AI413" s="3"/>
      <c r="AJ413" s="3"/>
      <c r="AK413" s="3"/>
      <c r="AL413" s="3"/>
      <c r="AM413" s="3"/>
      <c r="AN413" s="3"/>
      <c r="AO413" s="3"/>
      <c r="AP413" s="3"/>
    </row>
    <row r="414" spans="2:42" ht="11.1" customHeight="1" x14ac:dyDescent="0.2">
      <c r="B414" s="175">
        <v>31083</v>
      </c>
      <c r="C414" s="606"/>
      <c r="D414" s="267">
        <v>9980</v>
      </c>
      <c r="E414" s="525">
        <v>1.7</v>
      </c>
      <c r="F414" s="278"/>
      <c r="G414" s="254"/>
      <c r="H414" s="612"/>
      <c r="I414" s="255">
        <v>9980</v>
      </c>
      <c r="J414" s="453">
        <v>1.7</v>
      </c>
      <c r="K414" s="618"/>
      <c r="L414" s="267">
        <v>10800</v>
      </c>
      <c r="M414" s="275">
        <v>3.2</v>
      </c>
      <c r="N414" s="621"/>
      <c r="O414" s="269">
        <v>12900</v>
      </c>
      <c r="P414" s="530"/>
      <c r="Q414" s="208"/>
      <c r="R414" s="277"/>
      <c r="S414" s="621"/>
      <c r="T414" s="269">
        <v>12900</v>
      </c>
      <c r="U414" s="273">
        <v>7</v>
      </c>
      <c r="V414" s="621"/>
      <c r="W414" s="269">
        <v>10600</v>
      </c>
      <c r="X414" s="627"/>
      <c r="Y414" s="4"/>
      <c r="Z414" s="260">
        <v>11</v>
      </c>
      <c r="AA414" s="254">
        <v>10100</v>
      </c>
      <c r="AB414" s="253">
        <v>2.9</v>
      </c>
      <c r="AC414" s="255">
        <v>1.5</v>
      </c>
      <c r="AD414" s="256">
        <v>1</v>
      </c>
      <c r="AE414" s="3"/>
      <c r="AF414" s="3"/>
      <c r="AG414" s="3"/>
      <c r="AH414" s="3"/>
      <c r="AI414" s="3"/>
      <c r="AJ414" s="3"/>
      <c r="AK414" s="3"/>
      <c r="AL414" s="3"/>
      <c r="AM414" s="3"/>
      <c r="AN414" s="3"/>
      <c r="AO414" s="3"/>
      <c r="AP414" s="3"/>
    </row>
    <row r="415" spans="2:42" ht="11.1" customHeight="1" x14ac:dyDescent="0.2">
      <c r="B415" s="182">
        <v>31154</v>
      </c>
      <c r="C415" s="266">
        <v>60</v>
      </c>
      <c r="D415" s="267">
        <v>10600</v>
      </c>
      <c r="E415" s="525">
        <v>3.2</v>
      </c>
      <c r="F415" s="259"/>
      <c r="G415" s="261"/>
      <c r="H415" s="281"/>
      <c r="I415" s="255"/>
      <c r="J415" s="453"/>
      <c r="K415" s="271"/>
      <c r="L415" s="269"/>
      <c r="M415" s="270"/>
      <c r="N415" s="621"/>
      <c r="O415" s="269">
        <v>9170</v>
      </c>
      <c r="P415" s="269">
        <v>2.9</v>
      </c>
      <c r="Q415" s="215">
        <v>2.6</v>
      </c>
      <c r="R415" s="213">
        <v>1.6</v>
      </c>
      <c r="S415" s="282">
        <v>17</v>
      </c>
      <c r="T415" s="269">
        <v>8020</v>
      </c>
      <c r="U415" s="273">
        <v>2.7</v>
      </c>
      <c r="V415" s="271"/>
      <c r="W415" s="269"/>
      <c r="X415" s="270"/>
      <c r="Y415" s="4"/>
      <c r="Z415" s="257"/>
      <c r="AA415" s="261"/>
      <c r="AB415" s="257"/>
      <c r="AC415" s="255"/>
      <c r="AD415" s="256"/>
      <c r="AE415" s="3"/>
      <c r="AF415" s="3"/>
      <c r="AG415" s="3"/>
      <c r="AH415" s="3"/>
      <c r="AI415" s="3"/>
      <c r="AJ415" s="3"/>
      <c r="AK415" s="3"/>
      <c r="AL415" s="3"/>
      <c r="AM415" s="3"/>
      <c r="AN415" s="3"/>
      <c r="AO415" s="3"/>
      <c r="AP415" s="3"/>
    </row>
    <row r="416" spans="2:42" ht="11.1" customHeight="1" x14ac:dyDescent="0.2">
      <c r="B416" s="175">
        <v>31180</v>
      </c>
      <c r="C416" s="227"/>
      <c r="D416" s="267">
        <v>9010</v>
      </c>
      <c r="E416" s="525">
        <v>2.6</v>
      </c>
      <c r="F416" s="259"/>
      <c r="G416" s="254"/>
      <c r="H416" s="612"/>
      <c r="I416" s="255">
        <v>9010</v>
      </c>
      <c r="J416" s="453">
        <v>2.6</v>
      </c>
      <c r="K416" s="618"/>
      <c r="L416" s="267">
        <v>10500</v>
      </c>
      <c r="M416" s="283">
        <v>1.7</v>
      </c>
      <c r="N416" s="271"/>
      <c r="O416" s="269"/>
      <c r="P416" s="269"/>
      <c r="Q416" s="215"/>
      <c r="R416" s="213"/>
      <c r="S416" s="271"/>
      <c r="T416" s="269"/>
      <c r="U416" s="270"/>
      <c r="V416" s="271"/>
      <c r="W416" s="269"/>
      <c r="X416" s="270"/>
      <c r="Y416" s="4"/>
      <c r="Z416" s="253">
        <v>10</v>
      </c>
      <c r="AA416" s="254">
        <v>9350</v>
      </c>
      <c r="AB416" s="253">
        <v>2.2000000000000002</v>
      </c>
      <c r="AC416" s="255"/>
      <c r="AD416" s="256"/>
      <c r="AE416" s="3"/>
      <c r="AF416" s="3"/>
      <c r="AG416" s="3"/>
      <c r="AH416" s="3"/>
      <c r="AI416" s="3"/>
      <c r="AJ416" s="3"/>
      <c r="AK416" s="3"/>
      <c r="AL416" s="3"/>
      <c r="AM416" s="3"/>
      <c r="AN416" s="3"/>
      <c r="AO416" s="3"/>
      <c r="AP416" s="3"/>
    </row>
    <row r="417" spans="2:42" ht="11.1" customHeight="1" x14ac:dyDescent="0.2">
      <c r="B417" s="175">
        <v>31272</v>
      </c>
      <c r="C417" s="227"/>
      <c r="D417" s="267">
        <v>9010</v>
      </c>
      <c r="E417" s="525">
        <v>4.2</v>
      </c>
      <c r="F417" s="610"/>
      <c r="G417" s="611"/>
      <c r="H417" s="612"/>
      <c r="I417" s="255">
        <v>9010</v>
      </c>
      <c r="J417" s="453">
        <v>4.2</v>
      </c>
      <c r="K417" s="618"/>
      <c r="L417" s="267">
        <v>7950</v>
      </c>
      <c r="M417" s="275">
        <v>3.2</v>
      </c>
      <c r="N417" s="284">
        <v>22</v>
      </c>
      <c r="O417" s="269">
        <v>8780</v>
      </c>
      <c r="P417" s="269">
        <v>3.5</v>
      </c>
      <c r="Q417" s="215"/>
      <c r="R417" s="213"/>
      <c r="S417" s="621"/>
      <c r="T417" s="269">
        <v>8460</v>
      </c>
      <c r="U417" s="270">
        <v>2.4</v>
      </c>
      <c r="V417" s="271"/>
      <c r="W417" s="269"/>
      <c r="X417" s="270"/>
      <c r="Y417" s="4"/>
      <c r="Z417" s="649"/>
      <c r="AA417" s="254">
        <v>8330</v>
      </c>
      <c r="AB417" s="253">
        <v>2.9</v>
      </c>
      <c r="AC417" s="651"/>
      <c r="AD417" s="650"/>
      <c r="AE417" s="3"/>
      <c r="AF417" s="3"/>
      <c r="AG417" s="3"/>
      <c r="AH417" s="3"/>
      <c r="AI417" s="3"/>
      <c r="AJ417" s="3"/>
      <c r="AK417" s="3"/>
      <c r="AL417" s="3"/>
      <c r="AM417" s="3"/>
      <c r="AN417" s="3"/>
      <c r="AO417" s="3"/>
      <c r="AP417" s="3"/>
    </row>
    <row r="418" spans="2:42" ht="11.1" customHeight="1" x14ac:dyDescent="0.2">
      <c r="B418" s="175">
        <v>31362</v>
      </c>
      <c r="C418" s="266">
        <v>41</v>
      </c>
      <c r="D418" s="267">
        <v>11400</v>
      </c>
      <c r="E418" s="525">
        <v>4.5999999999999996</v>
      </c>
      <c r="F418" s="255"/>
      <c r="G418" s="254"/>
      <c r="H418" s="279">
        <v>41</v>
      </c>
      <c r="I418" s="255">
        <v>11400</v>
      </c>
      <c r="J418" s="453">
        <v>4.5999999999999996</v>
      </c>
      <c r="K418" s="450">
        <v>48</v>
      </c>
      <c r="L418" s="267">
        <v>11200</v>
      </c>
      <c r="M418" s="275">
        <v>4.5</v>
      </c>
      <c r="N418" s="284">
        <v>25</v>
      </c>
      <c r="O418" s="269">
        <v>8620</v>
      </c>
      <c r="P418" s="269">
        <v>5</v>
      </c>
      <c r="Q418" s="215"/>
      <c r="R418" s="213"/>
      <c r="S418" s="282">
        <v>20</v>
      </c>
      <c r="T418" s="269">
        <v>8700</v>
      </c>
      <c r="U418" s="273">
        <v>3.5</v>
      </c>
      <c r="V418" s="284">
        <v>26</v>
      </c>
      <c r="W418" s="269">
        <v>10400</v>
      </c>
      <c r="X418" s="270">
        <v>3.6</v>
      </c>
      <c r="Y418" s="4"/>
      <c r="Z418" s="253">
        <v>41</v>
      </c>
      <c r="AA418" s="254">
        <v>11200</v>
      </c>
      <c r="AB418" s="253">
        <v>2.8</v>
      </c>
      <c r="AC418" s="255"/>
      <c r="AD418" s="256"/>
      <c r="AE418" s="3"/>
      <c r="AF418" s="3"/>
      <c r="AG418" s="3"/>
      <c r="AH418" s="3"/>
      <c r="AI418" s="3"/>
      <c r="AJ418" s="3"/>
      <c r="AK418" s="3"/>
      <c r="AL418" s="3"/>
      <c r="AM418" s="3"/>
      <c r="AN418" s="3"/>
      <c r="AO418" s="3"/>
      <c r="AP418" s="3"/>
    </row>
    <row r="419" spans="2:42" ht="11.1" customHeight="1" x14ac:dyDescent="0.2">
      <c r="B419" s="175">
        <v>31442</v>
      </c>
      <c r="C419" s="227"/>
      <c r="D419" s="269"/>
      <c r="E419" s="526"/>
      <c r="F419" s="276"/>
      <c r="G419" s="254"/>
      <c r="H419" s="279"/>
      <c r="I419" s="259"/>
      <c r="J419" s="454"/>
      <c r="K419" s="271"/>
      <c r="L419" s="269"/>
      <c r="M419" s="270"/>
      <c r="N419" s="621"/>
      <c r="O419" s="269">
        <v>11600</v>
      </c>
      <c r="P419" s="274">
        <v>2.2000000000000002</v>
      </c>
      <c r="Q419" s="215"/>
      <c r="R419" s="213"/>
      <c r="S419" s="621"/>
      <c r="T419" s="269">
        <v>11500</v>
      </c>
      <c r="U419" s="273">
        <v>3</v>
      </c>
      <c r="V419" s="271"/>
      <c r="W419" s="269"/>
      <c r="X419" s="270"/>
      <c r="Y419" s="4"/>
      <c r="Z419" s="649"/>
      <c r="AA419" s="254">
        <v>12100</v>
      </c>
      <c r="AB419" s="253">
        <v>2</v>
      </c>
      <c r="AC419" s="259"/>
      <c r="AD419" s="258"/>
      <c r="AE419" s="3"/>
      <c r="AF419" s="3"/>
      <c r="AG419" s="3"/>
      <c r="AH419" s="3"/>
      <c r="AI419" s="3"/>
      <c r="AJ419" s="3"/>
      <c r="AK419" s="3"/>
      <c r="AL419" s="3"/>
      <c r="AM419" s="3"/>
      <c r="AN419" s="3"/>
      <c r="AO419" s="3"/>
      <c r="AP419" s="3"/>
    </row>
    <row r="420" spans="2:42" ht="11.1" customHeight="1" x14ac:dyDescent="0.2">
      <c r="B420" s="175">
        <v>31467</v>
      </c>
      <c r="C420" s="606"/>
      <c r="D420" s="267">
        <v>10110</v>
      </c>
      <c r="E420" s="525">
        <v>2.2000000000000002</v>
      </c>
      <c r="F420" s="276"/>
      <c r="G420" s="254"/>
      <c r="H420" s="612"/>
      <c r="I420" s="255">
        <v>11680</v>
      </c>
      <c r="J420" s="455">
        <v>2</v>
      </c>
      <c r="K420" s="271"/>
      <c r="L420" s="267">
        <v>10290</v>
      </c>
      <c r="M420" s="275">
        <v>2.5</v>
      </c>
      <c r="N420" s="271"/>
      <c r="O420" s="269"/>
      <c r="P420" s="269"/>
      <c r="Q420" s="215"/>
      <c r="R420" s="213"/>
      <c r="S420" s="271"/>
      <c r="T420" s="269"/>
      <c r="U420" s="270"/>
      <c r="V420" s="271"/>
      <c r="W420" s="269"/>
      <c r="X420" s="270"/>
      <c r="Y420" s="4"/>
      <c r="Z420" s="649"/>
      <c r="AA420" s="254">
        <v>11700</v>
      </c>
      <c r="AB420" s="253">
        <v>2</v>
      </c>
      <c r="AC420" s="255">
        <v>0.96</v>
      </c>
      <c r="AD420" s="256">
        <v>0.64</v>
      </c>
      <c r="AE420" s="3"/>
      <c r="AF420" s="3"/>
      <c r="AG420" s="3"/>
      <c r="AH420" s="3"/>
      <c r="AI420" s="3"/>
      <c r="AJ420" s="3"/>
      <c r="AK420" s="3"/>
      <c r="AL420" s="3"/>
      <c r="AM420" s="3"/>
      <c r="AN420" s="3"/>
      <c r="AO420" s="3"/>
      <c r="AP420" s="3"/>
    </row>
    <row r="421" spans="2:42" ht="11.1" customHeight="1" thickBot="1" x14ac:dyDescent="0.25">
      <c r="B421" s="463">
        <v>31517</v>
      </c>
      <c r="C421" s="607"/>
      <c r="D421" s="408">
        <v>8330</v>
      </c>
      <c r="E421" s="527">
        <v>3.6</v>
      </c>
      <c r="F421" s="409"/>
      <c r="G421" s="410"/>
      <c r="H421" s="614"/>
      <c r="I421" s="411">
        <v>8330</v>
      </c>
      <c r="J421" s="456">
        <v>3.6</v>
      </c>
      <c r="K421" s="619"/>
      <c r="L421" s="408">
        <v>8390</v>
      </c>
      <c r="M421" s="412">
        <v>3.3</v>
      </c>
      <c r="N421" s="622"/>
      <c r="O421" s="413">
        <v>9740</v>
      </c>
      <c r="P421" s="413">
        <v>2.4</v>
      </c>
      <c r="Q421" s="387">
        <v>1.8</v>
      </c>
      <c r="R421" s="414">
        <v>1.3</v>
      </c>
      <c r="S421" s="622"/>
      <c r="T421" s="413">
        <v>10200</v>
      </c>
      <c r="U421" s="626"/>
      <c r="V421" s="415"/>
      <c r="W421" s="413"/>
      <c r="X421" s="416"/>
      <c r="Y421" s="4"/>
      <c r="Z421" s="649"/>
      <c r="AA421" s="254">
        <v>8350</v>
      </c>
      <c r="AB421" s="253">
        <v>2.9</v>
      </c>
      <c r="AC421" s="255">
        <v>1.1000000000000001</v>
      </c>
      <c r="AD421" s="256">
        <v>0.87</v>
      </c>
      <c r="AE421" s="3"/>
      <c r="AF421" s="3"/>
      <c r="AG421" s="3"/>
      <c r="AH421" s="3"/>
      <c r="AI421" s="3"/>
      <c r="AJ421" s="3"/>
      <c r="AK421" s="3"/>
      <c r="AL421" s="3"/>
      <c r="AM421" s="3"/>
      <c r="AN421" s="3"/>
      <c r="AO421" s="3"/>
      <c r="AP421" s="3"/>
    </row>
    <row r="422" spans="2:42" ht="11.1" customHeight="1" x14ac:dyDescent="0.2">
      <c r="B422" s="392">
        <v>31528</v>
      </c>
      <c r="C422" s="608"/>
      <c r="D422" s="399"/>
      <c r="E422" s="528"/>
      <c r="F422" s="400"/>
      <c r="G422" s="401"/>
      <c r="H422" s="402"/>
      <c r="I422" s="403"/>
      <c r="J422" s="457"/>
      <c r="K422" s="406"/>
      <c r="L422" s="404"/>
      <c r="M422" s="405"/>
      <c r="N422" s="406"/>
      <c r="O422" s="404"/>
      <c r="P422" s="404"/>
      <c r="Q422" s="378"/>
      <c r="R422" s="407"/>
      <c r="S422" s="406"/>
      <c r="T422" s="404"/>
      <c r="U422" s="405"/>
      <c r="V422" s="406"/>
      <c r="W422" s="404"/>
      <c r="X422" s="405"/>
      <c r="Y422" s="4"/>
      <c r="Z422" s="649"/>
      <c r="AA422" s="254">
        <v>9320</v>
      </c>
      <c r="AB422" s="253">
        <v>2.8</v>
      </c>
      <c r="AC422" s="255"/>
      <c r="AD422" s="256"/>
      <c r="AE422" s="3"/>
      <c r="AF422" s="3"/>
      <c r="AG422" s="3"/>
      <c r="AH422" s="3"/>
      <c r="AI422" s="3"/>
      <c r="AJ422" s="3"/>
      <c r="AK422" s="3"/>
      <c r="AL422" s="3"/>
      <c r="AM422" s="3"/>
      <c r="AN422" s="3"/>
      <c r="AO422" s="3"/>
      <c r="AP422" s="3"/>
    </row>
    <row r="423" spans="2:42" ht="11.1" customHeight="1" x14ac:dyDescent="0.2">
      <c r="B423" s="175">
        <v>31553</v>
      </c>
      <c r="C423" s="606"/>
      <c r="D423" s="399">
        <v>8670</v>
      </c>
      <c r="E423" s="528">
        <v>4.2</v>
      </c>
      <c r="F423" s="400"/>
      <c r="G423" s="401"/>
      <c r="H423" s="402"/>
      <c r="I423" s="403"/>
      <c r="J423" s="457"/>
      <c r="K423" s="406"/>
      <c r="L423" s="404"/>
      <c r="M423" s="405"/>
      <c r="N423" s="406"/>
      <c r="O423" s="404"/>
      <c r="P423" s="404"/>
      <c r="Q423" s="378"/>
      <c r="R423" s="407"/>
      <c r="S423" s="406"/>
      <c r="T423" s="404"/>
      <c r="U423" s="405"/>
      <c r="V423" s="406"/>
      <c r="W423" s="404"/>
      <c r="X423" s="405"/>
      <c r="Y423" s="4"/>
      <c r="Z423" s="649"/>
      <c r="AA423" s="254">
        <v>9260</v>
      </c>
      <c r="AB423" s="253">
        <v>6.1</v>
      </c>
      <c r="AC423" s="651"/>
      <c r="AD423" s="650"/>
      <c r="AE423" s="3"/>
      <c r="AF423" s="3"/>
      <c r="AG423" s="3"/>
      <c r="AH423" s="3"/>
      <c r="AI423" s="3"/>
      <c r="AJ423" s="3"/>
      <c r="AK423" s="3"/>
      <c r="AL423" s="3"/>
      <c r="AM423" s="3"/>
      <c r="AN423" s="3"/>
      <c r="AO423" s="3"/>
      <c r="AP423" s="3"/>
    </row>
    <row r="424" spans="2:42" ht="11.1" customHeight="1" x14ac:dyDescent="0.2">
      <c r="B424" s="175">
        <v>31576</v>
      </c>
      <c r="C424" s="605"/>
      <c r="D424" s="269">
        <v>7660</v>
      </c>
      <c r="E424" s="526">
        <v>6.5</v>
      </c>
      <c r="F424" s="610"/>
      <c r="G424" s="611"/>
      <c r="H424" s="612"/>
      <c r="I424" s="255">
        <v>9260</v>
      </c>
      <c r="J424" s="453">
        <v>6.1</v>
      </c>
      <c r="K424" s="618"/>
      <c r="L424" s="267">
        <v>7980</v>
      </c>
      <c r="M424" s="275">
        <v>5.6</v>
      </c>
      <c r="N424" s="271">
        <v>29</v>
      </c>
      <c r="O424" s="269">
        <v>8930</v>
      </c>
      <c r="P424" s="274">
        <v>8.1</v>
      </c>
      <c r="Q424" s="215"/>
      <c r="R424" s="213"/>
      <c r="S424" s="621"/>
      <c r="T424" s="269">
        <v>8680</v>
      </c>
      <c r="U424" s="285">
        <v>7.9</v>
      </c>
      <c r="V424" s="271"/>
      <c r="W424" s="269"/>
      <c r="X424" s="270"/>
      <c r="Y424" s="4"/>
      <c r="Z424" s="257"/>
      <c r="AA424" s="261"/>
      <c r="AB424" s="257"/>
      <c r="AC424" s="255"/>
      <c r="AD424" s="256"/>
      <c r="AE424" s="3"/>
      <c r="AF424" s="3"/>
      <c r="AG424" s="3"/>
      <c r="AH424" s="3"/>
      <c r="AI424" s="3"/>
      <c r="AJ424" s="3"/>
      <c r="AK424" s="3"/>
      <c r="AL424" s="3"/>
      <c r="AM424" s="3"/>
      <c r="AN424" s="3"/>
      <c r="AO424" s="3"/>
      <c r="AP424" s="3"/>
    </row>
    <row r="425" spans="2:42" ht="11.1" customHeight="1" x14ac:dyDescent="0.2">
      <c r="B425" s="175">
        <v>31652</v>
      </c>
      <c r="C425" s="606"/>
      <c r="D425" s="267">
        <v>10100</v>
      </c>
      <c r="E425" s="525">
        <v>3.7</v>
      </c>
      <c r="F425" s="610"/>
      <c r="G425" s="611"/>
      <c r="H425" s="281"/>
      <c r="I425" s="255"/>
      <c r="J425" s="453"/>
      <c r="K425" s="271"/>
      <c r="L425" s="269"/>
      <c r="M425" s="270"/>
      <c r="N425" s="271"/>
      <c r="O425" s="269"/>
      <c r="P425" s="269"/>
      <c r="Q425" s="215"/>
      <c r="R425" s="213"/>
      <c r="S425" s="271"/>
      <c r="T425" s="269"/>
      <c r="U425" s="270"/>
      <c r="V425" s="271"/>
      <c r="W425" s="269"/>
      <c r="X425" s="270"/>
      <c r="Y425" s="4"/>
      <c r="Z425" s="260">
        <v>15</v>
      </c>
      <c r="AA425" s="254">
        <v>10500</v>
      </c>
      <c r="AB425" s="253">
        <v>4.7</v>
      </c>
      <c r="AC425" s="651"/>
      <c r="AD425" s="650"/>
      <c r="AE425" s="3"/>
      <c r="AF425" s="3"/>
      <c r="AG425" s="3"/>
      <c r="AH425" s="3"/>
      <c r="AI425" s="3"/>
      <c r="AJ425" s="3"/>
      <c r="AK425" s="3"/>
      <c r="AL425" s="3"/>
      <c r="AM425" s="3"/>
      <c r="AN425" s="3"/>
      <c r="AO425" s="3"/>
      <c r="AP425" s="3"/>
    </row>
    <row r="426" spans="2:42" ht="11.1" customHeight="1" x14ac:dyDescent="0.2">
      <c r="B426" s="182">
        <v>31665</v>
      </c>
      <c r="C426" s="606"/>
      <c r="D426" s="267">
        <v>10700</v>
      </c>
      <c r="E426" s="525">
        <v>5.9</v>
      </c>
      <c r="F426" s="286"/>
      <c r="G426" s="254"/>
      <c r="H426" s="287">
        <v>15</v>
      </c>
      <c r="I426" s="255">
        <v>10500</v>
      </c>
      <c r="J426" s="453">
        <v>4.7</v>
      </c>
      <c r="K426" s="618"/>
      <c r="L426" s="267">
        <v>10900</v>
      </c>
      <c r="M426" s="275">
        <v>6</v>
      </c>
      <c r="N426" s="284">
        <v>21</v>
      </c>
      <c r="O426" s="269">
        <v>9320</v>
      </c>
      <c r="P426" s="269">
        <v>6.7</v>
      </c>
      <c r="Q426" s="215"/>
      <c r="R426" s="213"/>
      <c r="S426" s="621"/>
      <c r="T426" s="269">
        <v>9660</v>
      </c>
      <c r="U426" s="273">
        <v>5.9</v>
      </c>
      <c r="V426" s="284">
        <v>27</v>
      </c>
      <c r="W426" s="269">
        <v>9140</v>
      </c>
      <c r="X426" s="270">
        <v>4.8</v>
      </c>
      <c r="Y426" s="4"/>
      <c r="Z426" s="257"/>
      <c r="AA426" s="261"/>
      <c r="AB426" s="257"/>
      <c r="AC426" s="255"/>
      <c r="AD426" s="256"/>
      <c r="AE426" s="3"/>
      <c r="AF426" s="3"/>
      <c r="AG426" s="3"/>
      <c r="AH426" s="3"/>
      <c r="AI426" s="3"/>
      <c r="AJ426" s="3"/>
      <c r="AK426" s="3"/>
      <c r="AL426" s="3"/>
      <c r="AM426" s="3"/>
      <c r="AN426" s="3"/>
      <c r="AO426" s="3"/>
      <c r="AP426" s="3"/>
    </row>
    <row r="427" spans="2:42" ht="11.1" customHeight="1" x14ac:dyDescent="0.2">
      <c r="B427" s="175">
        <v>31722</v>
      </c>
      <c r="C427" s="606"/>
      <c r="D427" s="267">
        <v>12100</v>
      </c>
      <c r="E427" s="525">
        <v>4.4000000000000004</v>
      </c>
      <c r="F427" s="259"/>
      <c r="G427" s="261"/>
      <c r="H427" s="281"/>
      <c r="I427" s="255"/>
      <c r="J427" s="453"/>
      <c r="K427" s="271"/>
      <c r="L427" s="269"/>
      <c r="M427" s="270"/>
      <c r="N427" s="271"/>
      <c r="O427" s="269"/>
      <c r="P427" s="269"/>
      <c r="Q427" s="215"/>
      <c r="R427" s="213"/>
      <c r="S427" s="271"/>
      <c r="T427" s="269"/>
      <c r="U427" s="270"/>
      <c r="V427" s="271"/>
      <c r="W427" s="269"/>
      <c r="X427" s="270"/>
      <c r="Y427" s="4"/>
      <c r="Z427" s="649"/>
      <c r="AA427" s="254">
        <v>13290</v>
      </c>
      <c r="AB427" s="253">
        <v>3.7</v>
      </c>
      <c r="AC427" s="259"/>
      <c r="AD427" s="258"/>
      <c r="AE427" s="3"/>
      <c r="AF427" s="3"/>
      <c r="AG427" s="3"/>
      <c r="AH427" s="3"/>
      <c r="AI427" s="3"/>
      <c r="AJ427" s="3"/>
      <c r="AK427" s="3"/>
      <c r="AL427" s="3"/>
      <c r="AM427" s="3"/>
      <c r="AN427" s="3"/>
      <c r="AO427" s="3"/>
      <c r="AP427" s="3"/>
    </row>
    <row r="428" spans="2:42" ht="11.1" customHeight="1" x14ac:dyDescent="0.2">
      <c r="B428" s="182">
        <v>31763</v>
      </c>
      <c r="C428" s="227"/>
      <c r="D428" s="269"/>
      <c r="E428" s="526"/>
      <c r="F428" s="276"/>
      <c r="G428" s="254"/>
      <c r="H428" s="279"/>
      <c r="I428" s="259"/>
      <c r="J428" s="454"/>
      <c r="K428" s="271"/>
      <c r="L428" s="269"/>
      <c r="M428" s="270"/>
      <c r="N428" s="621"/>
      <c r="O428" s="269">
        <v>11800</v>
      </c>
      <c r="P428" s="274">
        <v>2.8</v>
      </c>
      <c r="Q428" s="215"/>
      <c r="R428" s="213"/>
      <c r="S428" s="621"/>
      <c r="T428" s="269">
        <v>12000</v>
      </c>
      <c r="U428" s="285">
        <v>2.9</v>
      </c>
      <c r="V428" s="271"/>
      <c r="W428" s="269"/>
      <c r="X428" s="270"/>
      <c r="Y428" s="4"/>
      <c r="Z428" s="649"/>
      <c r="AA428" s="254">
        <v>11150</v>
      </c>
      <c r="AB428" s="253">
        <v>3.1</v>
      </c>
      <c r="AC428" s="651"/>
      <c r="AD428" s="650"/>
      <c r="AE428" s="3"/>
      <c r="AF428" s="3"/>
      <c r="AG428" s="3"/>
      <c r="AH428" s="3"/>
      <c r="AI428" s="3"/>
      <c r="AJ428" s="3"/>
      <c r="AK428" s="3"/>
      <c r="AL428" s="3"/>
      <c r="AM428" s="3"/>
      <c r="AN428" s="3"/>
      <c r="AO428" s="3"/>
      <c r="AP428" s="3"/>
    </row>
    <row r="429" spans="2:42" ht="11.1" customHeight="1" x14ac:dyDescent="0.2">
      <c r="B429" s="175">
        <v>31798</v>
      </c>
      <c r="C429" s="606"/>
      <c r="D429" s="267">
        <v>11020</v>
      </c>
      <c r="E429" s="525">
        <v>2.6</v>
      </c>
      <c r="F429" s="610"/>
      <c r="G429" s="611"/>
      <c r="H429" s="612"/>
      <c r="I429" s="255">
        <v>11020</v>
      </c>
      <c r="J429" s="453">
        <v>2.6</v>
      </c>
      <c r="K429" s="618"/>
      <c r="L429" s="267">
        <v>10070</v>
      </c>
      <c r="M429" s="283">
        <v>1.8</v>
      </c>
      <c r="N429" s="271"/>
      <c r="O429" s="269"/>
      <c r="P429" s="269"/>
      <c r="Q429" s="215"/>
      <c r="R429" s="213"/>
      <c r="S429" s="271"/>
      <c r="T429" s="269"/>
      <c r="U429" s="270"/>
      <c r="V429" s="271"/>
      <c r="W429" s="269"/>
      <c r="X429" s="270"/>
      <c r="Y429" s="4"/>
      <c r="Z429" s="253">
        <v>9.6999999999999993</v>
      </c>
      <c r="AA429" s="254">
        <v>7870</v>
      </c>
      <c r="AB429" s="253">
        <v>2.9</v>
      </c>
      <c r="AC429" s="259"/>
      <c r="AD429" s="258"/>
      <c r="AE429" s="3"/>
      <c r="AF429" s="3"/>
      <c r="AG429" s="3"/>
      <c r="AH429" s="3"/>
      <c r="AI429" s="3"/>
      <c r="AJ429" s="3"/>
      <c r="AK429" s="3"/>
      <c r="AL429" s="3"/>
      <c r="AM429" s="3"/>
      <c r="AN429" s="3"/>
      <c r="AO429" s="3"/>
      <c r="AP429" s="3"/>
    </row>
    <row r="430" spans="2:42" ht="11.1" customHeight="1" x14ac:dyDescent="0.2">
      <c r="B430" s="175">
        <v>31825</v>
      </c>
      <c r="C430" s="227"/>
      <c r="D430" s="269"/>
      <c r="E430" s="526"/>
      <c r="F430" s="255"/>
      <c r="G430" s="254"/>
      <c r="H430" s="279"/>
      <c r="I430" s="259"/>
      <c r="J430" s="454"/>
      <c r="K430" s="271"/>
      <c r="L430" s="269"/>
      <c r="M430" s="270"/>
      <c r="N430" s="284">
        <v>19</v>
      </c>
      <c r="O430" s="269">
        <v>8270</v>
      </c>
      <c r="P430" s="274">
        <v>2.4</v>
      </c>
      <c r="Q430" s="215">
        <v>1.7</v>
      </c>
      <c r="R430" s="213">
        <v>1.2</v>
      </c>
      <c r="S430" s="621"/>
      <c r="T430" s="269">
        <v>7790</v>
      </c>
      <c r="U430" s="285">
        <v>2.2000000000000002</v>
      </c>
      <c r="V430" s="271"/>
      <c r="W430" s="269"/>
      <c r="X430" s="270"/>
      <c r="Y430" s="4"/>
      <c r="Z430" s="649"/>
      <c r="AA430" s="254">
        <v>7000</v>
      </c>
      <c r="AB430" s="253">
        <v>3.9</v>
      </c>
      <c r="AC430" s="259"/>
      <c r="AD430" s="258"/>
      <c r="AE430" s="3"/>
      <c r="AF430" s="3"/>
      <c r="AG430" s="3"/>
      <c r="AH430" s="3"/>
      <c r="AI430" s="3"/>
      <c r="AJ430" s="3"/>
      <c r="AK430" s="3"/>
      <c r="AL430" s="3"/>
      <c r="AM430" s="3"/>
      <c r="AN430" s="3"/>
      <c r="AO430" s="3"/>
      <c r="AP430" s="3"/>
    </row>
    <row r="431" spans="2:42" ht="11.1" customHeight="1" x14ac:dyDescent="0.2">
      <c r="B431" s="175">
        <v>31884</v>
      </c>
      <c r="C431" s="280"/>
      <c r="D431" s="267"/>
      <c r="E431" s="525"/>
      <c r="F431" s="276"/>
      <c r="G431" s="254"/>
      <c r="H431" s="268"/>
      <c r="I431" s="255"/>
      <c r="J431" s="453"/>
      <c r="K431" s="449"/>
      <c r="L431" s="267"/>
      <c r="M431" s="275"/>
      <c r="N431" s="271"/>
      <c r="O431" s="269"/>
      <c r="P431" s="269"/>
      <c r="Q431" s="215"/>
      <c r="R431" s="213"/>
      <c r="S431" s="272"/>
      <c r="T431" s="269"/>
      <c r="U431" s="273"/>
      <c r="V431" s="271"/>
      <c r="W431" s="269"/>
      <c r="X431" s="270"/>
      <c r="Y431" s="4"/>
      <c r="Z431" s="649"/>
      <c r="AA431" s="254">
        <v>8680</v>
      </c>
      <c r="AB431" s="253">
        <v>2.1</v>
      </c>
      <c r="AC431" s="255"/>
      <c r="AD431" s="256"/>
      <c r="AE431" s="3"/>
      <c r="AF431" s="3"/>
      <c r="AG431" s="3"/>
      <c r="AH431" s="3"/>
      <c r="AI431" s="3"/>
      <c r="AJ431" s="3"/>
      <c r="AK431" s="3"/>
      <c r="AL431" s="3"/>
      <c r="AM431" s="3"/>
      <c r="AN431" s="3"/>
      <c r="AO431" s="3"/>
      <c r="AP431" s="3"/>
    </row>
    <row r="432" spans="2:42" ht="11.1" customHeight="1" x14ac:dyDescent="0.2">
      <c r="B432" s="175">
        <v>31908</v>
      </c>
      <c r="C432" s="606"/>
      <c r="D432" s="267">
        <v>6430</v>
      </c>
      <c r="E432" s="525">
        <v>3.4</v>
      </c>
      <c r="F432" s="276"/>
      <c r="G432" s="254"/>
      <c r="H432" s="612"/>
      <c r="I432" s="255">
        <v>6430</v>
      </c>
      <c r="J432" s="453">
        <v>3.4</v>
      </c>
      <c r="K432" s="618"/>
      <c r="L432" s="267">
        <v>9120</v>
      </c>
      <c r="M432" s="275">
        <v>4.2</v>
      </c>
      <c r="N432" s="271">
        <v>17</v>
      </c>
      <c r="O432" s="269">
        <v>7570</v>
      </c>
      <c r="P432" s="269">
        <v>2.5</v>
      </c>
      <c r="Q432" s="215"/>
      <c r="R432" s="213"/>
      <c r="S432" s="621"/>
      <c r="T432" s="269">
        <v>7120</v>
      </c>
      <c r="U432" s="273">
        <v>2.2000000000000002</v>
      </c>
      <c r="V432" s="271"/>
      <c r="W432" s="269"/>
      <c r="X432" s="270"/>
      <c r="Y432" s="4"/>
      <c r="Z432" s="253">
        <v>23</v>
      </c>
      <c r="AA432" s="254">
        <v>8020</v>
      </c>
      <c r="AB432" s="253">
        <v>3.4</v>
      </c>
      <c r="AC432" s="255">
        <v>2.7</v>
      </c>
      <c r="AD432" s="256">
        <v>0.91</v>
      </c>
      <c r="AE432" s="3"/>
      <c r="AF432" s="3"/>
      <c r="AG432" s="3"/>
      <c r="AH432" s="3"/>
      <c r="AI432" s="3"/>
      <c r="AJ432" s="3"/>
      <c r="AK432" s="3"/>
      <c r="AL432" s="3"/>
      <c r="AM432" s="3"/>
      <c r="AN432" s="3"/>
      <c r="AO432" s="3"/>
      <c r="AP432" s="3"/>
    </row>
    <row r="433" spans="2:42" ht="11.1" customHeight="1" x14ac:dyDescent="0.2">
      <c r="B433" s="175">
        <v>32009</v>
      </c>
      <c r="C433" s="266">
        <v>18</v>
      </c>
      <c r="D433" s="267">
        <v>6740</v>
      </c>
      <c r="E433" s="525">
        <v>4.3</v>
      </c>
      <c r="F433" s="255">
        <v>2.7</v>
      </c>
      <c r="G433" s="256">
        <v>0.91</v>
      </c>
      <c r="H433" s="279">
        <v>18</v>
      </c>
      <c r="I433" s="255">
        <v>6740</v>
      </c>
      <c r="J433" s="453">
        <v>4.3</v>
      </c>
      <c r="K433" s="450">
        <v>15</v>
      </c>
      <c r="L433" s="267">
        <v>7510</v>
      </c>
      <c r="M433" s="275">
        <v>3.4</v>
      </c>
      <c r="N433" s="271"/>
      <c r="O433" s="269"/>
      <c r="P433" s="269"/>
      <c r="Q433" s="215"/>
      <c r="R433" s="213"/>
      <c r="S433" s="272"/>
      <c r="T433" s="269"/>
      <c r="U433" s="273"/>
      <c r="V433" s="271"/>
      <c r="W433" s="269"/>
      <c r="X433" s="270"/>
      <c r="Y433" s="4"/>
      <c r="Z433" s="649"/>
      <c r="AA433" s="254">
        <v>11890</v>
      </c>
      <c r="AB433" s="253">
        <v>3.7</v>
      </c>
      <c r="AC433" s="255"/>
      <c r="AD433" s="256"/>
      <c r="AE433" s="3"/>
      <c r="AF433" s="3"/>
      <c r="AG433" s="3"/>
      <c r="AH433" s="3"/>
      <c r="AI433" s="3"/>
      <c r="AJ433" s="3"/>
      <c r="AK433" s="3"/>
      <c r="AL433" s="3"/>
      <c r="AM433" s="3"/>
      <c r="AN433" s="3"/>
      <c r="AO433" s="3"/>
      <c r="AP433" s="3"/>
    </row>
    <row r="434" spans="2:42" ht="11.1" customHeight="1" x14ac:dyDescent="0.2">
      <c r="B434" s="175">
        <v>32098</v>
      </c>
      <c r="C434" s="606"/>
      <c r="D434" s="267">
        <v>10600</v>
      </c>
      <c r="E434" s="525">
        <v>4.9000000000000004</v>
      </c>
      <c r="F434" s="276"/>
      <c r="G434" s="254"/>
      <c r="H434" s="612"/>
      <c r="I434" s="447">
        <v>10600</v>
      </c>
      <c r="J434" s="453">
        <v>4.9000000000000004</v>
      </c>
      <c r="K434" s="618"/>
      <c r="L434" s="267">
        <v>11300</v>
      </c>
      <c r="M434" s="275">
        <v>4.5999999999999996</v>
      </c>
      <c r="N434" s="621"/>
      <c r="O434" s="269">
        <v>8660</v>
      </c>
      <c r="P434" s="269">
        <v>4</v>
      </c>
      <c r="Q434" s="215"/>
      <c r="R434" s="213"/>
      <c r="S434" s="282">
        <v>18</v>
      </c>
      <c r="T434" s="269">
        <v>9160</v>
      </c>
      <c r="U434" s="273">
        <v>4.4000000000000004</v>
      </c>
      <c r="V434" s="621"/>
      <c r="W434" s="269">
        <v>9980</v>
      </c>
      <c r="X434" s="270">
        <v>3.2</v>
      </c>
      <c r="Y434" s="4"/>
      <c r="Z434" s="652"/>
      <c r="AA434" s="85">
        <v>9610</v>
      </c>
      <c r="AB434" s="147">
        <v>2</v>
      </c>
      <c r="AC434" s="142">
        <v>1.7</v>
      </c>
      <c r="AD434" s="83">
        <v>1.2</v>
      </c>
      <c r="AE434" s="3"/>
      <c r="AF434" s="3"/>
      <c r="AG434" s="3"/>
      <c r="AH434" s="3"/>
      <c r="AI434" s="3"/>
      <c r="AJ434" s="3"/>
      <c r="AK434" s="3"/>
      <c r="AL434" s="3"/>
      <c r="AM434" s="3"/>
      <c r="AN434" s="3"/>
      <c r="AO434" s="3"/>
      <c r="AP434" s="3"/>
    </row>
    <row r="435" spans="2:42" ht="11.1" customHeight="1" x14ac:dyDescent="0.2">
      <c r="B435" s="175">
        <v>32206</v>
      </c>
      <c r="C435" s="609"/>
      <c r="D435" s="139">
        <v>8750</v>
      </c>
      <c r="E435" s="529">
        <v>1.6</v>
      </c>
      <c r="F435" s="140">
        <v>1.7</v>
      </c>
      <c r="G435" s="82">
        <v>1.2</v>
      </c>
      <c r="H435" s="613"/>
      <c r="I435" s="142">
        <v>8750</v>
      </c>
      <c r="J435" s="458">
        <v>1.6</v>
      </c>
      <c r="K435" s="620" t="s">
        <v>18</v>
      </c>
      <c r="L435" s="139">
        <v>8700</v>
      </c>
      <c r="M435" s="24">
        <v>2.1</v>
      </c>
      <c r="N435" s="624"/>
      <c r="O435" s="139">
        <v>10100</v>
      </c>
      <c r="P435" s="623"/>
      <c r="Q435" s="135"/>
      <c r="R435" s="37"/>
      <c r="S435" s="625"/>
      <c r="T435" s="139">
        <v>11500</v>
      </c>
      <c r="U435" s="53">
        <v>2.4</v>
      </c>
      <c r="V435" s="148"/>
      <c r="W435" s="139"/>
      <c r="X435" s="24"/>
      <c r="Y435" s="4"/>
      <c r="Z435" s="3"/>
      <c r="AA435" s="3"/>
      <c r="AB435" s="3"/>
      <c r="AC435" s="3"/>
      <c r="AD435" s="3"/>
      <c r="AE435" s="3"/>
      <c r="AF435" s="3"/>
      <c r="AG435" s="3"/>
      <c r="AH435" s="3"/>
      <c r="AI435" s="3"/>
      <c r="AJ435" s="3"/>
      <c r="AK435" s="30"/>
      <c r="AL435" s="30"/>
      <c r="AM435" s="30"/>
      <c r="AN435" s="30"/>
      <c r="AO435" s="30"/>
      <c r="AP435" s="30"/>
    </row>
    <row r="436" spans="2:42" ht="11.1" customHeight="1" x14ac:dyDescent="0.2">
      <c r="B436" s="3"/>
      <c r="H436" s="4"/>
      <c r="I436" s="5"/>
      <c r="J436" s="4"/>
      <c r="K436" s="4"/>
      <c r="L436" s="4"/>
      <c r="M436" s="4"/>
      <c r="N436" s="2"/>
      <c r="O436" s="3"/>
      <c r="P436" s="3"/>
      <c r="Q436" s="3"/>
      <c r="R436" s="2"/>
      <c r="V436" s="28"/>
      <c r="W436" s="2"/>
      <c r="X436" s="7"/>
      <c r="AB436" s="4"/>
      <c r="AD436" s="3"/>
      <c r="AE436" s="3"/>
      <c r="AF436" s="3"/>
      <c r="AG436" s="3"/>
      <c r="AH436" s="3"/>
      <c r="AI436" s="3"/>
      <c r="AJ436" s="3"/>
      <c r="AK436" s="30"/>
      <c r="AL436" s="30"/>
      <c r="AM436" s="30"/>
      <c r="AN436" s="30"/>
      <c r="AO436" s="30"/>
      <c r="AP436" s="30"/>
    </row>
    <row r="437" spans="2:42" ht="11.1" customHeight="1" x14ac:dyDescent="0.2">
      <c r="B437" s="3"/>
      <c r="C437" s="2" t="s">
        <v>1</v>
      </c>
      <c r="F437" s="2" t="s">
        <v>1</v>
      </c>
      <c r="I437" s="4"/>
      <c r="J437" s="5"/>
      <c r="K437" s="5"/>
      <c r="L437" s="5"/>
      <c r="M437" s="5"/>
      <c r="N437" s="4"/>
      <c r="O437" s="8" t="s">
        <v>1</v>
      </c>
      <c r="P437" s="3"/>
      <c r="Q437" s="3"/>
      <c r="R437" s="3"/>
      <c r="T437" s="8" t="s">
        <v>1</v>
      </c>
      <c r="W437" s="7"/>
      <c r="X437" s="7"/>
      <c r="Z437" s="4"/>
      <c r="AB437" s="5"/>
      <c r="AC437" s="30"/>
      <c r="AD437" s="30"/>
      <c r="AE437" s="3"/>
      <c r="AF437" s="3"/>
      <c r="AG437" s="3"/>
      <c r="AH437" s="3"/>
      <c r="AI437" s="3"/>
      <c r="AJ437" s="3"/>
      <c r="AK437" s="30"/>
      <c r="AL437" s="30"/>
      <c r="AM437" s="30"/>
      <c r="AN437" s="30"/>
      <c r="AO437" s="30"/>
      <c r="AP437" s="30"/>
    </row>
    <row r="438" spans="2:42" ht="11.1" customHeight="1" x14ac:dyDescent="0.2">
      <c r="B438" s="9" t="s">
        <v>2</v>
      </c>
      <c r="C438" s="124" t="s">
        <v>38</v>
      </c>
      <c r="D438" s="125"/>
      <c r="E438" s="125"/>
      <c r="F438" s="125"/>
      <c r="G438" s="125"/>
      <c r="H438" s="12"/>
      <c r="I438" s="10" t="s">
        <v>3</v>
      </c>
      <c r="J438" s="11"/>
      <c r="K438" s="11"/>
      <c r="L438" s="11"/>
      <c r="M438" s="11"/>
      <c r="N438" s="12"/>
      <c r="O438" s="16" t="s">
        <v>41</v>
      </c>
      <c r="P438" s="17"/>
      <c r="Q438" s="19"/>
      <c r="R438" s="17"/>
      <c r="S438" s="19"/>
      <c r="T438" s="16" t="s">
        <v>3</v>
      </c>
      <c r="U438" s="17"/>
      <c r="V438" s="18"/>
      <c r="W438" s="13" t="s">
        <v>161</v>
      </c>
      <c r="X438" s="7"/>
      <c r="Z438" s="14"/>
      <c r="AB438" s="15"/>
      <c r="AC438" s="30"/>
      <c r="AD438" s="30"/>
      <c r="AE438" s="3"/>
      <c r="AF438" s="3"/>
      <c r="AG438" s="3"/>
      <c r="AH438" s="3"/>
      <c r="AI438" s="3"/>
      <c r="AJ438" s="3"/>
      <c r="AK438" s="30"/>
      <c r="AL438" s="30"/>
      <c r="AM438" s="30"/>
      <c r="AN438" s="30"/>
      <c r="AO438" s="30"/>
      <c r="AP438" s="30"/>
    </row>
    <row r="439" spans="2:42" ht="11.1" customHeight="1" x14ac:dyDescent="0.2">
      <c r="B439" s="20" t="s">
        <v>4</v>
      </c>
      <c r="C439" s="126" t="s">
        <v>5</v>
      </c>
      <c r="D439" s="127" t="s">
        <v>6</v>
      </c>
      <c r="E439" s="127" t="s">
        <v>7</v>
      </c>
      <c r="F439" s="128" t="s">
        <v>28</v>
      </c>
      <c r="G439" s="129" t="s">
        <v>14</v>
      </c>
      <c r="H439" s="100" t="s">
        <v>29</v>
      </c>
      <c r="I439" s="149" t="s">
        <v>5</v>
      </c>
      <c r="J439" s="150" t="s">
        <v>6</v>
      </c>
      <c r="K439" s="691"/>
      <c r="L439" s="691"/>
      <c r="M439" s="691"/>
      <c r="N439" s="99" t="s">
        <v>7</v>
      </c>
      <c r="O439" s="151" t="s">
        <v>5</v>
      </c>
      <c r="P439" s="152" t="s">
        <v>6</v>
      </c>
      <c r="Q439" s="155" t="s">
        <v>10</v>
      </c>
      <c r="R439" s="156" t="s">
        <v>28</v>
      </c>
      <c r="S439" s="102" t="s">
        <v>162</v>
      </c>
      <c r="T439" s="151" t="s">
        <v>5</v>
      </c>
      <c r="U439" s="152" t="s">
        <v>6</v>
      </c>
      <c r="V439" s="101" t="s">
        <v>10</v>
      </c>
      <c r="W439" s="7"/>
      <c r="X439" s="7"/>
      <c r="Z439" s="4"/>
      <c r="AB439" s="5"/>
      <c r="AC439" s="30"/>
      <c r="AD439" s="30"/>
      <c r="AE439" s="3"/>
      <c r="AF439" s="3"/>
      <c r="AG439" s="3"/>
      <c r="AH439" s="3"/>
      <c r="AI439" s="3"/>
      <c r="AJ439" s="3"/>
      <c r="AK439" s="30"/>
      <c r="AL439" s="30"/>
      <c r="AM439" s="30"/>
      <c r="AN439" s="30"/>
      <c r="AO439" s="30"/>
      <c r="AP439" s="30"/>
    </row>
    <row r="440" spans="2:42" ht="11.1" customHeight="1" x14ac:dyDescent="0.2">
      <c r="B440" s="21" t="s">
        <v>11</v>
      </c>
      <c r="C440" s="356" t="s">
        <v>12</v>
      </c>
      <c r="D440" s="357" t="s">
        <v>12</v>
      </c>
      <c r="E440" s="357" t="s">
        <v>39</v>
      </c>
      <c r="F440" s="358" t="s">
        <v>12</v>
      </c>
      <c r="G440" s="359" t="s">
        <v>30</v>
      </c>
      <c r="H440" s="360"/>
      <c r="I440" s="361" t="s">
        <v>12</v>
      </c>
      <c r="J440" s="362" t="s">
        <v>12</v>
      </c>
      <c r="K440" s="692"/>
      <c r="L440" s="692"/>
      <c r="M440" s="692"/>
      <c r="N440" s="363" t="s">
        <v>13</v>
      </c>
      <c r="O440" s="364" t="s">
        <v>16</v>
      </c>
      <c r="P440" s="365" t="s">
        <v>16</v>
      </c>
      <c r="Q440" s="366" t="s">
        <v>16</v>
      </c>
      <c r="R440" s="365" t="s">
        <v>16</v>
      </c>
      <c r="S440" s="367" t="s">
        <v>36</v>
      </c>
      <c r="T440" s="364" t="s">
        <v>16</v>
      </c>
      <c r="U440" s="365" t="s">
        <v>16</v>
      </c>
      <c r="V440" s="367" t="s">
        <v>16</v>
      </c>
      <c r="W440" s="7"/>
      <c r="X440" s="7"/>
      <c r="Z440" s="4"/>
      <c r="AB440" s="5"/>
      <c r="AC440" s="30"/>
      <c r="AD440" s="30"/>
      <c r="AE440" s="3"/>
      <c r="AF440" s="3"/>
      <c r="AG440" s="3"/>
      <c r="AH440" s="3"/>
      <c r="AI440" s="3"/>
      <c r="AJ440" s="3"/>
      <c r="AK440" s="30"/>
      <c r="AL440" s="30"/>
      <c r="AM440" s="30"/>
      <c r="AN440" s="30"/>
      <c r="AO440" s="30"/>
      <c r="AP440" s="30"/>
    </row>
    <row r="441" spans="2:42" ht="11.1" customHeight="1" x14ac:dyDescent="0.2">
      <c r="B441" s="586">
        <v>29931</v>
      </c>
      <c r="C441" s="587"/>
      <c r="D441" s="168"/>
      <c r="E441" s="588"/>
      <c r="F441" s="589">
        <f>R441/27</f>
        <v>0.10740740740740741</v>
      </c>
      <c r="G441" s="590">
        <v>2.1</v>
      </c>
      <c r="H441" s="167">
        <f>S441/27</f>
        <v>5.185185185185185E-2</v>
      </c>
      <c r="I441" s="591">
        <f>T441/27</f>
        <v>0.37037037037037035</v>
      </c>
      <c r="J441" s="592">
        <f>U441/27</f>
        <v>425.92592592592592</v>
      </c>
      <c r="K441" s="693"/>
      <c r="L441" s="693"/>
      <c r="M441" s="693"/>
      <c r="N441" s="593">
        <f>V441/27*1000</f>
        <v>137.03703703703704</v>
      </c>
      <c r="O441" s="594"/>
      <c r="P441" s="263"/>
      <c r="Q441" s="265"/>
      <c r="R441" s="263">
        <v>2.9</v>
      </c>
      <c r="S441" s="264">
        <v>1.4</v>
      </c>
      <c r="T441" s="595">
        <v>10</v>
      </c>
      <c r="U441" s="596">
        <v>11500</v>
      </c>
      <c r="V441" s="597">
        <v>3.7</v>
      </c>
      <c r="W441" s="30" t="s">
        <v>258</v>
      </c>
      <c r="X441" s="7"/>
      <c r="Z441" s="4"/>
      <c r="AB441" s="5"/>
      <c r="AC441" s="30"/>
      <c r="AD441" s="30"/>
      <c r="AE441" s="3"/>
      <c r="AF441" s="3"/>
      <c r="AG441" s="3"/>
      <c r="AH441" s="3"/>
      <c r="AI441" s="3"/>
      <c r="AJ441" s="3"/>
      <c r="AK441" s="30"/>
      <c r="AL441" s="30"/>
      <c r="AM441" s="30"/>
      <c r="AN441" s="30"/>
      <c r="AO441" s="30"/>
      <c r="AP441" s="30"/>
    </row>
    <row r="442" spans="2:42" ht="11.1" customHeight="1" x14ac:dyDescent="0.2">
      <c r="B442" s="182">
        <v>29991</v>
      </c>
      <c r="C442" s="198">
        <f>ND代替値</f>
        <v>0.18518518518518517</v>
      </c>
      <c r="D442" s="184">
        <f>P442/27</f>
        <v>407.40740740740739</v>
      </c>
      <c r="E442" s="177">
        <f>Q442/27*1000</f>
        <v>100</v>
      </c>
      <c r="F442" s="197"/>
      <c r="G442" s="184"/>
      <c r="H442" s="598"/>
      <c r="I442" s="183"/>
      <c r="J442" s="184"/>
      <c r="K442" s="694"/>
      <c r="L442" s="694"/>
      <c r="M442" s="694"/>
      <c r="N442" s="598"/>
      <c r="O442" s="599" t="s">
        <v>18</v>
      </c>
      <c r="P442" s="267">
        <v>11000</v>
      </c>
      <c r="Q442" s="450">
        <v>2.7</v>
      </c>
      <c r="R442" s="267"/>
      <c r="S442" s="275"/>
      <c r="T442" s="600"/>
      <c r="U442" s="269"/>
      <c r="V442" s="270"/>
      <c r="W442" s="7"/>
      <c r="X442" s="7"/>
      <c r="Z442" s="4"/>
      <c r="AB442" s="5"/>
      <c r="AC442" s="30"/>
      <c r="AD442" s="30"/>
      <c r="AE442" s="3"/>
      <c r="AF442" s="3"/>
      <c r="AG442" s="3"/>
      <c r="AH442" s="3"/>
      <c r="AI442" s="3"/>
      <c r="AJ442" s="3"/>
      <c r="AK442" s="30"/>
      <c r="AL442" s="30"/>
      <c r="AM442" s="30"/>
      <c r="AN442" s="30"/>
      <c r="AO442" s="30"/>
      <c r="AP442" s="30"/>
    </row>
    <row r="443" spans="2:42" ht="11.1" customHeight="1" x14ac:dyDescent="0.2">
      <c r="B443" s="175">
        <v>30049</v>
      </c>
      <c r="C443" s="198">
        <f>ND代替値</f>
        <v>0.18518518518518517</v>
      </c>
      <c r="D443" s="184">
        <f>P443/27</f>
        <v>295.18518518518516</v>
      </c>
      <c r="E443" s="177">
        <f>Q443/27*1000</f>
        <v>70.370370370370367</v>
      </c>
      <c r="F443" s="179">
        <f>R443/27</f>
        <v>8.5185185185185183E-2</v>
      </c>
      <c r="G443" s="186">
        <v>1.4</v>
      </c>
      <c r="H443" s="181">
        <f>S443/27</f>
        <v>5.9259259259259262E-2</v>
      </c>
      <c r="I443" s="183"/>
      <c r="J443" s="184"/>
      <c r="K443" s="694"/>
      <c r="L443" s="694"/>
      <c r="M443" s="694"/>
      <c r="N443" s="598"/>
      <c r="O443" s="599" t="s">
        <v>18</v>
      </c>
      <c r="P443" s="267">
        <v>7970</v>
      </c>
      <c r="Q443" s="450">
        <v>1.9</v>
      </c>
      <c r="R443" s="267">
        <v>2.2999999999999998</v>
      </c>
      <c r="S443" s="275">
        <v>1.6</v>
      </c>
      <c r="T443" s="600"/>
      <c r="U443" s="269"/>
      <c r="V443" s="270"/>
      <c r="W443" s="7"/>
      <c r="X443" s="7"/>
      <c r="Z443" s="4"/>
      <c r="AB443" s="5"/>
      <c r="AC443" s="30"/>
      <c r="AD443" s="30"/>
      <c r="AE443" s="3"/>
      <c r="AF443" s="3"/>
      <c r="AG443" s="3"/>
      <c r="AH443" s="3"/>
      <c r="AI443" s="3"/>
      <c r="AJ443" s="3"/>
      <c r="AK443" s="30"/>
      <c r="AL443" s="30"/>
      <c r="AM443" s="30"/>
      <c r="AN443" s="30"/>
      <c r="AO443" s="30"/>
      <c r="AP443" s="30"/>
    </row>
    <row r="444" spans="2:42" ht="11.1" customHeight="1" x14ac:dyDescent="0.2">
      <c r="B444" s="175">
        <v>30089</v>
      </c>
      <c r="C444" s="198">
        <f>ND代替値</f>
        <v>0.18518518518518517</v>
      </c>
      <c r="D444" s="184">
        <f>P444/27</f>
        <v>246.2962962962963</v>
      </c>
      <c r="E444" s="177">
        <f>Q444/27*1000</f>
        <v>74.074074074074076</v>
      </c>
      <c r="F444" s="197"/>
      <c r="G444" s="184"/>
      <c r="H444" s="598"/>
      <c r="I444" s="183"/>
      <c r="J444" s="184"/>
      <c r="K444" s="694"/>
      <c r="L444" s="694"/>
      <c r="M444" s="694"/>
      <c r="N444" s="598"/>
      <c r="O444" s="599" t="s">
        <v>18</v>
      </c>
      <c r="P444" s="267">
        <v>6650</v>
      </c>
      <c r="Q444" s="450">
        <v>2</v>
      </c>
      <c r="R444" s="267"/>
      <c r="S444" s="275"/>
      <c r="T444" s="600"/>
      <c r="U444" s="269"/>
      <c r="V444" s="270"/>
      <c r="W444" s="7"/>
      <c r="X444" s="7"/>
      <c r="Z444" s="4"/>
      <c r="AB444" s="5"/>
      <c r="AC444" s="30"/>
      <c r="AD444" s="30"/>
      <c r="AE444" s="3"/>
      <c r="AF444" s="3"/>
      <c r="AG444" s="3"/>
      <c r="AH444" s="3"/>
      <c r="AI444" s="3"/>
      <c r="AJ444" s="3"/>
      <c r="AK444" s="30"/>
      <c r="AL444" s="30"/>
      <c r="AM444" s="30"/>
      <c r="AN444" s="30"/>
      <c r="AO444" s="30"/>
      <c r="AP444" s="30"/>
    </row>
    <row r="445" spans="2:42" ht="11.1" customHeight="1" x14ac:dyDescent="0.2">
      <c r="B445" s="175">
        <v>30243</v>
      </c>
      <c r="C445" s="176">
        <f>O445/27</f>
        <v>0.96296296296296291</v>
      </c>
      <c r="D445" s="184">
        <f>P445/27</f>
        <v>294.07407407407408</v>
      </c>
      <c r="E445" s="177">
        <f>Q445/27*1000</f>
        <v>155.55555555555557</v>
      </c>
      <c r="F445" s="601"/>
      <c r="G445" s="184"/>
      <c r="H445" s="598"/>
      <c r="I445" s="183"/>
      <c r="J445" s="184"/>
      <c r="K445" s="694"/>
      <c r="L445" s="694"/>
      <c r="M445" s="694"/>
      <c r="N445" s="598"/>
      <c r="O445" s="602">
        <v>26</v>
      </c>
      <c r="P445" s="267">
        <v>7940</v>
      </c>
      <c r="Q445" s="450">
        <v>4.2</v>
      </c>
      <c r="R445" s="267"/>
      <c r="S445" s="275"/>
      <c r="T445" s="600"/>
      <c r="U445" s="269"/>
      <c r="V445" s="270"/>
      <c r="W445" s="7"/>
      <c r="X445" s="7"/>
      <c r="Z445" s="4"/>
      <c r="AB445" s="5"/>
      <c r="AC445" s="30"/>
      <c r="AD445" s="30"/>
      <c r="AE445" s="3"/>
      <c r="AF445" s="3"/>
      <c r="AG445" s="3"/>
      <c r="AH445" s="3"/>
      <c r="AI445" s="3"/>
      <c r="AJ445" s="3"/>
      <c r="AK445" s="30"/>
      <c r="AL445" s="30"/>
      <c r="AM445" s="30"/>
      <c r="AN445" s="30"/>
      <c r="AO445" s="30"/>
      <c r="AP445" s="30"/>
    </row>
    <row r="446" spans="2:42" ht="11.1" customHeight="1" x14ac:dyDescent="0.2">
      <c r="B446" s="175">
        <v>30272</v>
      </c>
      <c r="C446" s="183"/>
      <c r="D446" s="184"/>
      <c r="E446" s="177"/>
      <c r="F446" s="180"/>
      <c r="G446" s="184"/>
      <c r="H446" s="598"/>
      <c r="I446" s="198">
        <f>ND代替値</f>
        <v>0.47</v>
      </c>
      <c r="J446" s="184">
        <f>U446/27</f>
        <v>318.14814814814815</v>
      </c>
      <c r="K446" s="694"/>
      <c r="L446" s="694"/>
      <c r="M446" s="694"/>
      <c r="N446" s="598">
        <f>V446/27*1000</f>
        <v>155.55555555555557</v>
      </c>
      <c r="O446" s="600"/>
      <c r="P446" s="269"/>
      <c r="Q446" s="271"/>
      <c r="R446" s="269"/>
      <c r="S446" s="270"/>
      <c r="T446" s="603" t="s">
        <v>18</v>
      </c>
      <c r="U446" s="269">
        <v>8590</v>
      </c>
      <c r="V446" s="270">
        <v>4.2</v>
      </c>
      <c r="W446" s="7"/>
      <c r="X446" s="7"/>
      <c r="Z446" s="4"/>
      <c r="AB446" s="5"/>
      <c r="AC446" s="30"/>
      <c r="AD446" s="30"/>
      <c r="AE446" s="3"/>
      <c r="AF446" s="3"/>
      <c r="AG446" s="3"/>
      <c r="AH446" s="3"/>
      <c r="AI446" s="3"/>
      <c r="AJ446" s="3"/>
      <c r="AK446" s="30"/>
      <c r="AL446" s="30"/>
      <c r="AM446" s="30"/>
      <c r="AN446" s="30"/>
      <c r="AO446" s="30"/>
      <c r="AP446" s="30"/>
    </row>
    <row r="447" spans="2:42" ht="11.1" customHeight="1" x14ac:dyDescent="0.2">
      <c r="B447" s="182">
        <v>30402</v>
      </c>
      <c r="C447" s="198">
        <f>ND代替値</f>
        <v>0.18518518518518517</v>
      </c>
      <c r="D447" s="184">
        <f>P447/27</f>
        <v>275.55555555555554</v>
      </c>
      <c r="E447" s="177">
        <f>Q447/27*1000</f>
        <v>96.296296296296291</v>
      </c>
      <c r="F447" s="197"/>
      <c r="G447" s="184"/>
      <c r="H447" s="598"/>
      <c r="I447" s="183"/>
      <c r="J447" s="184"/>
      <c r="K447" s="694"/>
      <c r="L447" s="694"/>
      <c r="M447" s="694"/>
      <c r="N447" s="598"/>
      <c r="O447" s="599" t="s">
        <v>18</v>
      </c>
      <c r="P447" s="267">
        <v>7440</v>
      </c>
      <c r="Q447" s="450">
        <v>2.6</v>
      </c>
      <c r="R447" s="267"/>
      <c r="S447" s="275"/>
      <c r="T447" s="600"/>
      <c r="U447" s="269"/>
      <c r="V447" s="270"/>
      <c r="W447" s="7"/>
      <c r="X447" s="7"/>
      <c r="Z447" s="4"/>
      <c r="AB447" s="5"/>
      <c r="AC447" s="30"/>
      <c r="AD447" s="30"/>
      <c r="AE447" s="3"/>
      <c r="AF447" s="3"/>
      <c r="AG447" s="3"/>
      <c r="AH447" s="3"/>
      <c r="AI447" s="3"/>
      <c r="AJ447" s="3"/>
      <c r="AK447" s="30"/>
      <c r="AL447" s="30"/>
      <c r="AM447" s="30"/>
      <c r="AN447" s="30"/>
      <c r="AO447" s="30"/>
      <c r="AP447" s="30"/>
    </row>
    <row r="448" spans="2:42" ht="11.1" customHeight="1" x14ac:dyDescent="0.2">
      <c r="B448" s="175">
        <v>30733</v>
      </c>
      <c r="C448" s="198">
        <f>ND代替値</f>
        <v>0.18518518518518517</v>
      </c>
      <c r="D448" s="184">
        <f>P448/27</f>
        <v>329.62962962962962</v>
      </c>
      <c r="E448" s="177">
        <f>Q448/27*1000</f>
        <v>96.296296296296291</v>
      </c>
      <c r="F448" s="197"/>
      <c r="G448" s="184"/>
      <c r="H448" s="598"/>
      <c r="I448" s="183"/>
      <c r="J448" s="184"/>
      <c r="K448" s="694"/>
      <c r="L448" s="694"/>
      <c r="M448" s="694"/>
      <c r="N448" s="598"/>
      <c r="O448" s="599" t="s">
        <v>18</v>
      </c>
      <c r="P448" s="267">
        <v>8900</v>
      </c>
      <c r="Q448" s="450">
        <v>2.6</v>
      </c>
      <c r="R448" s="267"/>
      <c r="S448" s="275"/>
      <c r="T448" s="600"/>
      <c r="U448" s="269"/>
      <c r="V448" s="270"/>
      <c r="W448" s="13"/>
      <c r="X448" s="7"/>
      <c r="Z448" s="14"/>
      <c r="AB448" s="15"/>
      <c r="AC448" s="30"/>
      <c r="AD448" s="30"/>
      <c r="AE448" s="3"/>
      <c r="AF448" s="3"/>
      <c r="AG448" s="3"/>
      <c r="AH448" s="3"/>
      <c r="AI448" s="3"/>
      <c r="AJ448" s="3"/>
      <c r="AK448" s="30"/>
      <c r="AL448" s="30"/>
      <c r="AM448" s="30"/>
      <c r="AN448" s="30"/>
      <c r="AO448" s="30"/>
      <c r="AP448" s="30"/>
    </row>
    <row r="449" spans="2:42" ht="11.1" customHeight="1" x14ac:dyDescent="0.2">
      <c r="B449" s="21">
        <v>31467</v>
      </c>
      <c r="C449" s="115">
        <f>ND代替値</f>
        <v>0.18518518518518517</v>
      </c>
      <c r="D449" s="116">
        <f>P449/27</f>
        <v>381.11111111111109</v>
      </c>
      <c r="E449" s="113">
        <f>Q449/27*1000</f>
        <v>92.592592592592581</v>
      </c>
      <c r="F449" s="117"/>
      <c r="G449" s="116"/>
      <c r="H449" s="36"/>
      <c r="I449" s="112"/>
      <c r="J449" s="116"/>
      <c r="K449" s="695"/>
      <c r="L449" s="695"/>
      <c r="M449" s="695"/>
      <c r="N449" s="36"/>
      <c r="O449" s="154" t="s">
        <v>18</v>
      </c>
      <c r="P449" s="141">
        <v>10290</v>
      </c>
      <c r="Q449" s="157">
        <v>2.5</v>
      </c>
      <c r="R449" s="141"/>
      <c r="S449" s="52"/>
      <c r="T449" s="153"/>
      <c r="U449" s="139"/>
      <c r="V449" s="24"/>
      <c r="W449" s="7"/>
      <c r="X449" s="7"/>
      <c r="Z449" s="4"/>
      <c r="AB449" s="5"/>
      <c r="AC449" s="30"/>
      <c r="AD449" s="30"/>
      <c r="AE449" s="3"/>
      <c r="AF449" s="3"/>
      <c r="AG449" s="3"/>
      <c r="AH449" s="3"/>
      <c r="AI449" s="3"/>
      <c r="AJ449" s="3"/>
      <c r="AK449" s="30"/>
      <c r="AL449" s="30"/>
      <c r="AM449" s="30"/>
      <c r="AN449" s="30"/>
      <c r="AO449" s="30"/>
      <c r="AP449" s="30"/>
    </row>
    <row r="450" spans="2:42" s="39" customFormat="1" ht="11.1" customHeight="1" x14ac:dyDescent="0.2">
      <c r="C450" s="40"/>
      <c r="D450" s="41"/>
      <c r="E450" s="41"/>
      <c r="F450" s="41"/>
      <c r="G450" s="41"/>
      <c r="H450" s="90"/>
      <c r="I450" s="90"/>
      <c r="J450" s="42"/>
      <c r="K450" s="42"/>
      <c r="L450" s="42"/>
      <c r="M450" s="42"/>
      <c r="N450" s="43"/>
      <c r="O450" s="44"/>
      <c r="P450" s="44"/>
      <c r="Q450" s="43"/>
      <c r="R450" s="42"/>
      <c r="S450" s="91"/>
      <c r="T450" s="91"/>
      <c r="U450" s="41"/>
      <c r="V450" s="92"/>
      <c r="W450" s="41"/>
      <c r="X450" s="45"/>
      <c r="Y450" s="45"/>
      <c r="Z450" s="45"/>
      <c r="AA450" s="45"/>
      <c r="AB450" s="43"/>
      <c r="AC450" s="30"/>
      <c r="AD450" s="30"/>
      <c r="AE450" s="3"/>
      <c r="AK450" s="30"/>
      <c r="AL450" s="30"/>
      <c r="AM450" s="30"/>
      <c r="AN450" s="30"/>
      <c r="AO450" s="30"/>
      <c r="AP450" s="30"/>
    </row>
    <row r="451" spans="2:42" s="39" customFormat="1" ht="11.1" customHeight="1" x14ac:dyDescent="0.2">
      <c r="B451" s="644" t="s">
        <v>245</v>
      </c>
      <c r="C451" s="645" t="s">
        <v>246</v>
      </c>
      <c r="D451" s="417"/>
      <c r="E451" s="41"/>
      <c r="F451" s="41"/>
      <c r="G451" s="41"/>
      <c r="H451" s="90"/>
      <c r="I451" s="90"/>
      <c r="J451" s="42"/>
      <c r="K451" s="42"/>
      <c r="L451" s="42"/>
      <c r="M451" s="42"/>
      <c r="N451" s="43"/>
      <c r="O451" s="44"/>
      <c r="P451" s="44"/>
      <c r="Q451" s="43"/>
      <c r="R451" s="42"/>
      <c r="S451" s="91"/>
      <c r="T451" s="91"/>
      <c r="U451" s="41"/>
      <c r="V451" s="92"/>
      <c r="W451" s="41"/>
      <c r="X451" s="45"/>
      <c r="Y451" s="45"/>
      <c r="Z451" s="45"/>
      <c r="AA451" s="45"/>
      <c r="AB451" s="43"/>
      <c r="AC451" s="30"/>
      <c r="AD451" s="30"/>
      <c r="AE451" s="3"/>
      <c r="AK451" s="30"/>
      <c r="AL451" s="30"/>
      <c r="AM451" s="30"/>
      <c r="AN451" s="30"/>
      <c r="AO451" s="30"/>
      <c r="AP451" s="30"/>
    </row>
    <row r="452" spans="2:42" ht="11.1" customHeight="1" x14ac:dyDescent="0.2">
      <c r="B452" s="644" t="s">
        <v>225</v>
      </c>
      <c r="C452" s="645" t="s">
        <v>247</v>
      </c>
      <c r="D452" s="417"/>
      <c r="E452" s="41"/>
      <c r="F452" s="41"/>
      <c r="G452" s="41"/>
      <c r="H452" s="90"/>
      <c r="I452" s="90"/>
      <c r="J452" s="42"/>
      <c r="K452" s="42"/>
      <c r="L452" s="42"/>
      <c r="M452" s="42"/>
      <c r="N452" s="43"/>
      <c r="O452" s="44"/>
      <c r="P452" s="44"/>
      <c r="Q452" s="43"/>
      <c r="R452" s="42"/>
      <c r="S452" s="91"/>
      <c r="T452" s="91"/>
      <c r="U452" s="41"/>
      <c r="V452" s="92"/>
      <c r="W452" s="41"/>
      <c r="X452" s="45"/>
      <c r="Y452" s="45"/>
      <c r="Z452" s="45"/>
      <c r="AA452" s="45"/>
      <c r="AB452" s="43"/>
      <c r="AC452" s="44"/>
      <c r="AD452" s="43"/>
      <c r="AE452" s="5"/>
      <c r="AF452" s="7"/>
      <c r="AI452" s="6"/>
      <c r="AJ452" s="5"/>
      <c r="AK452" s="7"/>
      <c r="AM452" s="45"/>
      <c r="AN452" s="46"/>
      <c r="AO452" s="46"/>
      <c r="AP452" s="46"/>
    </row>
    <row r="453" spans="2:42" ht="11.1" customHeight="1" x14ac:dyDescent="0.2">
      <c r="B453" s="644" t="s">
        <v>226</v>
      </c>
      <c r="C453" s="646" t="s">
        <v>227</v>
      </c>
      <c r="D453" s="417"/>
      <c r="E453" s="41"/>
      <c r="F453" s="41"/>
      <c r="G453" s="41"/>
      <c r="H453" s="90"/>
      <c r="I453" s="90"/>
      <c r="J453" s="42"/>
      <c r="K453" s="42"/>
      <c r="L453" s="42"/>
      <c r="M453" s="42"/>
      <c r="N453" s="43"/>
      <c r="O453" s="44"/>
      <c r="P453" s="44"/>
      <c r="Q453" s="43"/>
      <c r="R453" s="42"/>
      <c r="S453" s="91"/>
      <c r="T453" s="91"/>
      <c r="U453" s="41"/>
      <c r="V453" s="92"/>
      <c r="W453" s="41"/>
      <c r="X453" s="45"/>
      <c r="Y453" s="45"/>
      <c r="Z453" s="45"/>
      <c r="AA453" s="45"/>
      <c r="AB453" s="43"/>
      <c r="AC453" s="44"/>
      <c r="AD453" s="43"/>
      <c r="AE453" s="5"/>
      <c r="AF453" s="7"/>
      <c r="AI453" s="6"/>
      <c r="AJ453" s="5"/>
      <c r="AK453" s="7"/>
      <c r="AM453" s="45"/>
      <c r="AN453" s="46"/>
      <c r="AO453" s="46"/>
      <c r="AP453" s="46"/>
    </row>
    <row r="454" spans="2:42" ht="11.1" customHeight="1" x14ac:dyDescent="0.2">
      <c r="B454" s="644" t="s">
        <v>228</v>
      </c>
      <c r="C454" s="646" t="s">
        <v>229</v>
      </c>
      <c r="D454" s="417"/>
      <c r="E454" s="41"/>
      <c r="F454" s="41"/>
      <c r="G454" s="41"/>
      <c r="H454" s="90"/>
      <c r="I454" s="90"/>
      <c r="J454" s="42"/>
      <c r="K454" s="42"/>
      <c r="L454" s="42"/>
      <c r="M454" s="42"/>
      <c r="N454" s="43"/>
      <c r="O454" s="44"/>
      <c r="P454" s="44"/>
      <c r="Q454" s="43"/>
      <c r="R454" s="42"/>
      <c r="S454" s="91"/>
      <c r="T454" s="91"/>
      <c r="U454" s="41"/>
      <c r="V454" s="92"/>
      <c r="W454" s="41"/>
      <c r="X454" s="45"/>
      <c r="Y454" s="45"/>
      <c r="Z454" s="45"/>
      <c r="AA454" s="45"/>
      <c r="AB454" s="43"/>
      <c r="AC454" s="44"/>
      <c r="AD454" s="43"/>
      <c r="AE454" s="3"/>
      <c r="AF454" s="3"/>
      <c r="AG454" s="3"/>
      <c r="AH454" s="3"/>
      <c r="AI454" s="6"/>
      <c r="AJ454" s="5"/>
      <c r="AK454" s="7"/>
      <c r="AM454" s="45"/>
      <c r="AN454" s="46"/>
      <c r="AO454" s="46"/>
      <c r="AP454" s="46"/>
    </row>
    <row r="455" spans="2:42" ht="11.1" customHeight="1" x14ac:dyDescent="0.2">
      <c r="B455" s="644" t="s">
        <v>230</v>
      </c>
      <c r="C455" s="646" t="s">
        <v>231</v>
      </c>
      <c r="D455" s="417"/>
      <c r="E455" s="41"/>
      <c r="F455" s="41"/>
      <c r="G455" s="41"/>
      <c r="H455" s="90"/>
      <c r="I455" s="41"/>
      <c r="J455" s="90"/>
      <c r="K455" s="90"/>
      <c r="L455" s="90"/>
      <c r="M455" s="90"/>
      <c r="N455" s="43"/>
      <c r="O455" s="44"/>
      <c r="P455" s="44"/>
      <c r="Q455" s="43"/>
      <c r="R455" s="90"/>
      <c r="S455" s="91"/>
      <c r="T455" s="91"/>
      <c r="U455" s="41"/>
      <c r="V455" s="92"/>
      <c r="W455" s="41"/>
      <c r="X455" s="45"/>
      <c r="Y455" s="45"/>
      <c r="Z455" s="45"/>
      <c r="AA455" s="45"/>
      <c r="AB455" s="43"/>
      <c r="AC455" s="44"/>
      <c r="AD455" s="43"/>
      <c r="AE455" s="3"/>
      <c r="AF455" s="3"/>
      <c r="AG455" s="3"/>
      <c r="AH455" s="3"/>
      <c r="AI455" s="6"/>
      <c r="AJ455" s="5"/>
      <c r="AK455" s="7"/>
      <c r="AM455" s="45"/>
      <c r="AN455" s="46"/>
      <c r="AO455" s="46"/>
      <c r="AP455" s="46"/>
    </row>
    <row r="456" spans="2:42" ht="11.1" customHeight="1" x14ac:dyDescent="0.2">
      <c r="B456" s="644" t="s">
        <v>248</v>
      </c>
      <c r="C456" s="646" t="s">
        <v>249</v>
      </c>
      <c r="D456" s="417"/>
      <c r="E456" s="41"/>
      <c r="F456" s="41"/>
      <c r="G456" s="41"/>
      <c r="H456" s="48"/>
      <c r="I456" s="41"/>
      <c r="J456" s="41"/>
      <c r="K456" s="41"/>
      <c r="L456" s="41"/>
      <c r="M456" s="41"/>
      <c r="N456" s="43"/>
      <c r="O456" s="44"/>
      <c r="P456" s="44"/>
      <c r="Q456" s="43"/>
      <c r="R456" s="41"/>
      <c r="S456" s="42"/>
      <c r="T456" s="42"/>
      <c r="U456" s="41"/>
      <c r="V456" s="47"/>
      <c r="W456" s="41"/>
      <c r="X456" s="45"/>
      <c r="Y456" s="45"/>
      <c r="Z456" s="45"/>
      <c r="AA456" s="45"/>
      <c r="AB456" s="43"/>
      <c r="AC456" s="44"/>
      <c r="AD456" s="43"/>
      <c r="AE456" s="3"/>
      <c r="AF456" s="3"/>
      <c r="AG456" s="3"/>
      <c r="AH456" s="3"/>
      <c r="AI456" s="6"/>
      <c r="AJ456" s="5"/>
      <c r="AK456" s="7"/>
      <c r="AM456" s="45"/>
      <c r="AN456" s="46"/>
      <c r="AO456" s="46"/>
      <c r="AP456" s="46"/>
    </row>
    <row r="457" spans="2:42" ht="11.1" customHeight="1" x14ac:dyDescent="0.2">
      <c r="B457" s="644" t="s">
        <v>232</v>
      </c>
      <c r="C457" s="647" t="s">
        <v>250</v>
      </c>
      <c r="E457" s="41"/>
      <c r="F457" s="41"/>
      <c r="G457" s="41"/>
      <c r="H457" s="41"/>
      <c r="I457" s="41"/>
      <c r="J457" s="41"/>
      <c r="K457" s="41"/>
      <c r="L457" s="41"/>
      <c r="M457" s="41"/>
      <c r="N457" s="93"/>
      <c r="O457" s="42"/>
      <c r="P457" s="42"/>
      <c r="Q457" s="41"/>
      <c r="R457" s="93"/>
      <c r="S457" s="41"/>
      <c r="T457" s="41"/>
      <c r="U457" s="41"/>
      <c r="V457" s="92"/>
      <c r="W457" s="41"/>
      <c r="X457" s="45"/>
      <c r="Y457" s="45"/>
      <c r="Z457" s="45"/>
      <c r="AA457" s="45"/>
      <c r="AB457" s="43"/>
      <c r="AC457" s="44"/>
      <c r="AD457" s="43"/>
      <c r="AE457" s="3"/>
      <c r="AF457" s="3"/>
      <c r="AG457" s="3"/>
      <c r="AH457" s="3"/>
      <c r="AI457" s="6"/>
      <c r="AJ457" s="5"/>
      <c r="AK457" s="7"/>
      <c r="AM457" s="45"/>
      <c r="AN457" s="46"/>
      <c r="AO457" s="46"/>
      <c r="AP457" s="46"/>
    </row>
    <row r="458" spans="2:42" ht="11.1" customHeight="1" x14ac:dyDescent="0.2">
      <c r="B458" s="644" t="s">
        <v>233</v>
      </c>
      <c r="C458" s="647" t="s">
        <v>251</v>
      </c>
      <c r="E458" s="41"/>
      <c r="F458" s="41"/>
      <c r="G458" s="41"/>
      <c r="H458" s="41"/>
      <c r="I458" s="41"/>
      <c r="J458" s="41"/>
      <c r="K458" s="41"/>
      <c r="L458" s="41"/>
      <c r="M458" s="41"/>
      <c r="N458" s="93"/>
      <c r="O458" s="42"/>
      <c r="P458" s="42"/>
      <c r="Q458" s="41"/>
      <c r="R458" s="93"/>
      <c r="S458" s="41"/>
      <c r="T458" s="41"/>
      <c r="U458" s="41"/>
      <c r="V458" s="92"/>
      <c r="W458" s="41"/>
      <c r="X458" s="45"/>
      <c r="Y458" s="45"/>
      <c r="Z458" s="45"/>
      <c r="AA458" s="45"/>
      <c r="AB458" s="43"/>
      <c r="AC458" s="44"/>
      <c r="AD458" s="43"/>
      <c r="AE458" s="3"/>
      <c r="AF458" s="3"/>
      <c r="AG458" s="3"/>
      <c r="AH458" s="3"/>
      <c r="AI458" s="6"/>
      <c r="AJ458" s="5"/>
      <c r="AK458" s="7"/>
      <c r="AM458" s="45"/>
      <c r="AN458" s="46"/>
      <c r="AO458" s="46"/>
      <c r="AP458" s="46"/>
    </row>
    <row r="459" spans="2:42" ht="11.1" customHeight="1" x14ac:dyDescent="0.2">
      <c r="B459" s="644" t="s">
        <v>234</v>
      </c>
      <c r="C459" s="646" t="s">
        <v>252</v>
      </c>
      <c r="E459" s="50"/>
      <c r="F459" s="45"/>
      <c r="G459" s="45"/>
      <c r="I459" s="50"/>
      <c r="N459" s="43"/>
      <c r="O459" s="44"/>
      <c r="P459" s="44"/>
      <c r="Q459" s="43"/>
      <c r="R459" s="50"/>
      <c r="S459" s="42"/>
      <c r="T459" s="42"/>
      <c r="U459" s="50"/>
      <c r="V459" s="49"/>
      <c r="W459" s="50"/>
      <c r="X459" s="7"/>
      <c r="Z459" s="30" t="s">
        <v>44</v>
      </c>
      <c r="AC459" s="7"/>
      <c r="AD459" s="43"/>
      <c r="AE459" s="3"/>
      <c r="AF459" s="3"/>
      <c r="AG459" s="3"/>
      <c r="AH459" s="3"/>
      <c r="AI459" s="6"/>
      <c r="AJ459" s="5"/>
      <c r="AK459" s="7"/>
      <c r="AM459" s="45"/>
      <c r="AN459" s="3"/>
      <c r="AO459" s="3"/>
      <c r="AP459" s="3"/>
    </row>
    <row r="460" spans="2:42" ht="11.1" customHeight="1" x14ac:dyDescent="0.2">
      <c r="B460" s="644" t="s">
        <v>235</v>
      </c>
      <c r="C460" s="646" t="s">
        <v>236</v>
      </c>
      <c r="N460" s="4"/>
      <c r="O460" s="5"/>
      <c r="Q460" s="4"/>
      <c r="R460" s="3"/>
      <c r="V460" s="6"/>
      <c r="W460" s="3"/>
      <c r="X460" s="7"/>
      <c r="Z460" s="30" t="s">
        <v>45</v>
      </c>
      <c r="AC460" s="7"/>
      <c r="AD460" s="4"/>
      <c r="AE460" s="5"/>
      <c r="AF460" s="7"/>
      <c r="AI460" s="6"/>
      <c r="AJ460" s="5"/>
      <c r="AK460" s="7"/>
      <c r="AN460" s="3"/>
      <c r="AO460" s="3"/>
      <c r="AP460" s="3"/>
    </row>
    <row r="461" spans="2:42" ht="11.1" customHeight="1" x14ac:dyDescent="0.2">
      <c r="B461" s="644" t="s">
        <v>237</v>
      </c>
      <c r="C461" s="646" t="s">
        <v>238</v>
      </c>
      <c r="N461" s="4"/>
      <c r="O461" s="5"/>
      <c r="Q461" s="4"/>
      <c r="R461" s="3"/>
      <c r="V461" s="6"/>
      <c r="W461" s="3"/>
      <c r="X461" s="7"/>
      <c r="Z461" s="30" t="s">
        <v>46</v>
      </c>
      <c r="AC461" s="7"/>
      <c r="AD461" s="4"/>
      <c r="AE461" s="5"/>
      <c r="AF461" s="7"/>
      <c r="AI461" s="6"/>
      <c r="AJ461" s="5"/>
      <c r="AK461" s="7"/>
      <c r="AN461" s="3"/>
      <c r="AO461" s="3"/>
      <c r="AP461" s="3"/>
    </row>
    <row r="462" spans="2:42" ht="11.1" customHeight="1" x14ac:dyDescent="0.2">
      <c r="B462" s="644" t="s">
        <v>239</v>
      </c>
      <c r="C462" s="647" t="s">
        <v>240</v>
      </c>
      <c r="D462" s="418"/>
      <c r="N462" s="4"/>
      <c r="O462" s="5"/>
      <c r="Q462" s="4"/>
      <c r="R462" s="3"/>
      <c r="V462" s="6"/>
      <c r="W462" s="3"/>
      <c r="X462" s="7"/>
      <c r="Z462" s="30" t="s">
        <v>47</v>
      </c>
      <c r="AC462" s="7"/>
      <c r="AD462" s="4"/>
      <c r="AE462" s="5"/>
      <c r="AF462" s="7"/>
      <c r="AI462" s="6"/>
      <c r="AJ462" s="5"/>
      <c r="AK462" s="7"/>
      <c r="AN462" s="3"/>
      <c r="AO462" s="3"/>
      <c r="AP462" s="3"/>
    </row>
    <row r="463" spans="2:42" ht="11.1" customHeight="1" x14ac:dyDescent="0.2">
      <c r="B463" s="644" t="s">
        <v>241</v>
      </c>
      <c r="C463" s="647" t="s">
        <v>242</v>
      </c>
      <c r="D463" s="420"/>
      <c r="N463" s="4"/>
      <c r="O463" s="5"/>
      <c r="Q463" s="4"/>
      <c r="R463" s="3"/>
      <c r="V463" s="6"/>
      <c r="W463" s="3"/>
      <c r="X463" s="7"/>
      <c r="Z463" s="5" t="s">
        <v>107</v>
      </c>
      <c r="AC463" s="7"/>
      <c r="AD463" s="4"/>
      <c r="AE463" s="5"/>
      <c r="AF463" s="7"/>
      <c r="AI463" s="6"/>
      <c r="AJ463" s="5"/>
      <c r="AK463" s="7"/>
      <c r="AN463" s="3"/>
      <c r="AO463" s="3"/>
      <c r="AP463" s="3"/>
    </row>
    <row r="464" spans="2:42" ht="11.1" customHeight="1" x14ac:dyDescent="0.2">
      <c r="B464" s="644" t="s">
        <v>243</v>
      </c>
      <c r="C464" s="419" t="s">
        <v>244</v>
      </c>
      <c r="D464" s="420"/>
      <c r="N464" s="4"/>
      <c r="O464" s="5"/>
      <c r="Q464" s="4"/>
      <c r="R464" s="3"/>
      <c r="V464" s="6"/>
      <c r="W464" s="3"/>
      <c r="X464" s="7"/>
      <c r="Z464" s="5" t="s">
        <v>216</v>
      </c>
      <c r="AC464" s="7"/>
      <c r="AD464" s="4"/>
      <c r="AE464" s="5"/>
      <c r="AF464" s="7"/>
      <c r="AI464" s="6"/>
      <c r="AJ464" s="5"/>
      <c r="AK464" s="7"/>
      <c r="AN464" s="3"/>
      <c r="AO464" s="3"/>
      <c r="AP464" s="3"/>
    </row>
    <row r="465" spans="2:42" ht="11.1" customHeight="1" x14ac:dyDescent="0.2">
      <c r="B465" s="94"/>
      <c r="C465" s="87"/>
      <c r="N465" s="4"/>
      <c r="O465" s="5"/>
      <c r="Q465" s="4"/>
      <c r="R465" s="3"/>
      <c r="V465" s="6"/>
      <c r="W465" s="3"/>
      <c r="X465" s="7"/>
      <c r="AB465" s="4"/>
      <c r="AC465" s="5"/>
      <c r="AD465" s="4"/>
      <c r="AE465" s="5"/>
      <c r="AF465" s="7"/>
      <c r="AI465" s="6"/>
      <c r="AJ465" s="5"/>
      <c r="AK465" s="7"/>
      <c r="AN465" s="3"/>
      <c r="AO465" s="3"/>
      <c r="AP465" s="3"/>
    </row>
    <row r="466" spans="2:42" ht="11.1" customHeight="1" x14ac:dyDescent="0.2">
      <c r="B466" s="3"/>
      <c r="N466" s="4"/>
      <c r="O466" s="5"/>
      <c r="Q466" s="4"/>
      <c r="R466" s="3"/>
      <c r="V466" s="88"/>
      <c r="W466" s="3"/>
      <c r="X466" s="7"/>
      <c r="AB466" s="4"/>
      <c r="AC466" s="5"/>
      <c r="AD466" s="4"/>
      <c r="AE466" s="5"/>
      <c r="AF466" s="7"/>
      <c r="AI466" s="6"/>
      <c r="AJ466" s="5"/>
      <c r="AK466" s="7"/>
      <c r="AN466" s="3"/>
      <c r="AO466" s="3"/>
      <c r="AP466" s="3"/>
    </row>
    <row r="467" spans="2:42" ht="11.1" customHeight="1" x14ac:dyDescent="0.2">
      <c r="B467" s="54" t="s">
        <v>49</v>
      </c>
      <c r="O467" s="3"/>
      <c r="P467" s="3"/>
      <c r="Q467" s="4"/>
      <c r="R467" s="3"/>
      <c r="V467" s="6"/>
      <c r="W467" s="3"/>
      <c r="X467" s="7"/>
      <c r="AB467" s="4"/>
      <c r="AC467" s="5"/>
      <c r="AD467" s="4"/>
      <c r="AE467" s="5"/>
      <c r="AF467" s="7"/>
      <c r="AI467" s="6"/>
      <c r="AJ467" s="5"/>
      <c r="AK467" s="7"/>
      <c r="AN467" s="3"/>
      <c r="AO467" s="3"/>
      <c r="AP467" s="3"/>
    </row>
    <row r="468" spans="2:42" ht="11.1" customHeight="1" x14ac:dyDescent="0.2">
      <c r="B468" s="60"/>
      <c r="C468" s="61" t="s">
        <v>51</v>
      </c>
      <c r="D468" s="64" t="s">
        <v>52</v>
      </c>
      <c r="E468" s="65"/>
      <c r="F468" s="65"/>
      <c r="G468" s="63"/>
      <c r="H468" s="64" t="s">
        <v>53</v>
      </c>
      <c r="I468" s="65"/>
      <c r="J468" s="65"/>
      <c r="K468" s="64" t="s">
        <v>54</v>
      </c>
      <c r="L468" s="65"/>
      <c r="M468" s="66"/>
      <c r="O468" s="3"/>
      <c r="P468" s="3"/>
      <c r="Q468" s="4"/>
      <c r="R468" s="3"/>
      <c r="V468" s="13" t="s">
        <v>8</v>
      </c>
      <c r="W468" s="15"/>
      <c r="X468" s="15"/>
      <c r="Y468" s="15" t="s">
        <v>9</v>
      </c>
      <c r="Z468" s="5"/>
      <c r="AA468" s="5"/>
      <c r="AB468" s="5"/>
      <c r="AE468" s="7"/>
      <c r="AF468" s="7"/>
      <c r="AI468" s="6"/>
      <c r="AJ468" s="5"/>
      <c r="AK468" s="7"/>
      <c r="AN468" s="3"/>
      <c r="AO468" s="3"/>
      <c r="AP468" s="3"/>
    </row>
    <row r="469" spans="2:42" ht="11.1" customHeight="1" x14ac:dyDescent="0.2">
      <c r="B469" s="62"/>
      <c r="C469" s="70">
        <v>40945</v>
      </c>
      <c r="D469" s="71">
        <v>40737</v>
      </c>
      <c r="E469" s="72">
        <v>40784</v>
      </c>
      <c r="F469" s="72">
        <v>40858</v>
      </c>
      <c r="G469" s="73">
        <v>40948</v>
      </c>
      <c r="H469" s="71">
        <v>40781</v>
      </c>
      <c r="I469" s="72">
        <v>40858</v>
      </c>
      <c r="J469" s="72">
        <v>40948</v>
      </c>
      <c r="K469" s="71">
        <v>40778</v>
      </c>
      <c r="L469" s="72">
        <v>40856</v>
      </c>
      <c r="M469" s="73">
        <v>40952</v>
      </c>
      <c r="O469" s="3"/>
      <c r="P469" s="3"/>
      <c r="Q469" s="4"/>
      <c r="R469" s="3"/>
      <c r="V469" s="22"/>
      <c r="W469" s="106" t="s">
        <v>5</v>
      </c>
      <c r="X469" s="106" t="s">
        <v>6</v>
      </c>
      <c r="Y469" s="106" t="s">
        <v>7</v>
      </c>
      <c r="Z469" s="107" t="s">
        <v>14</v>
      </c>
      <c r="AA469" s="667" t="s">
        <v>15</v>
      </c>
      <c r="AB469" s="5"/>
      <c r="AC469" s="7"/>
      <c r="AD469" s="7"/>
      <c r="AI469" s="6"/>
      <c r="AJ469" s="5"/>
      <c r="AK469" s="7"/>
      <c r="AN469" s="3"/>
      <c r="AO469" s="3"/>
      <c r="AP469" s="3"/>
    </row>
    <row r="470" spans="2:42" ht="11.1" customHeight="1" x14ac:dyDescent="0.2">
      <c r="B470" s="565" t="s">
        <v>48</v>
      </c>
      <c r="C470" s="566">
        <v>8.8999999999999996E-2</v>
      </c>
      <c r="D470" s="567">
        <v>0.9</v>
      </c>
      <c r="E470" s="568">
        <v>0.57999999999999996</v>
      </c>
      <c r="F470" s="568">
        <v>0.33</v>
      </c>
      <c r="G470" s="569"/>
      <c r="H470" s="567">
        <v>0.55000000000000004</v>
      </c>
      <c r="I470" s="568">
        <v>0.27</v>
      </c>
      <c r="J470" s="568"/>
      <c r="K470" s="567">
        <v>0.38</v>
      </c>
      <c r="L470" s="568">
        <v>0.56999999999999995</v>
      </c>
      <c r="M470" s="570">
        <v>0.18</v>
      </c>
      <c r="O470" s="3"/>
      <c r="P470" s="3"/>
      <c r="Q470" s="4"/>
      <c r="R470" s="3"/>
      <c r="V470" s="582" t="s">
        <v>17</v>
      </c>
      <c r="W470" s="671" t="e">
        <f>(SUM(#REF!)+MIN(#REF!)/2)/COUNTA(#REF!)</f>
        <v>#REF!</v>
      </c>
      <c r="X470" s="672" t="e">
        <f>(SUM(#REF!)+MIN(#REF!)/2)/COUNTA(#REF!)</f>
        <v>#REF!</v>
      </c>
      <c r="Y470" s="673" t="e">
        <f>(SUM(#REF!)+MIN(#REF!)/2)/COUNTA(#REF!)</f>
        <v>#REF!</v>
      </c>
      <c r="Z470" s="674"/>
      <c r="AA470" s="668" t="e">
        <f t="shared" ref="AA470:AA475" si="137">X470/W470</f>
        <v>#REF!</v>
      </c>
      <c r="AB470" s="5"/>
      <c r="AC470" s="7"/>
      <c r="AD470" s="7"/>
      <c r="AI470" s="6"/>
      <c r="AJ470" s="5"/>
      <c r="AK470" s="7"/>
      <c r="AN470" s="3"/>
      <c r="AO470" s="3"/>
      <c r="AP470" s="3"/>
    </row>
    <row r="471" spans="2:42" ht="11.1" customHeight="1" x14ac:dyDescent="0.2">
      <c r="B471" s="571" t="s">
        <v>112</v>
      </c>
      <c r="C471" s="506">
        <v>74</v>
      </c>
      <c r="D471" s="227"/>
      <c r="E471" s="228"/>
      <c r="F471" s="228"/>
      <c r="G471" s="506"/>
      <c r="H471" s="227"/>
      <c r="I471" s="228"/>
      <c r="J471" s="506"/>
      <c r="K471" s="227"/>
      <c r="L471" s="228"/>
      <c r="M471" s="506"/>
      <c r="O471" s="3"/>
      <c r="P471" s="3"/>
      <c r="Q471" s="4"/>
      <c r="R471" s="3"/>
      <c r="V471" s="583" t="s">
        <v>19</v>
      </c>
      <c r="W471" s="675">
        <f>(SUM(C197:C383)+MIN(C197:C383)/2*(COUNTIF(C197:C383,"-")))/COUNTA(C197:C383)</f>
        <v>0.66809116809116831</v>
      </c>
      <c r="X471" s="676">
        <f>(SUM(D197:D383)+MIN(D197:D383)/2*(COUNTIF(D197:D383,"-")))/COUNTA(D197:D383)</f>
        <v>346.49753949753949</v>
      </c>
      <c r="Y471" s="677">
        <f>(SUM(F197:F383)+MIN(F197:F383)/2*(COUNTIF(F197:F383,"-")))/COUNTA(F197:F383)</f>
        <v>9.492471331664816E-2</v>
      </c>
      <c r="Z471" s="678">
        <f>(SUM(I197:I383)+MIN(I197:I383)/2*(COUNTIF(I197:I383,"-")))/COUNTA(I197:I383)</f>
        <v>1.9011594202898543</v>
      </c>
      <c r="AA471" s="669">
        <f t="shared" si="137"/>
        <v>518.63810816049602</v>
      </c>
      <c r="AB471" s="5"/>
      <c r="AC471" s="7"/>
      <c r="AD471" s="7"/>
      <c r="AI471" s="6"/>
      <c r="AJ471" s="5"/>
      <c r="AK471" s="7"/>
      <c r="AN471" s="3"/>
      <c r="AO471" s="3"/>
      <c r="AP471" s="3"/>
    </row>
    <row r="472" spans="2:42" ht="11.1" customHeight="1" x14ac:dyDescent="0.2">
      <c r="B472" s="555" t="s">
        <v>113</v>
      </c>
      <c r="C472" s="556">
        <v>140</v>
      </c>
      <c r="D472" s="557"/>
      <c r="E472" s="558"/>
      <c r="F472" s="558"/>
      <c r="G472" s="556"/>
      <c r="H472" s="557"/>
      <c r="I472" s="558"/>
      <c r="J472" s="556"/>
      <c r="K472" s="557"/>
      <c r="L472" s="558"/>
      <c r="M472" s="556"/>
      <c r="O472" s="3"/>
      <c r="P472" s="3"/>
      <c r="Q472" s="4"/>
      <c r="R472" s="3"/>
      <c r="V472" s="584" t="s">
        <v>20</v>
      </c>
      <c r="W472" s="675">
        <f>(SUM(W197:W383)+MIN(W197:W383)/2*(COUNTA(W197:W383)-COUNT(W197:W383)))/COUNTA(W197:W383)</f>
        <v>0.53085871056241374</v>
      </c>
      <c r="X472" s="676">
        <f>(SUM(X197:X383)+MIN(X197:X383)/2*(COUNTA(X197:X383)-COUNT(X197:X383)))/COUNTA(X197:X383)</f>
        <v>354.11577503429362</v>
      </c>
      <c r="Y472" s="677">
        <f>(SUM(Z197:Z383)+MIN(Z197:Z383)/2*(COUNTA(Z197:Z383)-COUNT(Z197:Z383)))/COUNTA(Z197:Z383)</f>
        <v>0.37136166237732909</v>
      </c>
      <c r="Z472" s="678">
        <f>(SUM(AC197:AC383)+MIN(AC197:AC383)/2*(COUNTA(AC197:AC383)-COUNT(AC197:AC383)))/COUNTA(AC197:AC383)</f>
        <v>1.8357142857142856</v>
      </c>
      <c r="AA472" s="669">
        <f t="shared" si="137"/>
        <v>667.06219185728094</v>
      </c>
      <c r="AB472" s="5"/>
      <c r="AC472" s="7"/>
      <c r="AD472" s="7"/>
      <c r="AI472" s="6"/>
      <c r="AJ472" s="5"/>
      <c r="AK472" s="7"/>
      <c r="AN472" s="3"/>
      <c r="AO472" s="3"/>
      <c r="AP472" s="3"/>
    </row>
    <row r="473" spans="2:42" ht="11.1" customHeight="1" x14ac:dyDescent="0.2">
      <c r="B473" s="3"/>
      <c r="K473" s="4"/>
      <c r="L473" s="5"/>
      <c r="M473" s="5"/>
      <c r="O473" s="3"/>
      <c r="P473" s="3"/>
      <c r="Q473" s="4"/>
      <c r="R473" s="3"/>
      <c r="V473" s="583" t="s">
        <v>21</v>
      </c>
      <c r="W473" s="675" t="e">
        <f>(SUM(#REF!)+MIN(#REF!)/2*(COUNTA(#REF!)-COUNT(#REF!)))/COUNTA(#REF!)</f>
        <v>#REF!</v>
      </c>
      <c r="X473" s="676" t="e">
        <f>(SUM(#REF!)+MIN(#REF!)/2*(COUNTA(#REF!)-COUNT(#REF!)))/COUNTA(#REF!)</f>
        <v>#REF!</v>
      </c>
      <c r="Y473" s="677" t="e">
        <f>(SUM(U197:U317)+MIN(U197:U317)/2*(COUNTA(U197:U317)-COUNT(U197:U317)))/COUNTA(U197:U317)</f>
        <v>#DIV/0!</v>
      </c>
      <c r="Z473" s="679"/>
      <c r="AA473" s="669" t="e">
        <f t="shared" si="137"/>
        <v>#REF!</v>
      </c>
      <c r="AB473" s="5"/>
      <c r="AC473" s="7"/>
      <c r="AD473" s="7"/>
      <c r="AI473" s="6"/>
      <c r="AJ473" s="5"/>
      <c r="AK473" s="7"/>
      <c r="AN473" s="3"/>
      <c r="AO473" s="3"/>
      <c r="AP473" s="3"/>
    </row>
    <row r="474" spans="2:42" ht="11.1" customHeight="1" x14ac:dyDescent="0.2">
      <c r="B474" s="54" t="s">
        <v>50</v>
      </c>
      <c r="C474" s="48"/>
      <c r="D474" s="48"/>
      <c r="E474" s="57"/>
      <c r="F474" s="58"/>
      <c r="G474" s="59"/>
      <c r="H474" s="48"/>
      <c r="I474" s="57"/>
      <c r="J474" s="58"/>
      <c r="K474" s="48"/>
      <c r="L474" s="57"/>
      <c r="M474" s="58"/>
      <c r="O474" s="3"/>
      <c r="P474" s="3"/>
      <c r="Q474" s="4"/>
      <c r="R474" s="3"/>
      <c r="V474" s="585" t="s">
        <v>22</v>
      </c>
      <c r="W474" s="675">
        <f>(SUM(AE326:AE328)+MIN(AE326:AE328)/2*(COUNTA(AE326:AE328)-COUNT(AE326:AE328)))/COUNTA(AE326:AE328)</f>
        <v>0</v>
      </c>
      <c r="X474" s="676" t="e">
        <f>(SUM(AF326:AF328)+MIN(AF326:AF328)/2*(COUNTA(AF326:AF328)-COUNT(AF326:AF328)))/COUNTA(AF326:AF328)</f>
        <v>#DIV/0!</v>
      </c>
      <c r="Y474" s="677" t="e">
        <f>(SUM(AH326:AH328)+MIN(AH326:AH328)/2*(COUNTA(AH326:AH328)-COUNT(AH326:AH328)))/COUNTA(AH326:AH328)</f>
        <v>#DIV/0!</v>
      </c>
      <c r="Z474" s="679"/>
      <c r="AA474" s="669" t="e">
        <f t="shared" si="137"/>
        <v>#DIV/0!</v>
      </c>
      <c r="AB474" s="5"/>
      <c r="AC474" s="7"/>
      <c r="AD474" s="7"/>
      <c r="AI474" s="6"/>
      <c r="AJ474" s="5"/>
      <c r="AK474" s="7"/>
      <c r="AN474" s="3"/>
      <c r="AO474" s="3"/>
      <c r="AP474" s="3"/>
    </row>
    <row r="475" spans="2:42" ht="11.1" customHeight="1" x14ac:dyDescent="0.2">
      <c r="B475" s="60"/>
      <c r="C475" s="61" t="s">
        <v>51</v>
      </c>
      <c r="D475" s="64" t="s">
        <v>52</v>
      </c>
      <c r="E475" s="65"/>
      <c r="F475" s="65"/>
      <c r="G475" s="63"/>
      <c r="H475" s="64" t="s">
        <v>53</v>
      </c>
      <c r="I475" s="65"/>
      <c r="J475" s="65"/>
      <c r="K475" s="64" t="s">
        <v>54</v>
      </c>
      <c r="L475" s="65"/>
      <c r="M475" s="66"/>
      <c r="O475" s="3"/>
      <c r="P475" s="3"/>
      <c r="Q475" s="4"/>
      <c r="R475" s="3"/>
      <c r="V475" s="564" t="s">
        <v>23</v>
      </c>
      <c r="W475" s="680" t="e">
        <f>(SUM(AJ326:AJ328)+MIN(AJ326:AJ328)/2*(COUNTA(AJ326:AJ328)-COUNT(AJ326:AJ328)))/COUNTA(AJ326:AJ328)</f>
        <v>#DIV/0!</v>
      </c>
      <c r="X475" s="681" t="e">
        <f>(SUM(AK326:AK328)+MIN(AK326:AK328)/2*(COUNTA(AK326:AK328)-COUNT(AK326:AK328)))/COUNTA(AK326:AK328)</f>
        <v>#DIV/0!</v>
      </c>
      <c r="Y475" s="682" t="e">
        <f>(SUM(AM326:AM328)+MIN(AM326:AM328)/2*(COUNTA(AM326:AM328)-COUNT(AM326:AM328)))/COUNTA(AM326:AM328)</f>
        <v>#DIV/0!</v>
      </c>
      <c r="Z475" s="683"/>
      <c r="AA475" s="670" t="e">
        <f t="shared" si="137"/>
        <v>#DIV/0!</v>
      </c>
      <c r="AB475" s="5"/>
      <c r="AC475" s="7"/>
      <c r="AD475" s="7"/>
      <c r="AI475" s="6"/>
      <c r="AJ475" s="5"/>
      <c r="AK475" s="7"/>
      <c r="AN475" s="3"/>
      <c r="AO475" s="3"/>
      <c r="AP475" s="3"/>
    </row>
    <row r="476" spans="2:42" ht="11.1" customHeight="1" x14ac:dyDescent="0.2">
      <c r="B476" s="62"/>
      <c r="C476" s="70">
        <v>40945</v>
      </c>
      <c r="D476" s="71">
        <v>40737</v>
      </c>
      <c r="E476" s="72">
        <v>40784</v>
      </c>
      <c r="F476" s="72">
        <v>40858</v>
      </c>
      <c r="G476" s="73">
        <v>40948</v>
      </c>
      <c r="H476" s="71">
        <v>40781</v>
      </c>
      <c r="I476" s="72">
        <v>40858</v>
      </c>
      <c r="J476" s="72">
        <v>40948</v>
      </c>
      <c r="K476" s="71">
        <v>40778</v>
      </c>
      <c r="L476" s="72">
        <v>40856</v>
      </c>
      <c r="M476" s="73">
        <v>40952</v>
      </c>
      <c r="O476" s="3"/>
      <c r="P476" s="3"/>
      <c r="Q476" s="4"/>
      <c r="R476" s="3"/>
      <c r="V476" s="26" t="s">
        <v>24</v>
      </c>
      <c r="W476" s="26"/>
      <c r="X476" s="15"/>
      <c r="Y476" s="15"/>
      <c r="Z476" s="5"/>
      <c r="AA476" s="5"/>
      <c r="AB476" s="5"/>
      <c r="AC476" s="7"/>
      <c r="AD476" s="7"/>
      <c r="AI476" s="6"/>
      <c r="AJ476" s="5"/>
      <c r="AK476" s="7"/>
      <c r="AN476" s="3"/>
      <c r="AO476" s="3"/>
      <c r="AP476" s="3"/>
    </row>
    <row r="477" spans="2:42" ht="11.1" customHeight="1" x14ac:dyDescent="0.2">
      <c r="B477" s="572" t="s">
        <v>83</v>
      </c>
      <c r="C477" s="573">
        <v>0.21</v>
      </c>
      <c r="D477" s="574">
        <v>3.3</v>
      </c>
      <c r="E477" s="575">
        <v>1.34</v>
      </c>
      <c r="F477" s="575">
        <v>0.53</v>
      </c>
      <c r="G477" s="576">
        <v>0.19800000000000001</v>
      </c>
      <c r="H477" s="574">
        <v>1.1399999999999999</v>
      </c>
      <c r="I477" s="575">
        <v>0.56000000000000005</v>
      </c>
      <c r="J477" s="575">
        <v>0.43</v>
      </c>
      <c r="K477" s="574">
        <v>8.6999999999999993</v>
      </c>
      <c r="L477" s="575">
        <v>3.79</v>
      </c>
      <c r="M477" s="576">
        <v>0.66</v>
      </c>
      <c r="O477" s="3"/>
      <c r="P477" s="3"/>
      <c r="Q477" s="4"/>
      <c r="R477" s="3"/>
      <c r="V477" s="6"/>
      <c r="W477" s="3"/>
      <c r="X477" s="7"/>
      <c r="AA477" s="5"/>
      <c r="AB477" s="5"/>
      <c r="AC477" s="5"/>
      <c r="AD477" s="7"/>
      <c r="AF477" s="7"/>
      <c r="AI477" s="6"/>
      <c r="AJ477" s="5"/>
      <c r="AK477" s="7"/>
      <c r="AN477" s="3"/>
      <c r="AO477" s="3"/>
      <c r="AP477" s="3"/>
    </row>
    <row r="478" spans="2:42" ht="11.1" customHeight="1" x14ac:dyDescent="0.2">
      <c r="B478" s="577" t="s">
        <v>7</v>
      </c>
      <c r="C478" s="578">
        <v>0.3</v>
      </c>
      <c r="D478" s="579">
        <v>3.89</v>
      </c>
      <c r="E478" s="580">
        <v>1.76</v>
      </c>
      <c r="F478" s="580">
        <v>0.71</v>
      </c>
      <c r="G478" s="581">
        <v>0.34</v>
      </c>
      <c r="H478" s="579">
        <v>1.39</v>
      </c>
      <c r="I478" s="580">
        <v>0.79</v>
      </c>
      <c r="J478" s="580">
        <v>0.65</v>
      </c>
      <c r="K478" s="579">
        <v>10.3</v>
      </c>
      <c r="L478" s="580">
        <v>4.72</v>
      </c>
      <c r="M478" s="581">
        <v>0.84</v>
      </c>
      <c r="O478" s="3"/>
      <c r="P478" s="3"/>
      <c r="Q478" s="4"/>
      <c r="R478" s="3"/>
      <c r="V478" s="6"/>
      <c r="W478" s="3"/>
      <c r="X478" s="7"/>
      <c r="AA478" s="4"/>
      <c r="AB478" s="5"/>
      <c r="AE478" s="7"/>
      <c r="AF478" s="7"/>
      <c r="AI478" s="6"/>
      <c r="AJ478" s="5"/>
      <c r="AK478" s="7"/>
      <c r="AN478" s="3"/>
      <c r="AO478" s="3"/>
      <c r="AP478" s="3"/>
    </row>
    <row r="479" spans="2:42" ht="11.1" customHeight="1" x14ac:dyDescent="0.2">
      <c r="B479" s="559" t="s">
        <v>48</v>
      </c>
      <c r="C479" s="560"/>
      <c r="D479" s="561">
        <v>1.0900000000000001</v>
      </c>
      <c r="E479" s="562">
        <v>0.72</v>
      </c>
      <c r="F479" s="562">
        <v>0.22</v>
      </c>
      <c r="G479" s="563"/>
      <c r="H479" s="561">
        <v>0.56000000000000005</v>
      </c>
      <c r="I479" s="562">
        <v>0.36</v>
      </c>
      <c r="J479" s="562"/>
      <c r="K479" s="561">
        <v>0.52</v>
      </c>
      <c r="L479" s="562">
        <v>0.5</v>
      </c>
      <c r="M479" s="563">
        <v>0.14000000000000001</v>
      </c>
      <c r="O479" s="3"/>
      <c r="P479" s="3"/>
      <c r="Q479" s="4"/>
      <c r="R479" s="3"/>
      <c r="V479" s="6"/>
      <c r="W479" s="3"/>
      <c r="X479" s="7"/>
      <c r="AB479" s="4"/>
      <c r="AC479" s="5"/>
      <c r="AD479" s="4"/>
      <c r="AE479" s="5"/>
      <c r="AF479" s="7"/>
      <c r="AI479" s="6"/>
      <c r="AJ479" s="5"/>
      <c r="AK479" s="7"/>
      <c r="AN479" s="3"/>
      <c r="AO479" s="3"/>
      <c r="AP479" s="3"/>
    </row>
    <row r="480" spans="2:42" ht="11.1" customHeight="1" x14ac:dyDescent="0.2">
      <c r="B480" s="3"/>
      <c r="N480" s="4"/>
      <c r="O480" s="5"/>
      <c r="Q480" s="4"/>
      <c r="R480" s="3"/>
      <c r="V480" s="6"/>
      <c r="W480" s="3"/>
      <c r="X480" s="7"/>
      <c r="AB480" s="4"/>
      <c r="AC480" s="5"/>
      <c r="AD480" s="4"/>
      <c r="AE480" s="5"/>
      <c r="AF480" s="7"/>
      <c r="AI480" s="6"/>
      <c r="AJ480" s="5"/>
      <c r="AK480" s="7"/>
      <c r="AN480" s="3"/>
      <c r="AO480" s="3"/>
      <c r="AP480" s="3"/>
    </row>
    <row r="481" spans="2:42" ht="11.1" customHeight="1" x14ac:dyDescent="0.2">
      <c r="B481" s="3"/>
      <c r="N481" s="4"/>
      <c r="O481" s="5"/>
      <c r="Q481" s="4"/>
      <c r="R481" s="3"/>
      <c r="V481" s="6"/>
      <c r="W481" s="3"/>
      <c r="X481" s="7"/>
      <c r="AB481" s="4"/>
      <c r="AC481" s="5"/>
      <c r="AD481" s="4"/>
      <c r="AE481" s="5"/>
      <c r="AF481" s="7"/>
      <c r="AI481" s="6"/>
      <c r="AJ481" s="5"/>
      <c r="AK481" s="7"/>
      <c r="AN481" s="3"/>
      <c r="AO481" s="3"/>
      <c r="AP481" s="3"/>
    </row>
    <row r="482" spans="2:42" ht="11.1" customHeight="1" x14ac:dyDescent="0.2">
      <c r="B482" s="663" t="s">
        <v>61</v>
      </c>
      <c r="C482" s="815">
        <v>41046</v>
      </c>
      <c r="D482" s="817"/>
      <c r="E482" s="664" t="s">
        <v>84</v>
      </c>
      <c r="F482" s="665"/>
      <c r="G482" s="5"/>
      <c r="H482" s="5"/>
      <c r="I482" s="5"/>
      <c r="J482" s="5"/>
      <c r="K482" s="5"/>
      <c r="L482" s="5"/>
      <c r="M482" s="5"/>
      <c r="N482" s="5"/>
      <c r="O482" s="5"/>
      <c r="R482" s="3"/>
      <c r="V482" s="6"/>
      <c r="W482" s="3"/>
      <c r="X482" s="7"/>
      <c r="AB482" s="4"/>
      <c r="AC482" s="5"/>
      <c r="AD482" s="4"/>
      <c r="AE482" s="5"/>
      <c r="AF482" s="7"/>
      <c r="AI482" s="6"/>
      <c r="AJ482" s="5"/>
      <c r="AK482" s="7"/>
      <c r="AN482" s="3"/>
      <c r="AO482" s="3"/>
      <c r="AP482" s="3"/>
    </row>
    <row r="483" spans="2:42" ht="11.1" customHeight="1" x14ac:dyDescent="0.2">
      <c r="B483" s="663" t="s">
        <v>61</v>
      </c>
      <c r="C483" s="815">
        <v>41128</v>
      </c>
      <c r="D483" s="817"/>
      <c r="E483" s="664" t="s">
        <v>90</v>
      </c>
      <c r="F483" s="665"/>
      <c r="G483" s="5"/>
      <c r="H483" s="5"/>
      <c r="I483" s="5"/>
      <c r="J483" s="5"/>
      <c r="K483" s="5"/>
      <c r="L483" s="5"/>
      <c r="M483" s="5"/>
      <c r="N483" s="5"/>
      <c r="O483" s="5"/>
      <c r="R483" s="3"/>
      <c r="V483" s="6"/>
      <c r="W483" s="3"/>
      <c r="X483" s="7"/>
      <c r="AB483" s="4"/>
      <c r="AC483" s="5"/>
      <c r="AD483" s="4"/>
      <c r="AE483" s="5"/>
      <c r="AF483" s="7"/>
      <c r="AI483" s="6"/>
      <c r="AJ483" s="5"/>
      <c r="AK483" s="7"/>
      <c r="AN483" s="3"/>
      <c r="AO483" s="3"/>
      <c r="AP483" s="3"/>
    </row>
    <row r="484" spans="2:42" ht="11.1" customHeight="1" x14ac:dyDescent="0.2">
      <c r="B484" s="663" t="s">
        <v>61</v>
      </c>
      <c r="C484" s="815">
        <v>41234</v>
      </c>
      <c r="D484" s="817"/>
      <c r="E484" s="664" t="s">
        <v>79</v>
      </c>
      <c r="F484" s="665"/>
      <c r="G484" s="5"/>
      <c r="H484" s="5"/>
      <c r="I484" s="5"/>
      <c r="J484" s="5"/>
      <c r="K484" s="5"/>
      <c r="L484" s="5"/>
      <c r="M484" s="5"/>
      <c r="N484" s="5"/>
      <c r="O484" s="5"/>
      <c r="R484" s="3"/>
      <c r="V484" s="6"/>
      <c r="W484" s="3"/>
      <c r="X484" s="7"/>
      <c r="AB484" s="4"/>
      <c r="AC484" s="5"/>
      <c r="AD484" s="4"/>
      <c r="AE484" s="5"/>
      <c r="AF484" s="7"/>
      <c r="AI484" s="6"/>
      <c r="AJ484" s="5"/>
      <c r="AK484" s="7"/>
      <c r="AN484" s="3"/>
      <c r="AO484" s="3"/>
      <c r="AP484" s="3"/>
    </row>
    <row r="485" spans="2:42" ht="11.1" customHeight="1" x14ac:dyDescent="0.2">
      <c r="B485" s="663" t="s">
        <v>61</v>
      </c>
      <c r="C485" s="815">
        <v>41309</v>
      </c>
      <c r="D485" s="817"/>
      <c r="E485" s="664" t="s">
        <v>62</v>
      </c>
      <c r="F485" s="665"/>
      <c r="G485" s="5"/>
      <c r="H485" s="5"/>
      <c r="I485" s="5"/>
      <c r="J485" s="5"/>
      <c r="K485" s="5"/>
      <c r="L485" s="5"/>
      <c r="M485" s="5"/>
      <c r="N485" s="5"/>
      <c r="O485" s="5"/>
      <c r="R485" s="3"/>
      <c r="V485" s="6"/>
      <c r="W485" s="3"/>
      <c r="X485" s="7"/>
      <c r="AB485" s="4"/>
      <c r="AC485" s="5"/>
      <c r="AD485" s="4"/>
      <c r="AE485" s="5"/>
      <c r="AF485" s="7"/>
      <c r="AI485" s="6"/>
      <c r="AJ485" s="5"/>
      <c r="AK485" s="7"/>
      <c r="AN485" s="3"/>
      <c r="AO485" s="3"/>
      <c r="AP485" s="3"/>
    </row>
    <row r="486" spans="2:42" ht="11.1" customHeight="1" x14ac:dyDescent="0.2">
      <c r="B486" s="663" t="s">
        <v>61</v>
      </c>
      <c r="C486" s="815">
        <v>41410</v>
      </c>
      <c r="D486" s="817"/>
      <c r="E486" s="664" t="s">
        <v>91</v>
      </c>
      <c r="F486" s="665"/>
      <c r="G486" s="5"/>
      <c r="H486" s="5"/>
      <c r="I486" s="5"/>
      <c r="J486" s="5"/>
      <c r="K486" s="5"/>
      <c r="L486" s="5"/>
      <c r="M486" s="5"/>
      <c r="N486" s="5"/>
      <c r="O486" s="5"/>
      <c r="R486" s="3"/>
      <c r="V486" s="6"/>
      <c r="W486" s="3"/>
      <c r="X486" s="7"/>
      <c r="AB486" s="4"/>
      <c r="AC486" s="5"/>
      <c r="AD486" s="4"/>
      <c r="AE486" s="5"/>
      <c r="AF486" s="7"/>
      <c r="AI486" s="6"/>
      <c r="AJ486" s="5"/>
      <c r="AK486" s="7"/>
      <c r="AN486" s="3"/>
      <c r="AO486" s="3"/>
      <c r="AP486" s="3"/>
    </row>
    <row r="487" spans="2:42" ht="11.1" customHeight="1" x14ac:dyDescent="0.2">
      <c r="B487" s="663" t="s">
        <v>61</v>
      </c>
      <c r="C487" s="815">
        <v>41498</v>
      </c>
      <c r="D487" s="817"/>
      <c r="E487" s="664" t="s">
        <v>92</v>
      </c>
      <c r="F487" s="665"/>
      <c r="G487" s="5"/>
      <c r="H487" s="5"/>
      <c r="I487" s="5"/>
      <c r="J487" s="5"/>
      <c r="K487" s="5"/>
      <c r="L487" s="5"/>
      <c r="M487" s="5"/>
      <c r="N487" s="5"/>
      <c r="O487" s="5"/>
      <c r="R487" s="3"/>
      <c r="V487" s="6"/>
      <c r="W487" s="3"/>
      <c r="X487" s="7"/>
      <c r="AB487" s="4"/>
      <c r="AC487" s="5"/>
      <c r="AD487" s="4"/>
      <c r="AE487" s="5"/>
      <c r="AF487" s="7"/>
      <c r="AI487" s="6"/>
      <c r="AJ487" s="5"/>
      <c r="AK487" s="7"/>
      <c r="AN487" s="3"/>
      <c r="AO487" s="3"/>
      <c r="AP487" s="3"/>
    </row>
    <row r="488" spans="2:42" ht="11.1" customHeight="1" x14ac:dyDescent="0.2">
      <c r="B488" s="663" t="s">
        <v>61</v>
      </c>
      <c r="C488" s="815">
        <v>41592</v>
      </c>
      <c r="D488" s="817"/>
      <c r="E488" s="664"/>
      <c r="F488" s="665"/>
      <c r="G488" s="5"/>
      <c r="H488" s="5"/>
      <c r="I488" s="5"/>
      <c r="J488" s="5"/>
      <c r="K488" s="5"/>
      <c r="L488" s="5"/>
      <c r="M488" s="5"/>
      <c r="N488" s="5"/>
      <c r="O488" s="5"/>
      <c r="R488" s="3"/>
      <c r="V488" s="6"/>
      <c r="W488" s="3"/>
      <c r="X488" s="7"/>
      <c r="AB488" s="4"/>
      <c r="AC488" s="5"/>
      <c r="AD488" s="4"/>
      <c r="AE488" s="5"/>
      <c r="AF488" s="7"/>
      <c r="AI488" s="6"/>
      <c r="AJ488" s="5"/>
      <c r="AK488" s="7"/>
      <c r="AN488" s="3"/>
      <c r="AO488" s="3"/>
      <c r="AP488" s="3"/>
    </row>
    <row r="489" spans="2:42" ht="11.1" customHeight="1" x14ac:dyDescent="0.2">
      <c r="B489" s="663" t="s">
        <v>61</v>
      </c>
      <c r="C489" s="815">
        <v>41694</v>
      </c>
      <c r="D489" s="817"/>
      <c r="E489" s="664"/>
      <c r="F489" s="665"/>
      <c r="G489" s="5"/>
      <c r="H489" s="5"/>
      <c r="I489" s="5"/>
      <c r="J489" s="5"/>
      <c r="K489" s="5"/>
      <c r="L489" s="5"/>
      <c r="M489" s="5"/>
      <c r="N489" s="5"/>
      <c r="O489" s="5"/>
      <c r="R489" s="3"/>
      <c r="V489" s="6"/>
      <c r="W489" s="3"/>
      <c r="X489" s="7"/>
      <c r="AB489" s="4"/>
      <c r="AC489" s="5"/>
      <c r="AD489" s="4"/>
      <c r="AE489" s="5"/>
      <c r="AF489" s="7"/>
      <c r="AI489" s="6"/>
      <c r="AJ489" s="5"/>
      <c r="AK489" s="7"/>
      <c r="AN489" s="3"/>
      <c r="AO489" s="3"/>
      <c r="AP489" s="3"/>
    </row>
    <row r="490" spans="2:42" ht="11.1" customHeight="1" x14ac:dyDescent="0.2">
      <c r="B490" s="663" t="s">
        <v>61</v>
      </c>
      <c r="C490" s="815">
        <v>41766</v>
      </c>
      <c r="D490" s="817"/>
      <c r="E490" s="664" t="s">
        <v>128</v>
      </c>
      <c r="F490" s="665"/>
      <c r="G490" s="5"/>
      <c r="H490" s="5"/>
      <c r="I490" s="5"/>
      <c r="J490" s="5"/>
      <c r="K490" s="5"/>
      <c r="L490" s="5"/>
      <c r="M490" s="5"/>
      <c r="N490" s="5"/>
      <c r="O490" s="5"/>
      <c r="R490" s="3"/>
      <c r="V490" s="6"/>
      <c r="W490" s="3"/>
      <c r="X490" s="7"/>
      <c r="AB490" s="4"/>
      <c r="AC490" s="5"/>
      <c r="AD490" s="4"/>
      <c r="AE490" s="5"/>
      <c r="AF490" s="7"/>
      <c r="AI490" s="6"/>
      <c r="AJ490" s="5"/>
      <c r="AK490" s="7"/>
      <c r="AN490" s="3"/>
      <c r="AO490" s="3"/>
      <c r="AP490" s="3"/>
    </row>
    <row r="491" spans="2:42" ht="11.1" customHeight="1" x14ac:dyDescent="0.2">
      <c r="B491" s="663" t="s">
        <v>61</v>
      </c>
      <c r="C491" s="815">
        <v>42324</v>
      </c>
      <c r="D491" s="817"/>
      <c r="E491" s="664" t="s">
        <v>149</v>
      </c>
      <c r="F491" s="665"/>
      <c r="G491" s="5"/>
      <c r="H491" s="5"/>
      <c r="I491" s="5"/>
      <c r="J491" s="5"/>
      <c r="K491" s="5"/>
      <c r="L491" s="5"/>
      <c r="M491" s="5"/>
      <c r="N491" s="5"/>
      <c r="O491" s="5"/>
      <c r="R491" s="3"/>
      <c r="V491" s="6"/>
      <c r="W491" s="3"/>
      <c r="X491" s="7"/>
      <c r="AB491" s="4"/>
      <c r="AC491" s="5"/>
      <c r="AD491" s="4"/>
      <c r="AE491" s="5"/>
      <c r="AF491" s="7"/>
      <c r="AI491" s="6"/>
      <c r="AJ491" s="5"/>
      <c r="AK491" s="7"/>
      <c r="AN491" s="3"/>
      <c r="AO491" s="3"/>
      <c r="AP491" s="3"/>
    </row>
    <row r="492" spans="2:42" ht="11.1" customHeight="1" x14ac:dyDescent="0.2">
      <c r="B492" s="663" t="s">
        <v>61</v>
      </c>
      <c r="C492" s="815">
        <v>42607</v>
      </c>
      <c r="D492" s="817"/>
      <c r="E492" s="664" t="s">
        <v>70</v>
      </c>
      <c r="F492" s="665"/>
      <c r="G492" s="5"/>
      <c r="H492" s="5"/>
      <c r="I492" s="5"/>
      <c r="J492" s="5"/>
      <c r="K492" s="5"/>
      <c r="L492" s="5"/>
      <c r="M492" s="5"/>
      <c r="N492" s="5"/>
      <c r="O492" s="5"/>
      <c r="R492" s="3"/>
      <c r="V492" s="6"/>
      <c r="W492" s="3"/>
      <c r="X492" s="7"/>
      <c r="AB492" s="4"/>
      <c r="AC492" s="5"/>
      <c r="AD492" s="4"/>
      <c r="AE492" s="5"/>
      <c r="AF492" s="7"/>
      <c r="AI492" s="6"/>
      <c r="AJ492" s="5"/>
      <c r="AK492" s="7"/>
      <c r="AN492" s="3"/>
      <c r="AO492" s="3"/>
      <c r="AP492" s="3"/>
    </row>
    <row r="493" spans="2:42" ht="11.1" customHeight="1" x14ac:dyDescent="0.2">
      <c r="B493" s="663" t="s">
        <v>61</v>
      </c>
      <c r="C493" s="815">
        <v>42681</v>
      </c>
      <c r="D493" s="817"/>
      <c r="E493" s="664" t="s">
        <v>136</v>
      </c>
      <c r="F493" s="665"/>
      <c r="G493" s="5"/>
      <c r="H493" s="5"/>
      <c r="I493" s="5"/>
      <c r="J493" s="5"/>
      <c r="K493" s="5"/>
      <c r="L493" s="5"/>
      <c r="M493" s="5"/>
      <c r="N493" s="5"/>
      <c r="O493" s="5"/>
      <c r="R493" s="3"/>
      <c r="V493" s="6"/>
      <c r="W493" s="3"/>
      <c r="X493" s="7"/>
      <c r="AB493" s="4"/>
      <c r="AC493" s="5"/>
      <c r="AD493" s="4"/>
      <c r="AE493" s="5"/>
      <c r="AF493" s="7"/>
      <c r="AI493" s="6"/>
      <c r="AJ493" s="5"/>
      <c r="AK493" s="7"/>
      <c r="AN493" s="3"/>
      <c r="AO493" s="3"/>
      <c r="AP493" s="3"/>
    </row>
    <row r="494" spans="2:42" ht="11.1" customHeight="1" x14ac:dyDescent="0.2">
      <c r="B494" s="663" t="s">
        <v>61</v>
      </c>
      <c r="C494" s="815">
        <v>42780</v>
      </c>
      <c r="D494" s="817"/>
      <c r="E494" s="664" t="s">
        <v>62</v>
      </c>
      <c r="F494" s="665"/>
      <c r="G494" s="5"/>
      <c r="H494" s="5"/>
      <c r="I494" s="5"/>
      <c r="J494" s="5"/>
      <c r="K494" s="5"/>
      <c r="L494" s="5"/>
      <c r="M494" s="5"/>
      <c r="N494" s="5"/>
      <c r="O494" s="5"/>
      <c r="R494" s="3"/>
      <c r="V494" s="6"/>
      <c r="W494" s="3"/>
      <c r="X494" s="7"/>
      <c r="AB494" s="4"/>
      <c r="AC494" s="5"/>
      <c r="AD494" s="4"/>
      <c r="AE494" s="5"/>
      <c r="AF494" s="7"/>
      <c r="AI494" s="6"/>
      <c r="AJ494" s="5"/>
      <c r="AK494" s="7"/>
      <c r="AN494" s="3"/>
      <c r="AO494" s="3"/>
      <c r="AP494" s="3"/>
    </row>
    <row r="495" spans="2:42" ht="11.1" customHeight="1" x14ac:dyDescent="0.2">
      <c r="B495" s="663" t="s">
        <v>63</v>
      </c>
      <c r="C495" s="815">
        <v>41058</v>
      </c>
      <c r="D495" s="817"/>
      <c r="E495" s="664" t="s">
        <v>85</v>
      </c>
      <c r="F495" s="665"/>
      <c r="G495" s="5"/>
      <c r="H495" s="5"/>
      <c r="I495" s="5"/>
      <c r="J495" s="5"/>
      <c r="K495" s="5"/>
      <c r="L495" s="5"/>
      <c r="M495" s="5"/>
      <c r="N495" s="5"/>
      <c r="O495" s="5"/>
      <c r="R495" s="3"/>
      <c r="V495" s="6"/>
      <c r="W495" s="3"/>
      <c r="X495" s="7"/>
      <c r="AB495" s="4"/>
      <c r="AC495" s="5"/>
      <c r="AD495" s="4"/>
      <c r="AE495" s="5"/>
      <c r="AF495" s="7"/>
      <c r="AI495" s="6"/>
      <c r="AJ495" s="5"/>
      <c r="AK495" s="7"/>
      <c r="AN495" s="3"/>
      <c r="AO495" s="3"/>
      <c r="AP495" s="3"/>
    </row>
    <row r="496" spans="2:42" ht="11.1" customHeight="1" x14ac:dyDescent="0.2">
      <c r="B496" s="663" t="s">
        <v>63</v>
      </c>
      <c r="C496" s="815">
        <v>41127</v>
      </c>
      <c r="D496" s="817"/>
      <c r="E496" s="664" t="s">
        <v>80</v>
      </c>
      <c r="F496" s="665"/>
      <c r="G496" s="5"/>
      <c r="H496" s="5"/>
      <c r="I496" s="5"/>
      <c r="J496" s="5"/>
      <c r="K496" s="5"/>
      <c r="L496" s="5"/>
      <c r="M496" s="5"/>
      <c r="N496" s="5"/>
      <c r="O496" s="5"/>
      <c r="R496" s="3"/>
      <c r="V496" s="6"/>
      <c r="W496" s="3"/>
      <c r="X496" s="7"/>
      <c r="AB496" s="4"/>
      <c r="AC496" s="5"/>
      <c r="AD496" s="4"/>
      <c r="AE496" s="5"/>
      <c r="AF496" s="7"/>
      <c r="AI496" s="6"/>
      <c r="AJ496" s="5"/>
      <c r="AK496" s="7"/>
      <c r="AN496" s="3"/>
      <c r="AO496" s="3"/>
      <c r="AP496" s="3"/>
    </row>
    <row r="497" spans="2:42" ht="11.1" customHeight="1" x14ac:dyDescent="0.2">
      <c r="B497" s="663" t="s">
        <v>63</v>
      </c>
      <c r="C497" s="815">
        <v>41222</v>
      </c>
      <c r="D497" s="817"/>
      <c r="E497" s="664" t="s">
        <v>65</v>
      </c>
      <c r="F497" s="665"/>
      <c r="G497" s="5"/>
      <c r="H497" s="5"/>
      <c r="I497" s="5"/>
      <c r="J497" s="5"/>
      <c r="K497" s="5"/>
      <c r="L497" s="5"/>
      <c r="M497" s="5"/>
      <c r="N497" s="5"/>
      <c r="O497" s="5"/>
      <c r="R497" s="3"/>
      <c r="V497" s="6"/>
      <c r="W497" s="3"/>
      <c r="X497" s="7"/>
      <c r="AB497" s="4"/>
      <c r="AC497" s="5"/>
      <c r="AD497" s="4"/>
      <c r="AE497" s="5"/>
      <c r="AF497" s="7"/>
      <c r="AI497" s="6"/>
      <c r="AJ497" s="5"/>
      <c r="AK497" s="7"/>
      <c r="AN497" s="3"/>
      <c r="AO497" s="3"/>
      <c r="AP497" s="3"/>
    </row>
    <row r="498" spans="2:42" ht="11.1" customHeight="1" x14ac:dyDescent="0.2">
      <c r="B498" s="663" t="s">
        <v>63</v>
      </c>
      <c r="C498" s="815">
        <v>41311</v>
      </c>
      <c r="D498" s="817"/>
      <c r="E498" s="664" t="s">
        <v>64</v>
      </c>
      <c r="F498" s="665"/>
      <c r="G498" s="5"/>
      <c r="H498" s="5"/>
      <c r="I498" s="5"/>
      <c r="J498" s="5"/>
      <c r="K498" s="5"/>
      <c r="L498" s="5"/>
      <c r="M498" s="5"/>
      <c r="N498" s="5"/>
      <c r="O498" s="5"/>
      <c r="R498" s="3"/>
      <c r="V498" s="6"/>
      <c r="W498" s="3"/>
      <c r="X498" s="7"/>
      <c r="AB498" s="4"/>
      <c r="AC498" s="5"/>
      <c r="AD498" s="4"/>
      <c r="AE498" s="5"/>
      <c r="AF498" s="7"/>
      <c r="AI498" s="6"/>
      <c r="AJ498" s="5"/>
      <c r="AK498" s="7"/>
      <c r="AN498" s="3"/>
      <c r="AO498" s="3"/>
      <c r="AP498" s="3"/>
    </row>
    <row r="499" spans="2:42" ht="11.1" customHeight="1" x14ac:dyDescent="0.2">
      <c r="B499" s="663" t="s">
        <v>63</v>
      </c>
      <c r="C499" s="815">
        <v>41415</v>
      </c>
      <c r="D499" s="817"/>
      <c r="E499" s="664" t="s">
        <v>93</v>
      </c>
      <c r="F499" s="665"/>
      <c r="G499" s="5"/>
      <c r="H499" s="5"/>
      <c r="I499" s="5"/>
      <c r="J499" s="5"/>
      <c r="K499" s="5"/>
      <c r="L499" s="5"/>
      <c r="M499" s="5"/>
      <c r="N499" s="5"/>
      <c r="O499" s="5"/>
      <c r="R499" s="3"/>
      <c r="V499" s="6"/>
      <c r="W499" s="3"/>
      <c r="X499" s="7"/>
      <c r="AB499" s="4"/>
      <c r="AC499" s="5"/>
      <c r="AD499" s="4"/>
      <c r="AE499" s="5"/>
      <c r="AF499" s="7"/>
      <c r="AI499" s="6"/>
      <c r="AJ499" s="5"/>
      <c r="AK499" s="7"/>
      <c r="AN499" s="3"/>
      <c r="AO499" s="3"/>
      <c r="AP499" s="3"/>
    </row>
    <row r="500" spans="2:42" ht="11.1" customHeight="1" x14ac:dyDescent="0.2">
      <c r="B500" s="663" t="s">
        <v>63</v>
      </c>
      <c r="C500" s="815">
        <v>41514</v>
      </c>
      <c r="D500" s="817"/>
      <c r="E500" s="664" t="s">
        <v>94</v>
      </c>
      <c r="F500" s="665"/>
      <c r="G500" s="5"/>
      <c r="H500" s="5"/>
      <c r="I500" s="5"/>
      <c r="J500" s="5"/>
      <c r="K500" s="5"/>
      <c r="L500" s="5"/>
      <c r="M500" s="5"/>
      <c r="N500" s="5"/>
      <c r="O500" s="5"/>
      <c r="R500" s="3"/>
      <c r="V500" s="6"/>
      <c r="W500" s="3"/>
      <c r="X500" s="7"/>
      <c r="AB500" s="4"/>
      <c r="AC500" s="5"/>
      <c r="AD500" s="4"/>
      <c r="AE500" s="5"/>
      <c r="AF500" s="7"/>
      <c r="AI500" s="6"/>
      <c r="AJ500" s="5"/>
      <c r="AK500" s="7"/>
      <c r="AN500" s="3"/>
      <c r="AO500" s="3"/>
      <c r="AP500" s="3"/>
    </row>
    <row r="501" spans="2:42" ht="11.1" customHeight="1" x14ac:dyDescent="0.2">
      <c r="B501" s="663" t="s">
        <v>63</v>
      </c>
      <c r="C501" s="815">
        <v>41595</v>
      </c>
      <c r="D501" s="817"/>
      <c r="E501" s="664" t="s">
        <v>93</v>
      </c>
      <c r="F501" s="665"/>
      <c r="G501" s="5"/>
      <c r="H501" s="5"/>
      <c r="I501" s="5"/>
      <c r="J501" s="5"/>
      <c r="K501" s="5"/>
      <c r="L501" s="5"/>
      <c r="M501" s="5"/>
      <c r="N501" s="5"/>
      <c r="O501" s="5"/>
      <c r="R501" s="3"/>
      <c r="V501" s="6"/>
      <c r="W501" s="3"/>
      <c r="X501" s="7"/>
      <c r="AB501" s="4"/>
      <c r="AC501" s="5"/>
      <c r="AD501" s="4"/>
      <c r="AE501" s="5"/>
      <c r="AF501" s="7"/>
      <c r="AI501" s="6"/>
      <c r="AJ501" s="5"/>
      <c r="AK501" s="7"/>
      <c r="AN501" s="3"/>
      <c r="AO501" s="3"/>
      <c r="AP501" s="3"/>
    </row>
    <row r="502" spans="2:42" ht="11.1" customHeight="1" x14ac:dyDescent="0.2">
      <c r="B502" s="663" t="s">
        <v>63</v>
      </c>
      <c r="C502" s="815">
        <v>41694</v>
      </c>
      <c r="D502" s="817"/>
      <c r="E502" s="664" t="s">
        <v>65</v>
      </c>
      <c r="F502" s="665"/>
      <c r="G502" s="5"/>
      <c r="H502" s="5"/>
      <c r="I502" s="5"/>
      <c r="J502" s="5"/>
      <c r="K502" s="5"/>
      <c r="L502" s="5"/>
      <c r="M502" s="5"/>
      <c r="N502" s="5"/>
      <c r="O502" s="5"/>
      <c r="R502" s="3"/>
      <c r="V502" s="6"/>
      <c r="W502" s="3"/>
      <c r="X502" s="7"/>
      <c r="AB502" s="4"/>
      <c r="AC502" s="5"/>
      <c r="AD502" s="4"/>
      <c r="AE502" s="5"/>
      <c r="AF502" s="7"/>
      <c r="AI502" s="6"/>
      <c r="AJ502" s="5"/>
      <c r="AK502" s="7"/>
      <c r="AN502" s="3"/>
      <c r="AO502" s="3"/>
      <c r="AP502" s="3"/>
    </row>
    <row r="503" spans="2:42" ht="11.1" customHeight="1" x14ac:dyDescent="0.2">
      <c r="B503" s="663" t="s">
        <v>63</v>
      </c>
      <c r="C503" s="815">
        <v>41948</v>
      </c>
      <c r="D503" s="817"/>
      <c r="E503" s="664" t="s">
        <v>135</v>
      </c>
      <c r="F503" s="665"/>
      <c r="G503" s="5"/>
      <c r="H503" s="5"/>
      <c r="I503" s="5"/>
      <c r="J503" s="5"/>
      <c r="K503" s="5"/>
      <c r="L503" s="5"/>
      <c r="M503" s="5"/>
      <c r="N503" s="5"/>
      <c r="O503" s="5"/>
      <c r="R503" s="3"/>
      <c r="V503" s="6"/>
      <c r="W503" s="3"/>
      <c r="X503" s="7"/>
      <c r="AB503" s="4"/>
      <c r="AC503" s="5"/>
      <c r="AD503" s="4"/>
      <c r="AE503" s="5"/>
      <c r="AF503" s="7"/>
      <c r="AI503" s="6"/>
      <c r="AJ503" s="5"/>
      <c r="AK503" s="7"/>
      <c r="AN503" s="3"/>
      <c r="AO503" s="3"/>
      <c r="AP503" s="3"/>
    </row>
    <row r="504" spans="2:42" ht="11.1" customHeight="1" x14ac:dyDescent="0.2">
      <c r="B504" s="663" t="s">
        <v>63</v>
      </c>
      <c r="C504" s="815">
        <v>42234</v>
      </c>
      <c r="D504" s="817"/>
      <c r="E504" s="664" t="s">
        <v>70</v>
      </c>
      <c r="F504" s="665"/>
      <c r="G504" s="5"/>
      <c r="H504" s="5"/>
      <c r="I504" s="5"/>
      <c r="J504" s="5"/>
      <c r="K504" s="5"/>
      <c r="L504" s="5"/>
      <c r="M504" s="5"/>
      <c r="N504" s="5"/>
      <c r="O504" s="5"/>
      <c r="R504" s="3"/>
      <c r="V504" s="6"/>
      <c r="W504" s="3"/>
      <c r="X504" s="7"/>
      <c r="AB504" s="4"/>
      <c r="AC504" s="5"/>
      <c r="AD504" s="4"/>
      <c r="AE504" s="5"/>
      <c r="AF504" s="7"/>
      <c r="AI504" s="6"/>
      <c r="AJ504" s="5"/>
      <c r="AK504" s="7"/>
      <c r="AN504" s="3"/>
      <c r="AO504" s="3"/>
      <c r="AP504" s="3"/>
    </row>
    <row r="505" spans="2:42" ht="11.1" customHeight="1" x14ac:dyDescent="0.2">
      <c r="B505" s="663" t="s">
        <v>63</v>
      </c>
      <c r="C505" s="815">
        <v>42338</v>
      </c>
      <c r="D505" s="817"/>
      <c r="E505" s="664" t="s">
        <v>70</v>
      </c>
      <c r="F505" s="665"/>
      <c r="G505" s="5"/>
      <c r="H505" s="5"/>
      <c r="I505" s="5"/>
      <c r="J505" s="5"/>
      <c r="K505" s="5"/>
      <c r="L505" s="5"/>
      <c r="M505" s="5"/>
      <c r="N505" s="5"/>
      <c r="O505" s="5"/>
      <c r="R505" s="3"/>
      <c r="V505" s="6"/>
      <c r="W505" s="3"/>
      <c r="X505" s="7"/>
      <c r="AB505" s="4"/>
      <c r="AC505" s="5"/>
      <c r="AD505" s="4"/>
      <c r="AE505" s="5"/>
      <c r="AF505" s="7"/>
      <c r="AI505" s="6"/>
      <c r="AJ505" s="5"/>
      <c r="AK505" s="7"/>
      <c r="AN505" s="3"/>
      <c r="AO505" s="3"/>
      <c r="AP505" s="3"/>
    </row>
    <row r="506" spans="2:42" ht="11.1" customHeight="1" x14ac:dyDescent="0.2">
      <c r="B506" s="663" t="s">
        <v>63</v>
      </c>
      <c r="C506" s="815">
        <v>42514</v>
      </c>
      <c r="D506" s="817"/>
      <c r="E506" s="664" t="s">
        <v>125</v>
      </c>
      <c r="F506" s="665"/>
      <c r="G506" s="5"/>
      <c r="H506" s="5"/>
      <c r="I506" s="5"/>
      <c r="J506" s="5"/>
      <c r="K506" s="5"/>
      <c r="L506" s="5"/>
      <c r="M506" s="5"/>
      <c r="N506" s="5"/>
      <c r="O506" s="5"/>
      <c r="R506" s="3"/>
      <c r="V506" s="6"/>
      <c r="W506" s="3"/>
      <c r="X506" s="7"/>
      <c r="AB506" s="4"/>
      <c r="AC506" s="5"/>
      <c r="AD506" s="4"/>
      <c r="AE506" s="5"/>
      <c r="AF506" s="7"/>
      <c r="AI506" s="6"/>
      <c r="AJ506" s="5"/>
      <c r="AK506" s="7"/>
      <c r="AN506" s="3"/>
      <c r="AO506" s="3"/>
      <c r="AP506" s="3"/>
    </row>
    <row r="507" spans="2:42" ht="11.1" customHeight="1" x14ac:dyDescent="0.2">
      <c r="B507" s="663" t="s">
        <v>66</v>
      </c>
      <c r="C507" s="815">
        <v>41058</v>
      </c>
      <c r="D507" s="817"/>
      <c r="E507" s="664" t="s">
        <v>101</v>
      </c>
      <c r="F507" s="665"/>
      <c r="G507" s="5"/>
      <c r="H507" s="5"/>
      <c r="I507" s="5"/>
      <c r="J507" s="5"/>
      <c r="K507" s="5"/>
      <c r="L507" s="5"/>
      <c r="M507" s="5"/>
      <c r="N507" s="5"/>
      <c r="O507" s="5"/>
      <c r="R507" s="3"/>
      <c r="V507" s="6"/>
      <c r="W507" s="3"/>
      <c r="X507" s="7"/>
      <c r="AB507" s="4"/>
      <c r="AC507" s="5"/>
      <c r="AD507" s="4"/>
      <c r="AE507" s="5"/>
      <c r="AF507" s="7"/>
      <c r="AI507" s="6"/>
      <c r="AJ507" s="5"/>
      <c r="AK507" s="7"/>
      <c r="AN507" s="3"/>
      <c r="AO507" s="3"/>
      <c r="AP507" s="3"/>
    </row>
    <row r="508" spans="2:42" ht="11.1" customHeight="1" x14ac:dyDescent="0.2">
      <c r="B508" s="663" t="s">
        <v>66</v>
      </c>
      <c r="C508" s="815">
        <v>41127</v>
      </c>
      <c r="D508" s="817"/>
      <c r="E508" s="664" t="s">
        <v>86</v>
      </c>
      <c r="F508" s="665"/>
      <c r="G508" s="5"/>
      <c r="H508" s="5"/>
      <c r="I508" s="5"/>
      <c r="J508" s="5"/>
      <c r="K508" s="5"/>
      <c r="L508" s="5"/>
      <c r="M508" s="5"/>
      <c r="N508" s="5"/>
      <c r="O508" s="5"/>
      <c r="R508" s="3"/>
      <c r="V508" s="6"/>
      <c r="W508" s="3"/>
      <c r="X508" s="7"/>
      <c r="AB508" s="4"/>
      <c r="AC508" s="5"/>
      <c r="AD508" s="4"/>
      <c r="AE508" s="5"/>
      <c r="AF508" s="7"/>
      <c r="AI508" s="6"/>
      <c r="AJ508" s="5"/>
      <c r="AK508" s="7"/>
      <c r="AN508" s="3"/>
      <c r="AO508" s="3"/>
      <c r="AP508" s="3"/>
    </row>
    <row r="509" spans="2:42" ht="11.1" customHeight="1" x14ac:dyDescent="0.2">
      <c r="B509" s="663" t="s">
        <v>66</v>
      </c>
      <c r="C509" s="815">
        <v>41222</v>
      </c>
      <c r="D509" s="817"/>
      <c r="E509" s="664" t="s">
        <v>102</v>
      </c>
      <c r="F509" s="665"/>
      <c r="G509" s="5"/>
      <c r="H509" s="5"/>
      <c r="I509" s="5"/>
      <c r="J509" s="5"/>
      <c r="K509" s="5"/>
      <c r="L509" s="5"/>
      <c r="M509" s="5"/>
      <c r="N509" s="5"/>
      <c r="O509" s="5"/>
      <c r="R509" s="3"/>
      <c r="V509" s="6"/>
      <c r="W509" s="3"/>
      <c r="X509" s="7"/>
      <c r="AB509" s="4"/>
      <c r="AC509" s="5"/>
      <c r="AD509" s="4"/>
      <c r="AE509" s="5"/>
      <c r="AF509" s="7"/>
      <c r="AI509" s="6"/>
      <c r="AJ509" s="5"/>
      <c r="AK509" s="7"/>
      <c r="AN509" s="3"/>
      <c r="AO509" s="3"/>
      <c r="AP509" s="3"/>
    </row>
    <row r="510" spans="2:42" ht="11.1" customHeight="1" x14ac:dyDescent="0.2">
      <c r="B510" s="663" t="s">
        <v>66</v>
      </c>
      <c r="C510" s="815">
        <v>41311</v>
      </c>
      <c r="D510" s="817"/>
      <c r="E510" s="664" t="s">
        <v>95</v>
      </c>
      <c r="F510" s="665"/>
      <c r="G510" s="5"/>
      <c r="H510" s="5"/>
      <c r="I510" s="5"/>
      <c r="J510" s="5"/>
      <c r="K510" s="5"/>
      <c r="L510" s="5"/>
      <c r="M510" s="5"/>
      <c r="N510" s="5"/>
      <c r="O510" s="5"/>
      <c r="R510" s="3"/>
      <c r="V510" s="6"/>
      <c r="W510" s="3"/>
      <c r="X510" s="7"/>
      <c r="AB510" s="4"/>
      <c r="AC510" s="5"/>
      <c r="AD510" s="4"/>
      <c r="AE510" s="5"/>
      <c r="AF510" s="7"/>
      <c r="AI510" s="6"/>
      <c r="AJ510" s="5"/>
      <c r="AK510" s="7"/>
      <c r="AN510" s="3"/>
      <c r="AO510" s="3"/>
      <c r="AP510" s="3"/>
    </row>
    <row r="511" spans="2:42" ht="11.1" customHeight="1" x14ac:dyDescent="0.2">
      <c r="B511" s="663" t="s">
        <v>66</v>
      </c>
      <c r="C511" s="815">
        <v>41415</v>
      </c>
      <c r="D511" s="817"/>
      <c r="E511" s="664" t="s">
        <v>67</v>
      </c>
      <c r="F511" s="665"/>
      <c r="G511" s="5"/>
      <c r="H511" s="5"/>
      <c r="I511" s="5"/>
      <c r="J511" s="5"/>
      <c r="K511" s="5"/>
      <c r="L511" s="5"/>
      <c r="M511" s="5"/>
      <c r="N511" s="5"/>
      <c r="O511" s="5"/>
      <c r="R511" s="3"/>
      <c r="V511" s="6"/>
      <c r="W511" s="3"/>
      <c r="X511" s="7"/>
      <c r="AB511" s="4"/>
      <c r="AC511" s="5"/>
      <c r="AD511" s="4"/>
      <c r="AE511" s="5"/>
      <c r="AF511" s="7"/>
      <c r="AI511" s="6"/>
      <c r="AJ511" s="5"/>
      <c r="AK511" s="7"/>
      <c r="AN511" s="3"/>
      <c r="AO511" s="3"/>
      <c r="AP511" s="3"/>
    </row>
    <row r="512" spans="2:42" ht="11.1" customHeight="1" x14ac:dyDescent="0.2">
      <c r="B512" s="663" t="s">
        <v>66</v>
      </c>
      <c r="C512" s="815">
        <v>41514</v>
      </c>
      <c r="D512" s="817"/>
      <c r="E512" s="664" t="s">
        <v>96</v>
      </c>
      <c r="F512" s="665"/>
      <c r="G512" s="5"/>
      <c r="H512" s="5"/>
      <c r="I512" s="5"/>
      <c r="J512" s="5"/>
      <c r="K512" s="5"/>
      <c r="L512" s="5"/>
      <c r="M512" s="5"/>
      <c r="N512" s="5"/>
      <c r="O512" s="5"/>
      <c r="R512" s="3"/>
      <c r="V512" s="6"/>
      <c r="W512" s="3"/>
      <c r="X512" s="7"/>
      <c r="AB512" s="4"/>
      <c r="AC512" s="5"/>
      <c r="AD512" s="4"/>
      <c r="AE512" s="5"/>
      <c r="AF512" s="7"/>
      <c r="AI512" s="6"/>
      <c r="AJ512" s="5"/>
      <c r="AK512" s="7"/>
      <c r="AN512" s="3"/>
      <c r="AO512" s="3"/>
      <c r="AP512" s="3"/>
    </row>
    <row r="513" spans="2:42" ht="11.1" customHeight="1" x14ac:dyDescent="0.2">
      <c r="B513" s="663" t="s">
        <v>66</v>
      </c>
      <c r="C513" s="815">
        <v>41595</v>
      </c>
      <c r="D513" s="817"/>
      <c r="E513" s="664" t="s">
        <v>87</v>
      </c>
      <c r="F513" s="665"/>
      <c r="G513" s="5"/>
      <c r="H513" s="5"/>
      <c r="I513" s="5"/>
      <c r="J513" s="5"/>
      <c r="K513" s="5"/>
      <c r="L513" s="5"/>
      <c r="M513" s="5"/>
      <c r="N513" s="5"/>
      <c r="O513" s="5"/>
      <c r="R513" s="3"/>
      <c r="V513" s="6"/>
      <c r="W513" s="3"/>
      <c r="X513" s="7"/>
      <c r="AB513" s="4"/>
      <c r="AC513" s="5"/>
      <c r="AD513" s="4"/>
      <c r="AE513" s="5"/>
      <c r="AF513" s="7"/>
      <c r="AI513" s="6"/>
      <c r="AJ513" s="5"/>
      <c r="AK513" s="7"/>
      <c r="AN513" s="3"/>
      <c r="AO513" s="3"/>
      <c r="AP513" s="3"/>
    </row>
    <row r="514" spans="2:42" ht="11.1" customHeight="1" x14ac:dyDescent="0.2">
      <c r="B514" s="663" t="s">
        <v>66</v>
      </c>
      <c r="C514" s="815">
        <v>41694</v>
      </c>
      <c r="D514" s="817"/>
      <c r="E514" s="664" t="s">
        <v>97</v>
      </c>
      <c r="F514" s="665"/>
      <c r="G514" s="5"/>
      <c r="H514" s="5"/>
      <c r="I514" s="5"/>
      <c r="J514" s="5"/>
      <c r="K514" s="5"/>
      <c r="L514" s="5"/>
      <c r="M514" s="5"/>
      <c r="N514" s="5"/>
      <c r="O514" s="5"/>
      <c r="R514" s="3"/>
      <c r="V514" s="6"/>
      <c r="W514" s="3"/>
      <c r="X514" s="7"/>
      <c r="AB514" s="4"/>
      <c r="AC514" s="5"/>
      <c r="AD514" s="4"/>
      <c r="AE514" s="5"/>
      <c r="AF514" s="7"/>
      <c r="AI514" s="6"/>
      <c r="AJ514" s="5"/>
      <c r="AK514" s="7"/>
      <c r="AN514" s="3"/>
      <c r="AO514" s="3"/>
      <c r="AP514" s="3"/>
    </row>
    <row r="515" spans="2:42" ht="11.1" customHeight="1" x14ac:dyDescent="0.2">
      <c r="B515" s="663" t="s">
        <v>66</v>
      </c>
      <c r="C515" s="815">
        <v>41788</v>
      </c>
      <c r="D515" s="817"/>
      <c r="E515" s="664" t="s">
        <v>146</v>
      </c>
      <c r="F515" s="665"/>
      <c r="G515" s="5"/>
      <c r="H515" s="5"/>
      <c r="I515" s="5"/>
      <c r="J515" s="5"/>
      <c r="K515" s="5"/>
      <c r="L515" s="5"/>
      <c r="M515" s="5"/>
      <c r="N515" s="5"/>
      <c r="O515" s="5"/>
      <c r="R515" s="3"/>
      <c r="V515" s="6"/>
      <c r="W515" s="3"/>
      <c r="X515" s="7"/>
      <c r="AB515" s="4"/>
      <c r="AC515" s="5"/>
      <c r="AD515" s="4"/>
      <c r="AE515" s="5"/>
      <c r="AF515" s="7"/>
      <c r="AI515" s="6"/>
      <c r="AJ515" s="5"/>
      <c r="AK515" s="7"/>
      <c r="AN515" s="3"/>
      <c r="AO515" s="3"/>
      <c r="AP515" s="3"/>
    </row>
    <row r="516" spans="2:42" ht="11.1" customHeight="1" x14ac:dyDescent="0.2">
      <c r="B516" s="663" t="s">
        <v>66</v>
      </c>
      <c r="C516" s="815">
        <v>41856</v>
      </c>
      <c r="D516" s="817"/>
      <c r="E516" s="664" t="s">
        <v>118</v>
      </c>
      <c r="F516" s="665"/>
      <c r="G516" s="5"/>
      <c r="H516" s="5"/>
      <c r="I516" s="5"/>
      <c r="J516" s="5"/>
      <c r="K516" s="5"/>
      <c r="L516" s="5"/>
      <c r="M516" s="5"/>
      <c r="N516" s="5"/>
      <c r="O516" s="5"/>
      <c r="R516" s="3"/>
      <c r="V516" s="6"/>
      <c r="W516" s="3"/>
      <c r="X516" s="7"/>
      <c r="AB516" s="4"/>
      <c r="AC516" s="5"/>
      <c r="AD516" s="4"/>
      <c r="AE516" s="5"/>
      <c r="AF516" s="7"/>
      <c r="AI516" s="6"/>
      <c r="AJ516" s="5"/>
      <c r="AK516" s="7"/>
      <c r="AN516" s="3"/>
      <c r="AO516" s="3"/>
      <c r="AP516" s="3"/>
    </row>
    <row r="517" spans="2:42" ht="11.1" customHeight="1" x14ac:dyDescent="0.2">
      <c r="B517" s="663" t="s">
        <v>66</v>
      </c>
      <c r="C517" s="815">
        <v>41948</v>
      </c>
      <c r="D517" s="817"/>
      <c r="E517" s="664" t="s">
        <v>119</v>
      </c>
      <c r="F517" s="665"/>
      <c r="G517" s="5"/>
      <c r="H517" s="5"/>
      <c r="I517" s="5"/>
      <c r="J517" s="5"/>
      <c r="K517" s="5"/>
      <c r="L517" s="5"/>
      <c r="M517" s="5"/>
      <c r="N517" s="5"/>
      <c r="O517" s="5"/>
      <c r="R517" s="3"/>
      <c r="V517" s="6"/>
      <c r="W517" s="3"/>
      <c r="X517" s="7"/>
      <c r="AB517" s="4"/>
      <c r="AC517" s="5"/>
      <c r="AD517" s="4"/>
      <c r="AE517" s="5"/>
      <c r="AF517" s="7"/>
      <c r="AI517" s="6"/>
      <c r="AJ517" s="5"/>
      <c r="AK517" s="7"/>
      <c r="AN517" s="3"/>
      <c r="AO517" s="3"/>
      <c r="AP517" s="3"/>
    </row>
    <row r="518" spans="2:42" ht="11.1" customHeight="1" x14ac:dyDescent="0.2">
      <c r="B518" s="663" t="s">
        <v>66</v>
      </c>
      <c r="C518" s="815">
        <v>42038</v>
      </c>
      <c r="D518" s="817"/>
      <c r="E518" s="664" t="s">
        <v>138</v>
      </c>
      <c r="F518" s="665"/>
      <c r="G518" s="5"/>
      <c r="H518" s="5"/>
      <c r="I518" s="5"/>
      <c r="J518" s="5"/>
      <c r="K518" s="5"/>
      <c r="L518" s="5"/>
      <c r="M518" s="5"/>
      <c r="N518" s="5"/>
      <c r="O518" s="5"/>
      <c r="R518" s="3"/>
      <c r="V518" s="6"/>
      <c r="W518" s="3"/>
      <c r="X518" s="7"/>
      <c r="AB518" s="4"/>
      <c r="AC518" s="5"/>
      <c r="AD518" s="4"/>
      <c r="AE518" s="5"/>
      <c r="AF518" s="7"/>
      <c r="AI518" s="6"/>
      <c r="AJ518" s="5"/>
      <c r="AK518" s="7"/>
      <c r="AN518" s="3"/>
      <c r="AO518" s="3"/>
      <c r="AP518" s="3"/>
    </row>
    <row r="519" spans="2:42" ht="11.1" customHeight="1" x14ac:dyDescent="0.2">
      <c r="B519" s="663" t="s">
        <v>66</v>
      </c>
      <c r="C519" s="815">
        <v>42150</v>
      </c>
      <c r="D519" s="817"/>
      <c r="E519" s="664" t="s">
        <v>144</v>
      </c>
      <c r="F519" s="665"/>
      <c r="G519" s="5"/>
      <c r="H519" s="5"/>
      <c r="I519" s="5"/>
      <c r="J519" s="5"/>
      <c r="K519" s="5"/>
      <c r="L519" s="5"/>
      <c r="M519" s="5"/>
      <c r="N519" s="5"/>
      <c r="O519" s="5"/>
      <c r="R519" s="3"/>
      <c r="V519" s="6"/>
      <c r="W519" s="3"/>
      <c r="X519" s="7"/>
      <c r="AB519" s="4"/>
      <c r="AC519" s="5"/>
      <c r="AD519" s="4"/>
      <c r="AE519" s="5"/>
      <c r="AF519" s="7"/>
      <c r="AI519" s="6"/>
      <c r="AJ519" s="5"/>
      <c r="AK519" s="7"/>
      <c r="AN519" s="3"/>
      <c r="AO519" s="3"/>
      <c r="AP519" s="3"/>
    </row>
    <row r="520" spans="2:42" ht="11.1" customHeight="1" x14ac:dyDescent="0.2">
      <c r="B520" s="663" t="s">
        <v>66</v>
      </c>
      <c r="C520" s="815">
        <v>42234</v>
      </c>
      <c r="D520" s="817"/>
      <c r="E520" s="664" t="s">
        <v>151</v>
      </c>
      <c r="F520" s="665"/>
      <c r="G520" s="5"/>
      <c r="H520" s="5"/>
      <c r="I520" s="5"/>
      <c r="J520" s="5"/>
      <c r="K520" s="5"/>
      <c r="L520" s="5"/>
      <c r="M520" s="5"/>
      <c r="N520" s="5"/>
      <c r="O520" s="5"/>
      <c r="R520" s="3"/>
      <c r="V520" s="6"/>
      <c r="W520" s="3"/>
      <c r="X520" s="7"/>
      <c r="AB520" s="4"/>
      <c r="AC520" s="5"/>
      <c r="AD520" s="4"/>
      <c r="AE520" s="5"/>
      <c r="AF520" s="7"/>
      <c r="AI520" s="6"/>
      <c r="AJ520" s="5"/>
      <c r="AK520" s="7"/>
      <c r="AN520" s="3"/>
      <c r="AO520" s="3"/>
      <c r="AP520" s="3"/>
    </row>
    <row r="521" spans="2:42" ht="11.1" customHeight="1" x14ac:dyDescent="0.2">
      <c r="B521" s="663" t="s">
        <v>66</v>
      </c>
      <c r="C521" s="815">
        <v>42338</v>
      </c>
      <c r="D521" s="817"/>
      <c r="E521" s="664" t="s">
        <v>143</v>
      </c>
      <c r="F521" s="665"/>
      <c r="G521" s="5"/>
      <c r="H521" s="5"/>
      <c r="I521" s="5"/>
      <c r="J521" s="5"/>
      <c r="K521" s="5"/>
      <c r="L521" s="5"/>
      <c r="M521" s="5"/>
      <c r="N521" s="5"/>
      <c r="O521" s="5"/>
      <c r="R521" s="3"/>
      <c r="V521" s="6"/>
      <c r="W521" s="3"/>
      <c r="X521" s="7"/>
      <c r="AB521" s="4"/>
      <c r="AC521" s="5"/>
      <c r="AD521" s="4"/>
      <c r="AE521" s="5"/>
      <c r="AF521" s="7"/>
      <c r="AI521" s="6"/>
      <c r="AJ521" s="5"/>
      <c r="AK521" s="7"/>
      <c r="AN521" s="3"/>
      <c r="AO521" s="3"/>
      <c r="AP521" s="3"/>
    </row>
    <row r="522" spans="2:42" ht="11.1" customHeight="1" x14ac:dyDescent="0.2">
      <c r="B522" s="663" t="s">
        <v>66</v>
      </c>
      <c r="C522" s="815">
        <v>42422</v>
      </c>
      <c r="D522" s="817"/>
      <c r="E522" s="664" t="s">
        <v>140</v>
      </c>
      <c r="F522" s="665"/>
      <c r="G522" s="5"/>
      <c r="H522" s="5"/>
      <c r="I522" s="5"/>
      <c r="J522" s="5"/>
      <c r="K522" s="5"/>
      <c r="L522" s="5"/>
      <c r="M522" s="5"/>
      <c r="N522" s="5"/>
      <c r="O522" s="5"/>
      <c r="R522" s="3"/>
      <c r="V522" s="6"/>
      <c r="W522" s="3"/>
      <c r="X522" s="7"/>
      <c r="AB522" s="4"/>
      <c r="AC522" s="5"/>
      <c r="AD522" s="4"/>
      <c r="AE522" s="5"/>
      <c r="AF522" s="7"/>
      <c r="AI522" s="6"/>
      <c r="AJ522" s="5"/>
      <c r="AK522" s="7"/>
      <c r="AN522" s="3"/>
      <c r="AO522" s="3"/>
      <c r="AP522" s="3"/>
    </row>
    <row r="523" spans="2:42" ht="11.1" customHeight="1" x14ac:dyDescent="0.2">
      <c r="B523" s="663" t="s">
        <v>66</v>
      </c>
      <c r="C523" s="815">
        <v>42514</v>
      </c>
      <c r="D523" s="817"/>
      <c r="E523" s="664" t="s">
        <v>152</v>
      </c>
      <c r="F523" s="665"/>
      <c r="G523" s="5"/>
      <c r="H523" s="5"/>
      <c r="I523" s="5"/>
      <c r="J523" s="5"/>
      <c r="K523" s="5"/>
      <c r="L523" s="5"/>
      <c r="M523" s="5"/>
      <c r="N523" s="5"/>
      <c r="O523" s="5"/>
      <c r="R523" s="3"/>
      <c r="V523" s="6"/>
      <c r="W523" s="3"/>
      <c r="X523" s="7"/>
      <c r="AB523" s="4"/>
      <c r="AC523" s="5"/>
      <c r="AD523" s="4"/>
      <c r="AE523" s="5"/>
      <c r="AF523" s="7"/>
      <c r="AI523" s="6"/>
      <c r="AJ523" s="5"/>
      <c r="AK523" s="7"/>
      <c r="AN523" s="3"/>
      <c r="AO523" s="3"/>
      <c r="AP523" s="3"/>
    </row>
    <row r="524" spans="2:42" ht="11.1" customHeight="1" x14ac:dyDescent="0.2">
      <c r="B524" s="663" t="s">
        <v>66</v>
      </c>
      <c r="C524" s="815">
        <v>42618</v>
      </c>
      <c r="D524" s="817"/>
      <c r="E524" s="664" t="s">
        <v>145</v>
      </c>
      <c r="F524" s="665"/>
      <c r="G524" s="5"/>
      <c r="H524" s="5"/>
      <c r="I524" s="5"/>
      <c r="J524" s="5"/>
      <c r="K524" s="5"/>
      <c r="L524" s="5"/>
      <c r="M524" s="5"/>
      <c r="N524" s="5"/>
      <c r="O524" s="5"/>
      <c r="R524" s="3"/>
      <c r="V524" s="6"/>
      <c r="W524" s="3"/>
      <c r="X524" s="7"/>
      <c r="AB524" s="4"/>
      <c r="AC524" s="5"/>
      <c r="AD524" s="4"/>
      <c r="AE524" s="5"/>
      <c r="AF524" s="7"/>
      <c r="AI524" s="6"/>
      <c r="AJ524" s="5"/>
      <c r="AK524" s="7"/>
      <c r="AN524" s="3"/>
      <c r="AO524" s="3"/>
      <c r="AP524" s="3"/>
    </row>
    <row r="525" spans="2:42" ht="11.1" customHeight="1" x14ac:dyDescent="0.2">
      <c r="B525" s="663" t="s">
        <v>66</v>
      </c>
      <c r="C525" s="815">
        <v>42681</v>
      </c>
      <c r="D525" s="817"/>
      <c r="E525" s="664" t="s">
        <v>147</v>
      </c>
      <c r="F525" s="665"/>
      <c r="G525" s="5"/>
      <c r="H525" s="5"/>
      <c r="I525" s="5"/>
      <c r="J525" s="5"/>
      <c r="K525" s="5"/>
      <c r="L525" s="5"/>
      <c r="M525" s="5"/>
      <c r="N525" s="5"/>
      <c r="O525" s="5"/>
      <c r="R525" s="3"/>
      <c r="V525" s="6"/>
      <c r="W525" s="3"/>
      <c r="X525" s="7"/>
      <c r="AB525" s="4"/>
      <c r="AC525" s="5"/>
      <c r="AD525" s="4"/>
      <c r="AE525" s="5"/>
      <c r="AF525" s="7"/>
      <c r="AI525" s="6"/>
      <c r="AJ525" s="5"/>
      <c r="AK525" s="7"/>
      <c r="AN525" s="3"/>
      <c r="AO525" s="3"/>
      <c r="AP525" s="3"/>
    </row>
    <row r="526" spans="2:42" ht="11.1" customHeight="1" x14ac:dyDescent="0.2">
      <c r="B526" s="663" t="s">
        <v>66</v>
      </c>
      <c r="C526" s="815">
        <v>42774</v>
      </c>
      <c r="D526" s="817"/>
      <c r="E526" s="664" t="s">
        <v>129</v>
      </c>
      <c r="F526" s="665"/>
      <c r="G526" s="5"/>
      <c r="H526" s="5"/>
      <c r="I526" s="5"/>
      <c r="J526" s="5"/>
      <c r="K526" s="5"/>
      <c r="L526" s="5"/>
      <c r="M526" s="5"/>
      <c r="N526" s="5"/>
      <c r="O526" s="5"/>
      <c r="R526" s="3"/>
      <c r="V526" s="6"/>
      <c r="W526" s="3"/>
      <c r="X526" s="7"/>
      <c r="AB526" s="4"/>
      <c r="AC526" s="5"/>
      <c r="AD526" s="4"/>
      <c r="AE526" s="5"/>
      <c r="AF526" s="7"/>
      <c r="AI526" s="6"/>
      <c r="AJ526" s="5"/>
      <c r="AK526" s="7"/>
      <c r="AN526" s="3"/>
      <c r="AO526" s="3"/>
      <c r="AP526" s="3"/>
    </row>
    <row r="527" spans="2:42" ht="11.1" customHeight="1" x14ac:dyDescent="0.2">
      <c r="B527" s="663" t="s">
        <v>68</v>
      </c>
      <c r="C527" s="815">
        <v>41044</v>
      </c>
      <c r="D527" s="817"/>
      <c r="E527" s="664" t="s">
        <v>88</v>
      </c>
      <c r="F527" s="665"/>
      <c r="G527" s="5"/>
      <c r="H527" s="5"/>
      <c r="I527" s="5"/>
      <c r="J527" s="5"/>
      <c r="K527" s="5"/>
      <c r="L527" s="5"/>
      <c r="M527" s="5"/>
      <c r="N527" s="5"/>
      <c r="O527" s="5"/>
      <c r="R527" s="3"/>
      <c r="V527" s="6"/>
      <c r="W527" s="3"/>
      <c r="X527" s="7"/>
      <c r="AB527" s="4"/>
      <c r="AC527" s="5"/>
      <c r="AD527" s="4"/>
      <c r="AE527" s="5"/>
      <c r="AF527" s="7"/>
      <c r="AI527" s="6"/>
      <c r="AJ527" s="5"/>
      <c r="AK527" s="7"/>
      <c r="AN527" s="3"/>
      <c r="AO527" s="3"/>
      <c r="AP527" s="3"/>
    </row>
    <row r="528" spans="2:42" ht="11.1" customHeight="1" x14ac:dyDescent="0.2">
      <c r="B528" s="663" t="s">
        <v>68</v>
      </c>
      <c r="C528" s="815">
        <v>41143</v>
      </c>
      <c r="D528" s="817"/>
      <c r="E528" s="664" t="s">
        <v>69</v>
      </c>
      <c r="F528" s="665"/>
      <c r="G528" s="5"/>
      <c r="H528" s="5"/>
      <c r="I528" s="5"/>
      <c r="J528" s="5"/>
      <c r="K528" s="5"/>
      <c r="L528" s="5"/>
      <c r="M528" s="5"/>
      <c r="N528" s="5"/>
      <c r="O528" s="5"/>
      <c r="R528" s="3"/>
      <c r="V528" s="6"/>
      <c r="W528" s="3"/>
      <c r="X528" s="7"/>
      <c r="AB528" s="4"/>
      <c r="AC528" s="5"/>
      <c r="AD528" s="4"/>
      <c r="AE528" s="5"/>
      <c r="AF528" s="7"/>
      <c r="AI528" s="6"/>
      <c r="AJ528" s="5"/>
      <c r="AK528" s="7"/>
      <c r="AN528" s="3"/>
      <c r="AO528" s="3"/>
      <c r="AP528" s="3"/>
    </row>
    <row r="529" spans="2:42" ht="11.1" customHeight="1" x14ac:dyDescent="0.2">
      <c r="B529" s="663" t="s">
        <v>68</v>
      </c>
      <c r="C529" s="815">
        <v>41242</v>
      </c>
      <c r="D529" s="817"/>
      <c r="E529" s="664" t="s">
        <v>70</v>
      </c>
      <c r="F529" s="665"/>
      <c r="G529" s="5"/>
      <c r="H529" s="5"/>
      <c r="I529" s="5"/>
      <c r="J529" s="5"/>
      <c r="K529" s="5"/>
      <c r="L529" s="5"/>
      <c r="M529" s="5"/>
      <c r="N529" s="5"/>
      <c r="O529" s="5"/>
      <c r="R529" s="3"/>
      <c r="V529" s="6"/>
      <c r="W529" s="3"/>
      <c r="X529" s="7"/>
      <c r="AB529" s="4"/>
      <c r="AC529" s="5"/>
      <c r="AD529" s="4"/>
      <c r="AE529" s="5"/>
      <c r="AF529" s="7"/>
      <c r="AI529" s="6"/>
      <c r="AJ529" s="5"/>
      <c r="AK529" s="7"/>
      <c r="AN529" s="3"/>
      <c r="AO529" s="3"/>
      <c r="AP529" s="3"/>
    </row>
    <row r="530" spans="2:42" ht="11.1" customHeight="1" x14ac:dyDescent="0.2">
      <c r="B530" s="663" t="s">
        <v>68</v>
      </c>
      <c r="C530" s="815">
        <v>41331</v>
      </c>
      <c r="D530" s="817"/>
      <c r="E530" s="664"/>
      <c r="F530" s="665"/>
      <c r="G530" s="5"/>
      <c r="H530" s="5"/>
      <c r="I530" s="5"/>
      <c r="J530" s="5"/>
      <c r="K530" s="5"/>
      <c r="L530" s="5"/>
      <c r="M530" s="5"/>
      <c r="N530" s="5"/>
      <c r="O530" s="5"/>
      <c r="R530" s="3"/>
      <c r="V530" s="6"/>
      <c r="W530" s="3"/>
      <c r="X530" s="7"/>
      <c r="AB530" s="4"/>
      <c r="AC530" s="5"/>
      <c r="AD530" s="4"/>
      <c r="AE530" s="5"/>
      <c r="AF530" s="7"/>
      <c r="AI530" s="6"/>
      <c r="AJ530" s="5"/>
      <c r="AK530" s="7"/>
      <c r="AN530" s="3"/>
      <c r="AO530" s="3"/>
      <c r="AP530" s="3"/>
    </row>
    <row r="531" spans="2:42" ht="11.1" customHeight="1" x14ac:dyDescent="0.2">
      <c r="B531" s="663" t="s">
        <v>68</v>
      </c>
      <c r="C531" s="815">
        <v>41409</v>
      </c>
      <c r="D531" s="817"/>
      <c r="E531" s="664" t="s">
        <v>98</v>
      </c>
      <c r="F531" s="665"/>
      <c r="G531" s="5"/>
      <c r="H531" s="5"/>
      <c r="I531" s="5"/>
      <c r="J531" s="5"/>
      <c r="K531" s="5"/>
      <c r="L531" s="5"/>
      <c r="M531" s="5"/>
      <c r="N531" s="5"/>
      <c r="O531" s="5"/>
      <c r="R531" s="3"/>
      <c r="V531" s="6"/>
      <c r="W531" s="3"/>
      <c r="X531" s="7"/>
      <c r="AB531" s="4"/>
      <c r="AC531" s="5"/>
      <c r="AD531" s="4"/>
      <c r="AE531" s="5"/>
      <c r="AF531" s="7"/>
      <c r="AI531" s="6"/>
      <c r="AJ531" s="5"/>
      <c r="AK531" s="7"/>
      <c r="AN531" s="3"/>
      <c r="AO531" s="3"/>
      <c r="AP531" s="3"/>
    </row>
    <row r="532" spans="2:42" ht="11.1" customHeight="1" x14ac:dyDescent="0.2">
      <c r="B532" s="663" t="s">
        <v>68</v>
      </c>
      <c r="C532" s="815">
        <v>41507</v>
      </c>
      <c r="D532" s="817"/>
      <c r="E532" s="664" t="s">
        <v>99</v>
      </c>
      <c r="F532" s="665"/>
      <c r="G532" s="5"/>
      <c r="H532" s="5"/>
      <c r="I532" s="5"/>
      <c r="J532" s="5"/>
      <c r="K532" s="5"/>
      <c r="L532" s="5"/>
      <c r="M532" s="5"/>
      <c r="N532" s="5"/>
      <c r="O532" s="5"/>
      <c r="R532" s="3"/>
      <c r="V532" s="6"/>
      <c r="W532" s="3"/>
      <c r="X532" s="7"/>
      <c r="AB532" s="4"/>
      <c r="AC532" s="5"/>
      <c r="AD532" s="4"/>
      <c r="AE532" s="5"/>
      <c r="AF532" s="7"/>
      <c r="AI532" s="6"/>
      <c r="AJ532" s="5"/>
      <c r="AK532" s="7"/>
      <c r="AN532" s="3"/>
      <c r="AO532" s="3"/>
      <c r="AP532" s="3"/>
    </row>
    <row r="533" spans="2:42" ht="11.1" customHeight="1" x14ac:dyDescent="0.2">
      <c r="B533" s="663" t="s">
        <v>68</v>
      </c>
      <c r="C533" s="815">
        <v>41603</v>
      </c>
      <c r="D533" s="817"/>
      <c r="E533" s="664" t="s">
        <v>81</v>
      </c>
      <c r="F533" s="665"/>
      <c r="G533" s="5"/>
      <c r="H533" s="5"/>
      <c r="I533" s="5"/>
      <c r="J533" s="5"/>
      <c r="K533" s="5"/>
      <c r="L533" s="5"/>
      <c r="M533" s="5"/>
      <c r="N533" s="5"/>
      <c r="O533" s="5"/>
      <c r="R533" s="3"/>
      <c r="V533" s="6"/>
      <c r="W533" s="3"/>
      <c r="X533" s="7"/>
      <c r="AB533" s="4"/>
      <c r="AC533" s="5"/>
      <c r="AD533" s="4"/>
      <c r="AE533" s="5"/>
      <c r="AF533" s="7"/>
      <c r="AI533" s="6"/>
      <c r="AJ533" s="5"/>
      <c r="AK533" s="7"/>
      <c r="AN533" s="3"/>
      <c r="AO533" s="3"/>
      <c r="AP533" s="3"/>
    </row>
    <row r="534" spans="2:42" ht="11.1" customHeight="1" x14ac:dyDescent="0.2">
      <c r="B534" s="663" t="s">
        <v>68</v>
      </c>
      <c r="C534" s="815">
        <v>41694</v>
      </c>
      <c r="D534" s="817"/>
      <c r="E534" s="664" t="s">
        <v>100</v>
      </c>
      <c r="F534" s="665"/>
      <c r="G534" s="5"/>
      <c r="H534" s="5"/>
      <c r="I534" s="5"/>
      <c r="J534" s="5"/>
      <c r="K534" s="5"/>
      <c r="L534" s="5"/>
      <c r="M534" s="5"/>
      <c r="N534" s="5"/>
      <c r="O534" s="5"/>
      <c r="R534" s="3"/>
      <c r="V534" s="6"/>
      <c r="W534" s="3"/>
      <c r="X534" s="7"/>
      <c r="AB534" s="4"/>
      <c r="AC534" s="5"/>
      <c r="AD534" s="4"/>
      <c r="AE534" s="5"/>
      <c r="AF534" s="7"/>
      <c r="AI534" s="6"/>
      <c r="AJ534" s="5"/>
      <c r="AK534" s="7"/>
      <c r="AN534" s="3"/>
      <c r="AO534" s="3"/>
      <c r="AP534" s="3"/>
    </row>
    <row r="535" spans="2:42" ht="11.1" customHeight="1" x14ac:dyDescent="0.2">
      <c r="B535" s="663" t="s">
        <v>68</v>
      </c>
      <c r="C535" s="815">
        <v>41780</v>
      </c>
      <c r="D535" s="817"/>
      <c r="E535" s="664" t="s">
        <v>131</v>
      </c>
      <c r="F535" s="665"/>
      <c r="G535" s="5"/>
      <c r="H535" s="5"/>
      <c r="I535" s="5"/>
      <c r="J535" s="5"/>
      <c r="K535" s="5"/>
      <c r="L535" s="5"/>
      <c r="M535" s="5"/>
      <c r="N535" s="5"/>
      <c r="O535" s="5"/>
      <c r="R535" s="3"/>
      <c r="V535" s="6"/>
      <c r="W535" s="3"/>
      <c r="X535" s="7"/>
      <c r="AB535" s="4"/>
      <c r="AC535" s="5"/>
      <c r="AD535" s="4"/>
      <c r="AE535" s="5"/>
      <c r="AF535" s="7"/>
      <c r="AI535" s="6"/>
      <c r="AJ535" s="5"/>
      <c r="AK535" s="7"/>
      <c r="AN535" s="3"/>
      <c r="AO535" s="3"/>
      <c r="AP535" s="3"/>
    </row>
    <row r="536" spans="2:42" ht="11.1" customHeight="1" x14ac:dyDescent="0.2">
      <c r="B536" s="663" t="s">
        <v>68</v>
      </c>
      <c r="C536" s="815">
        <v>41870</v>
      </c>
      <c r="D536" s="817"/>
      <c r="E536" s="664" t="s">
        <v>133</v>
      </c>
      <c r="F536" s="665"/>
      <c r="G536" s="5"/>
      <c r="H536" s="5"/>
      <c r="I536" s="5"/>
      <c r="J536" s="5"/>
      <c r="K536" s="5"/>
      <c r="L536" s="5"/>
      <c r="M536" s="5"/>
      <c r="N536" s="5"/>
      <c r="O536" s="5"/>
      <c r="R536" s="3"/>
      <c r="V536" s="6"/>
      <c r="W536" s="3"/>
      <c r="X536" s="7"/>
      <c r="AB536" s="4"/>
      <c r="AC536" s="5"/>
      <c r="AD536" s="4"/>
      <c r="AE536" s="5"/>
      <c r="AF536" s="7"/>
      <c r="AI536" s="6"/>
      <c r="AJ536" s="5"/>
      <c r="AK536" s="7"/>
      <c r="AN536" s="3"/>
      <c r="AO536" s="3"/>
      <c r="AP536" s="3"/>
    </row>
    <row r="537" spans="2:42" ht="11.1" customHeight="1" x14ac:dyDescent="0.2">
      <c r="B537" s="663" t="s">
        <v>68</v>
      </c>
      <c r="C537" s="815">
        <v>41955</v>
      </c>
      <c r="D537" s="817"/>
      <c r="E537" s="664" t="s">
        <v>134</v>
      </c>
      <c r="F537" s="665"/>
      <c r="G537" s="5"/>
      <c r="H537" s="5"/>
      <c r="I537" s="5"/>
      <c r="J537" s="5"/>
      <c r="K537" s="5"/>
      <c r="L537" s="5"/>
      <c r="M537" s="5"/>
      <c r="N537" s="5"/>
      <c r="O537" s="5"/>
      <c r="R537" s="3"/>
      <c r="V537" s="6"/>
      <c r="W537" s="3"/>
      <c r="X537" s="7"/>
      <c r="AB537" s="4"/>
      <c r="AC537" s="5"/>
      <c r="AD537" s="4"/>
      <c r="AE537" s="5"/>
      <c r="AF537" s="7"/>
      <c r="AI537" s="6"/>
      <c r="AJ537" s="5"/>
      <c r="AK537" s="7"/>
      <c r="AN537" s="3"/>
      <c r="AO537" s="3"/>
      <c r="AP537" s="3"/>
    </row>
    <row r="538" spans="2:42" ht="11.1" customHeight="1" x14ac:dyDescent="0.2">
      <c r="B538" s="663" t="s">
        <v>68</v>
      </c>
      <c r="C538" s="815">
        <v>42051</v>
      </c>
      <c r="D538" s="817"/>
      <c r="E538" s="664" t="s">
        <v>62</v>
      </c>
      <c r="F538" s="665"/>
      <c r="G538" s="5"/>
      <c r="H538" s="5"/>
      <c r="I538" s="5"/>
      <c r="J538" s="5"/>
      <c r="K538" s="5"/>
      <c r="L538" s="5"/>
      <c r="M538" s="5"/>
      <c r="N538" s="5"/>
      <c r="O538" s="5"/>
      <c r="R538" s="3"/>
      <c r="V538" s="6"/>
      <c r="W538" s="3"/>
      <c r="X538" s="7"/>
      <c r="AB538" s="4"/>
      <c r="AC538" s="5"/>
      <c r="AD538" s="4"/>
      <c r="AE538" s="5"/>
      <c r="AF538" s="7"/>
      <c r="AI538" s="6"/>
      <c r="AJ538" s="5"/>
      <c r="AK538" s="7"/>
      <c r="AN538" s="3"/>
      <c r="AO538" s="3"/>
      <c r="AP538" s="3"/>
    </row>
    <row r="539" spans="2:42" ht="11.1" customHeight="1" x14ac:dyDescent="0.2">
      <c r="B539" s="663" t="s">
        <v>68</v>
      </c>
      <c r="C539" s="815">
        <v>42151</v>
      </c>
      <c r="D539" s="817"/>
      <c r="E539" s="664" t="s">
        <v>124</v>
      </c>
      <c r="F539" s="665"/>
      <c r="G539" s="5"/>
      <c r="H539" s="5"/>
      <c r="I539" s="5"/>
      <c r="J539" s="5"/>
      <c r="K539" s="5"/>
      <c r="L539" s="5"/>
      <c r="M539" s="5"/>
      <c r="N539" s="5"/>
      <c r="O539" s="5"/>
      <c r="R539" s="3"/>
      <c r="V539" s="6"/>
      <c r="W539" s="3"/>
      <c r="X539" s="7"/>
      <c r="AB539" s="4"/>
      <c r="AC539" s="5"/>
      <c r="AD539" s="4"/>
      <c r="AE539" s="5"/>
      <c r="AF539" s="7"/>
      <c r="AI539" s="6"/>
      <c r="AJ539" s="5"/>
      <c r="AK539" s="7"/>
      <c r="AN539" s="3"/>
      <c r="AO539" s="3"/>
      <c r="AP539" s="3"/>
    </row>
    <row r="540" spans="2:42" ht="11.1" customHeight="1" x14ac:dyDescent="0.2">
      <c r="B540" s="663" t="s">
        <v>68</v>
      </c>
      <c r="C540" s="815">
        <v>42247</v>
      </c>
      <c r="D540" s="817"/>
      <c r="E540" s="664" t="s">
        <v>120</v>
      </c>
      <c r="F540" s="665"/>
      <c r="G540" s="5"/>
      <c r="H540" s="5"/>
      <c r="I540" s="5"/>
      <c r="J540" s="5"/>
      <c r="K540" s="5"/>
      <c r="L540" s="5"/>
      <c r="M540" s="5"/>
      <c r="N540" s="5"/>
      <c r="O540" s="5"/>
      <c r="R540" s="3"/>
      <c r="V540" s="6"/>
      <c r="W540" s="3"/>
      <c r="X540" s="7"/>
      <c r="AB540" s="4"/>
      <c r="AC540" s="5"/>
      <c r="AD540" s="4"/>
      <c r="AE540" s="5"/>
      <c r="AF540" s="7"/>
      <c r="AI540" s="6"/>
      <c r="AJ540" s="5"/>
      <c r="AK540" s="7"/>
      <c r="AN540" s="3"/>
      <c r="AO540" s="3"/>
      <c r="AP540" s="3"/>
    </row>
    <row r="541" spans="2:42" ht="11.1" customHeight="1" x14ac:dyDescent="0.2">
      <c r="B541" s="663" t="s">
        <v>68</v>
      </c>
      <c r="C541" s="815">
        <v>42325</v>
      </c>
      <c r="D541" s="817"/>
      <c r="E541" s="664" t="s">
        <v>148</v>
      </c>
      <c r="F541" s="665"/>
      <c r="G541" s="5"/>
      <c r="H541" s="5"/>
      <c r="I541" s="5"/>
      <c r="J541" s="5"/>
      <c r="K541" s="5"/>
      <c r="L541" s="5"/>
      <c r="M541" s="5"/>
      <c r="N541" s="5"/>
      <c r="O541" s="5"/>
      <c r="R541" s="3"/>
      <c r="V541" s="6"/>
      <c r="W541" s="3"/>
      <c r="X541" s="7"/>
      <c r="AB541" s="4"/>
      <c r="AC541" s="5"/>
      <c r="AD541" s="4"/>
      <c r="AE541" s="5"/>
      <c r="AF541" s="7"/>
      <c r="AI541" s="6"/>
      <c r="AJ541" s="5"/>
      <c r="AK541" s="7"/>
      <c r="AN541" s="3"/>
      <c r="AO541" s="3"/>
      <c r="AP541" s="3"/>
    </row>
    <row r="542" spans="2:42" ht="11.1" customHeight="1" x14ac:dyDescent="0.2">
      <c r="B542" s="663" t="s">
        <v>68</v>
      </c>
      <c r="C542" s="815">
        <v>42410</v>
      </c>
      <c r="D542" s="817"/>
      <c r="E542" s="664" t="s">
        <v>126</v>
      </c>
      <c r="F542" s="665"/>
      <c r="G542" s="5"/>
      <c r="H542" s="5"/>
      <c r="I542" s="5"/>
      <c r="J542" s="5"/>
      <c r="K542" s="5"/>
      <c r="L542" s="5"/>
      <c r="M542" s="5"/>
      <c r="N542" s="5"/>
      <c r="O542" s="5"/>
      <c r="R542" s="3"/>
      <c r="V542" s="6"/>
      <c r="W542" s="3"/>
      <c r="X542" s="7"/>
      <c r="AB542" s="4"/>
      <c r="AC542" s="5"/>
      <c r="AD542" s="4"/>
      <c r="AE542" s="5"/>
      <c r="AF542" s="7"/>
      <c r="AI542" s="6"/>
      <c r="AJ542" s="5"/>
      <c r="AK542" s="7"/>
      <c r="AN542" s="3"/>
      <c r="AO542" s="3"/>
      <c r="AP542" s="3"/>
    </row>
    <row r="543" spans="2:42" ht="11.1" customHeight="1" x14ac:dyDescent="0.2">
      <c r="B543" s="663" t="s">
        <v>68</v>
      </c>
      <c r="C543" s="815">
        <v>42586</v>
      </c>
      <c r="D543" s="817"/>
      <c r="E543" s="664" t="s">
        <v>127</v>
      </c>
      <c r="F543" s="665"/>
      <c r="G543" s="5"/>
      <c r="H543" s="5"/>
      <c r="I543" s="5"/>
      <c r="J543" s="5"/>
      <c r="K543" s="5"/>
      <c r="L543" s="5"/>
      <c r="M543" s="5"/>
      <c r="N543" s="5"/>
      <c r="O543" s="5"/>
      <c r="R543" s="3"/>
      <c r="V543" s="6"/>
      <c r="W543" s="3"/>
      <c r="X543" s="7"/>
      <c r="AB543" s="4"/>
      <c r="AC543" s="5"/>
      <c r="AD543" s="4"/>
      <c r="AE543" s="5"/>
      <c r="AF543" s="7"/>
      <c r="AI543" s="6"/>
      <c r="AJ543" s="5"/>
      <c r="AK543" s="7"/>
      <c r="AN543" s="3"/>
      <c r="AO543" s="3"/>
      <c r="AP543" s="3"/>
    </row>
    <row r="544" spans="2:42" ht="11.1" customHeight="1" x14ac:dyDescent="0.2">
      <c r="B544" s="663" t="s">
        <v>68</v>
      </c>
      <c r="C544" s="815">
        <v>42695</v>
      </c>
      <c r="D544" s="817"/>
      <c r="E544" s="664" t="s">
        <v>123</v>
      </c>
      <c r="F544" s="665"/>
      <c r="G544" s="5"/>
      <c r="H544" s="5"/>
      <c r="I544" s="5"/>
      <c r="J544" s="5"/>
      <c r="K544" s="5"/>
      <c r="L544" s="5"/>
      <c r="M544" s="5"/>
      <c r="N544" s="5"/>
      <c r="O544" s="5"/>
      <c r="R544" s="3"/>
      <c r="V544" s="6"/>
      <c r="W544" s="3"/>
      <c r="X544" s="7"/>
      <c r="AB544" s="4"/>
      <c r="AC544" s="5"/>
      <c r="AD544" s="4"/>
      <c r="AE544" s="5"/>
      <c r="AF544" s="7"/>
      <c r="AI544" s="6"/>
      <c r="AJ544" s="5"/>
      <c r="AK544" s="7"/>
      <c r="AN544" s="3"/>
      <c r="AO544" s="3"/>
      <c r="AP544" s="3"/>
    </row>
    <row r="545" spans="2:42" ht="11.1" customHeight="1" x14ac:dyDescent="0.2">
      <c r="B545" s="663" t="s">
        <v>71</v>
      </c>
      <c r="C545" s="815">
        <v>41045</v>
      </c>
      <c r="D545" s="817"/>
      <c r="E545" s="664" t="s">
        <v>103</v>
      </c>
      <c r="F545" s="665"/>
      <c r="G545" s="5"/>
      <c r="H545" s="5"/>
      <c r="I545" s="5"/>
      <c r="J545" s="5"/>
      <c r="K545" s="5"/>
      <c r="L545" s="5"/>
      <c r="M545" s="5"/>
      <c r="N545" s="5"/>
      <c r="O545" s="5"/>
      <c r="R545" s="3"/>
      <c r="V545" s="6"/>
      <c r="W545" s="3"/>
      <c r="X545" s="7"/>
      <c r="AB545" s="4"/>
      <c r="AC545" s="5"/>
      <c r="AD545" s="4"/>
      <c r="AE545" s="5"/>
      <c r="AF545" s="7"/>
      <c r="AI545" s="6"/>
      <c r="AJ545" s="5"/>
      <c r="AK545" s="7"/>
      <c r="AN545" s="3"/>
      <c r="AO545" s="3"/>
      <c r="AP545" s="3"/>
    </row>
    <row r="546" spans="2:42" ht="11.1" customHeight="1" x14ac:dyDescent="0.2">
      <c r="B546" s="663" t="s">
        <v>71</v>
      </c>
      <c r="C546" s="815">
        <v>41144</v>
      </c>
      <c r="D546" s="817"/>
      <c r="E546" s="664" t="s">
        <v>82</v>
      </c>
      <c r="F546" s="665"/>
      <c r="G546" s="5"/>
      <c r="H546" s="5"/>
      <c r="I546" s="5"/>
      <c r="J546" s="5"/>
      <c r="K546" s="5"/>
      <c r="L546" s="5"/>
      <c r="M546" s="5"/>
      <c r="N546" s="5"/>
      <c r="O546" s="5"/>
      <c r="R546" s="3"/>
      <c r="V546" s="6"/>
      <c r="W546" s="3"/>
      <c r="X546" s="7"/>
      <c r="AB546" s="4"/>
      <c r="AC546" s="5"/>
      <c r="AD546" s="4"/>
      <c r="AE546" s="5"/>
      <c r="AF546" s="7"/>
      <c r="AI546" s="6"/>
      <c r="AJ546" s="5"/>
      <c r="AK546" s="7"/>
      <c r="AN546" s="3"/>
      <c r="AO546" s="3"/>
      <c r="AP546" s="3"/>
    </row>
    <row r="547" spans="2:42" ht="11.1" customHeight="1" x14ac:dyDescent="0.2">
      <c r="B547" s="663" t="s">
        <v>71</v>
      </c>
      <c r="C547" s="815">
        <v>41416</v>
      </c>
      <c r="D547" s="817"/>
      <c r="E547" s="664" t="s">
        <v>99</v>
      </c>
      <c r="F547" s="665"/>
      <c r="G547" s="5"/>
      <c r="H547" s="5"/>
      <c r="I547" s="5"/>
      <c r="J547" s="5"/>
      <c r="K547" s="5"/>
      <c r="L547" s="5"/>
      <c r="M547" s="5"/>
      <c r="N547" s="5"/>
      <c r="O547" s="5"/>
      <c r="R547" s="3"/>
      <c r="V547" s="6"/>
      <c r="W547" s="3"/>
      <c r="X547" s="7"/>
      <c r="AB547" s="4"/>
      <c r="AC547" s="5"/>
      <c r="AD547" s="4"/>
      <c r="AE547" s="5"/>
      <c r="AF547" s="7"/>
      <c r="AI547" s="6"/>
      <c r="AJ547" s="5"/>
      <c r="AK547" s="7"/>
      <c r="AN547" s="3"/>
      <c r="AO547" s="3"/>
      <c r="AP547" s="3"/>
    </row>
    <row r="548" spans="2:42" ht="11.1" customHeight="1" x14ac:dyDescent="0.2">
      <c r="B548" s="663" t="s">
        <v>71</v>
      </c>
      <c r="C548" s="815">
        <v>41512</v>
      </c>
      <c r="D548" s="817"/>
      <c r="E548" s="664"/>
      <c r="F548" s="665"/>
      <c r="G548" s="5"/>
      <c r="H548" s="5"/>
      <c r="I548" s="5"/>
      <c r="J548" s="5"/>
      <c r="K548" s="5"/>
      <c r="L548" s="5"/>
      <c r="M548" s="5"/>
      <c r="N548" s="5"/>
      <c r="O548" s="5"/>
      <c r="R548" s="3"/>
      <c r="V548" s="6"/>
      <c r="W548" s="3"/>
      <c r="X548" s="7"/>
      <c r="AB548" s="4"/>
      <c r="AC548" s="5"/>
      <c r="AD548" s="4"/>
      <c r="AE548" s="5"/>
      <c r="AF548" s="7"/>
      <c r="AI548" s="6"/>
      <c r="AJ548" s="5"/>
      <c r="AK548" s="7"/>
      <c r="AN548" s="3"/>
      <c r="AO548" s="3"/>
      <c r="AP548" s="3"/>
    </row>
    <row r="549" spans="2:42" ht="11.1" customHeight="1" x14ac:dyDescent="0.2">
      <c r="B549" s="663" t="s">
        <v>71</v>
      </c>
      <c r="C549" s="815">
        <v>41605</v>
      </c>
      <c r="D549" s="817"/>
      <c r="E549" s="664" t="s">
        <v>62</v>
      </c>
      <c r="F549" s="665"/>
      <c r="G549" s="5"/>
      <c r="H549" s="5"/>
      <c r="I549" s="5"/>
      <c r="J549" s="5"/>
      <c r="K549" s="5"/>
      <c r="L549" s="5"/>
      <c r="M549" s="5"/>
      <c r="N549" s="5"/>
      <c r="O549" s="5"/>
      <c r="R549" s="3"/>
      <c r="V549" s="6"/>
      <c r="W549" s="3"/>
      <c r="X549" s="7"/>
      <c r="AB549" s="4"/>
      <c r="AC549" s="5"/>
      <c r="AD549" s="4"/>
      <c r="AE549" s="5"/>
      <c r="AF549" s="7"/>
      <c r="AI549" s="6"/>
      <c r="AJ549" s="5"/>
      <c r="AK549" s="7"/>
      <c r="AN549" s="3"/>
      <c r="AO549" s="3"/>
      <c r="AP549" s="3"/>
    </row>
    <row r="550" spans="2:42" ht="11.1" customHeight="1" x14ac:dyDescent="0.2">
      <c r="B550" s="663" t="s">
        <v>71</v>
      </c>
      <c r="C550" s="815">
        <v>41691</v>
      </c>
      <c r="D550" s="817"/>
      <c r="E550" s="664" t="s">
        <v>62</v>
      </c>
      <c r="F550" s="665"/>
      <c r="G550" s="5"/>
      <c r="H550" s="5"/>
      <c r="I550" s="5"/>
      <c r="J550" s="5"/>
      <c r="K550" s="5"/>
      <c r="L550" s="5"/>
      <c r="M550" s="5"/>
      <c r="N550" s="5"/>
      <c r="O550" s="5"/>
      <c r="R550" s="3"/>
      <c r="V550" s="6"/>
      <c r="W550" s="3"/>
      <c r="X550" s="7"/>
      <c r="AB550" s="4"/>
      <c r="AC550" s="5"/>
      <c r="AD550" s="4"/>
      <c r="AE550" s="5"/>
      <c r="AF550" s="7"/>
      <c r="AI550" s="6"/>
      <c r="AJ550" s="5"/>
      <c r="AK550" s="7"/>
      <c r="AN550" s="3"/>
      <c r="AO550" s="3"/>
      <c r="AP550" s="3"/>
    </row>
    <row r="551" spans="2:42" ht="11.1" customHeight="1" x14ac:dyDescent="0.2">
      <c r="B551" s="663" t="s">
        <v>71</v>
      </c>
      <c r="C551" s="815">
        <v>41779</v>
      </c>
      <c r="D551" s="817"/>
      <c r="E551" s="664" t="s">
        <v>124</v>
      </c>
      <c r="F551" s="665"/>
      <c r="G551" s="5"/>
      <c r="H551" s="5"/>
      <c r="I551" s="5"/>
      <c r="J551" s="5"/>
      <c r="K551" s="5"/>
      <c r="L551" s="5"/>
      <c r="M551" s="5"/>
      <c r="N551" s="5"/>
      <c r="O551" s="5"/>
      <c r="R551" s="3"/>
      <c r="V551" s="6"/>
      <c r="W551" s="3"/>
      <c r="X551" s="7"/>
      <c r="AB551" s="4"/>
      <c r="AC551" s="5"/>
      <c r="AD551" s="4"/>
      <c r="AE551" s="5"/>
      <c r="AF551" s="7"/>
      <c r="AI551" s="6"/>
      <c r="AJ551" s="5"/>
      <c r="AK551" s="7"/>
      <c r="AN551" s="3"/>
      <c r="AO551" s="3"/>
      <c r="AP551" s="3"/>
    </row>
    <row r="552" spans="2:42" ht="11.1" customHeight="1" x14ac:dyDescent="0.2">
      <c r="B552" s="663" t="s">
        <v>71</v>
      </c>
      <c r="C552" s="815">
        <v>41871</v>
      </c>
      <c r="D552" s="817"/>
      <c r="E552" s="664" t="s">
        <v>121</v>
      </c>
      <c r="F552" s="665"/>
      <c r="G552" s="5"/>
      <c r="H552" s="5"/>
      <c r="I552" s="5"/>
      <c r="J552" s="5"/>
      <c r="K552" s="5"/>
      <c r="L552" s="5"/>
      <c r="M552" s="5"/>
      <c r="N552" s="5"/>
      <c r="O552" s="5"/>
      <c r="R552" s="3"/>
      <c r="V552" s="6"/>
      <c r="W552" s="3"/>
      <c r="X552" s="7"/>
      <c r="AB552" s="4"/>
      <c r="AC552" s="5"/>
      <c r="AD552" s="4"/>
      <c r="AE552" s="5"/>
      <c r="AF552" s="7"/>
      <c r="AI552" s="6"/>
      <c r="AJ552" s="5"/>
      <c r="AK552" s="7"/>
      <c r="AN552" s="3"/>
      <c r="AO552" s="3"/>
      <c r="AP552" s="3"/>
    </row>
    <row r="553" spans="2:42" ht="11.1" customHeight="1" x14ac:dyDescent="0.2">
      <c r="B553" s="663" t="s">
        <v>71</v>
      </c>
      <c r="C553" s="815">
        <v>41954</v>
      </c>
      <c r="D553" s="817"/>
      <c r="E553" s="664" t="s">
        <v>122</v>
      </c>
      <c r="F553" s="665"/>
      <c r="G553" s="5"/>
      <c r="H553" s="5"/>
      <c r="I553" s="5"/>
      <c r="J553" s="5"/>
      <c r="K553" s="5"/>
      <c r="L553" s="5"/>
      <c r="M553" s="5"/>
      <c r="N553" s="5"/>
      <c r="O553" s="5"/>
      <c r="R553" s="3"/>
      <c r="V553" s="6"/>
      <c r="W553" s="3"/>
      <c r="X553" s="7"/>
      <c r="AB553" s="4"/>
      <c r="AC553" s="5"/>
      <c r="AD553" s="4"/>
      <c r="AE553" s="5"/>
      <c r="AF553" s="7"/>
      <c r="AI553" s="6"/>
      <c r="AJ553" s="5"/>
      <c r="AK553" s="7"/>
      <c r="AN553" s="3"/>
      <c r="AO553" s="3"/>
      <c r="AP553" s="3"/>
    </row>
    <row r="554" spans="2:42" ht="11.1" customHeight="1" x14ac:dyDescent="0.2">
      <c r="B554" s="663" t="s">
        <v>71</v>
      </c>
      <c r="C554" s="815">
        <v>42275</v>
      </c>
      <c r="D554" s="817"/>
      <c r="E554" s="664" t="s">
        <v>121</v>
      </c>
      <c r="F554" s="665"/>
      <c r="G554" s="5"/>
      <c r="H554" s="5"/>
      <c r="I554" s="5"/>
      <c r="J554" s="5"/>
      <c r="K554" s="5"/>
      <c r="L554" s="5"/>
      <c r="M554" s="5"/>
      <c r="N554" s="5"/>
      <c r="O554" s="5"/>
      <c r="R554" s="3"/>
      <c r="V554" s="6"/>
      <c r="W554" s="3"/>
      <c r="X554" s="7"/>
      <c r="AB554" s="4"/>
      <c r="AC554" s="5"/>
      <c r="AD554" s="4"/>
      <c r="AE554" s="5"/>
      <c r="AF554" s="7"/>
      <c r="AI554" s="6"/>
      <c r="AJ554" s="5"/>
      <c r="AK554" s="7"/>
      <c r="AN554" s="3"/>
      <c r="AO554" s="3"/>
      <c r="AP554" s="3"/>
    </row>
    <row r="555" spans="2:42" ht="11.1" customHeight="1" x14ac:dyDescent="0.2">
      <c r="B555" s="663" t="s">
        <v>71</v>
      </c>
      <c r="C555" s="815">
        <v>42712</v>
      </c>
      <c r="D555" s="817"/>
      <c r="E555" s="664" t="s">
        <v>130</v>
      </c>
      <c r="F555" s="665"/>
      <c r="G555" s="5"/>
      <c r="H555" s="5"/>
      <c r="I555" s="5"/>
      <c r="J555" s="5"/>
      <c r="K555" s="5"/>
      <c r="L555" s="5"/>
      <c r="M555" s="5"/>
      <c r="N555" s="5"/>
      <c r="O555" s="5"/>
      <c r="R555" s="3"/>
      <c r="V555" s="6"/>
      <c r="W555" s="3"/>
      <c r="X555" s="7"/>
      <c r="AB555" s="4"/>
      <c r="AC555" s="5"/>
      <c r="AD555" s="4"/>
      <c r="AE555" s="5"/>
      <c r="AF555" s="7"/>
      <c r="AI555" s="6"/>
      <c r="AJ555" s="5"/>
      <c r="AK555" s="7"/>
      <c r="AN555" s="3"/>
      <c r="AO555" s="3"/>
      <c r="AP555" s="3"/>
    </row>
    <row r="556" spans="2:42" ht="11.1" customHeight="1" x14ac:dyDescent="0.2">
      <c r="B556" s="663" t="s">
        <v>72</v>
      </c>
      <c r="C556" s="815">
        <v>41243</v>
      </c>
      <c r="D556" s="817"/>
      <c r="E556" s="664" t="s">
        <v>103</v>
      </c>
      <c r="F556" s="665"/>
      <c r="G556" s="5"/>
      <c r="H556" s="5"/>
      <c r="I556" s="5"/>
      <c r="J556" s="5"/>
      <c r="K556" s="5"/>
      <c r="L556" s="5"/>
      <c r="M556" s="5"/>
      <c r="N556" s="5"/>
      <c r="O556" s="5"/>
      <c r="R556" s="3"/>
      <c r="V556" s="6"/>
      <c r="W556" s="3"/>
      <c r="X556" s="7"/>
      <c r="AB556" s="4"/>
      <c r="AC556" s="5"/>
      <c r="AD556" s="4"/>
      <c r="AE556" s="5"/>
      <c r="AF556" s="7"/>
      <c r="AI556" s="6"/>
      <c r="AJ556" s="5"/>
      <c r="AK556" s="7"/>
      <c r="AN556" s="3"/>
      <c r="AO556" s="3"/>
      <c r="AP556" s="3"/>
    </row>
    <row r="557" spans="2:42" ht="11.1" customHeight="1" x14ac:dyDescent="0.2">
      <c r="B557" s="663" t="s">
        <v>72</v>
      </c>
      <c r="C557" s="815">
        <v>41323</v>
      </c>
      <c r="D557" s="817"/>
      <c r="E557" s="664" t="s">
        <v>104</v>
      </c>
      <c r="F557" s="665"/>
      <c r="G557" s="5"/>
      <c r="H557" s="5"/>
      <c r="I557" s="5"/>
      <c r="J557" s="5"/>
      <c r="K557" s="5"/>
      <c r="L557" s="5"/>
      <c r="M557" s="5"/>
      <c r="N557" s="5"/>
      <c r="O557" s="5"/>
      <c r="R557" s="3"/>
      <c r="V557" s="6"/>
      <c r="W557" s="3"/>
      <c r="X557" s="7"/>
      <c r="AB557" s="4"/>
      <c r="AC557" s="5"/>
      <c r="AD557" s="4"/>
      <c r="AE557" s="5"/>
      <c r="AF557" s="7"/>
      <c r="AI557" s="6"/>
      <c r="AJ557" s="5"/>
      <c r="AK557" s="7"/>
      <c r="AN557" s="3"/>
      <c r="AO557" s="3"/>
      <c r="AP557" s="3"/>
    </row>
    <row r="558" spans="2:42" ht="11.1" customHeight="1" x14ac:dyDescent="0.2">
      <c r="B558" s="663" t="s">
        <v>73</v>
      </c>
      <c r="C558" s="815">
        <v>41038</v>
      </c>
      <c r="D558" s="817"/>
      <c r="E558" s="664" t="s">
        <v>105</v>
      </c>
      <c r="F558" s="665"/>
      <c r="G558" s="5"/>
      <c r="H558" s="5"/>
      <c r="I558" s="5"/>
      <c r="J558" s="5"/>
      <c r="K558" s="5"/>
      <c r="L558" s="5"/>
      <c r="M558" s="5"/>
      <c r="N558" s="5"/>
      <c r="O558" s="5"/>
      <c r="R558" s="3"/>
      <c r="V558" s="6"/>
      <c r="W558" s="3"/>
      <c r="X558" s="7"/>
      <c r="AB558" s="4"/>
      <c r="AC558" s="5"/>
      <c r="AD558" s="4"/>
      <c r="AE558" s="5"/>
      <c r="AF558" s="7"/>
      <c r="AI558" s="6"/>
      <c r="AJ558" s="5"/>
      <c r="AK558" s="7"/>
      <c r="AN558" s="3"/>
      <c r="AO558" s="3"/>
      <c r="AP558" s="3"/>
    </row>
    <row r="559" spans="2:42" ht="11.1" customHeight="1" x14ac:dyDescent="0.2">
      <c r="B559" s="663" t="s">
        <v>73</v>
      </c>
      <c r="C559" s="815">
        <v>41124</v>
      </c>
      <c r="D559" s="817"/>
      <c r="E559" s="664" t="s">
        <v>74</v>
      </c>
      <c r="F559" s="665"/>
      <c r="G559" s="5"/>
      <c r="H559" s="5"/>
      <c r="I559" s="5"/>
      <c r="J559" s="5"/>
      <c r="K559" s="5"/>
      <c r="L559" s="5"/>
      <c r="M559" s="5"/>
      <c r="N559" s="5"/>
      <c r="O559" s="5"/>
      <c r="R559" s="3"/>
      <c r="V559" s="6"/>
      <c r="W559" s="3"/>
      <c r="X559" s="7"/>
      <c r="AB559" s="4"/>
      <c r="AC559" s="5"/>
      <c r="AD559" s="4"/>
      <c r="AE559" s="5"/>
      <c r="AF559" s="7"/>
      <c r="AI559" s="6"/>
      <c r="AJ559" s="5"/>
      <c r="AK559" s="7"/>
      <c r="AN559" s="3"/>
      <c r="AO559" s="3"/>
      <c r="AP559" s="3"/>
    </row>
    <row r="560" spans="2:42" ht="11.1" customHeight="1" x14ac:dyDescent="0.2">
      <c r="B560" s="663" t="s">
        <v>73</v>
      </c>
      <c r="C560" s="815">
        <v>41241</v>
      </c>
      <c r="D560" s="817"/>
      <c r="E560" s="664" t="s">
        <v>89</v>
      </c>
      <c r="F560" s="665"/>
      <c r="G560" s="5"/>
      <c r="H560" s="5"/>
      <c r="I560" s="5"/>
      <c r="J560" s="5"/>
      <c r="K560" s="5"/>
      <c r="L560" s="5"/>
      <c r="M560" s="5"/>
      <c r="N560" s="5"/>
      <c r="O560" s="5"/>
      <c r="R560" s="3"/>
      <c r="V560" s="6"/>
      <c r="W560" s="3"/>
      <c r="X560" s="7"/>
      <c r="AB560" s="4"/>
      <c r="AC560" s="5"/>
      <c r="AD560" s="4"/>
      <c r="AE560" s="5"/>
      <c r="AF560" s="7"/>
      <c r="AI560" s="6"/>
      <c r="AJ560" s="5"/>
      <c r="AK560" s="7"/>
      <c r="AN560" s="3"/>
      <c r="AO560" s="3"/>
      <c r="AP560" s="3"/>
    </row>
    <row r="561" spans="2:42" ht="11.1" customHeight="1" x14ac:dyDescent="0.2">
      <c r="B561" s="663" t="s">
        <v>73</v>
      </c>
      <c r="C561" s="815">
        <v>41332</v>
      </c>
      <c r="D561" s="817"/>
      <c r="E561" s="664" t="s">
        <v>106</v>
      </c>
      <c r="F561" s="665"/>
      <c r="G561" s="5"/>
      <c r="H561" s="5"/>
      <c r="I561" s="5"/>
      <c r="J561" s="5"/>
      <c r="K561" s="5"/>
      <c r="L561" s="5"/>
      <c r="M561" s="5"/>
      <c r="N561" s="5"/>
      <c r="O561" s="5"/>
      <c r="R561" s="3"/>
      <c r="V561" s="6"/>
      <c r="W561" s="3"/>
      <c r="X561" s="7"/>
      <c r="AB561" s="4"/>
      <c r="AC561" s="5"/>
      <c r="AD561" s="4"/>
      <c r="AE561" s="5"/>
      <c r="AF561" s="7"/>
      <c r="AI561" s="6"/>
      <c r="AJ561" s="5"/>
      <c r="AK561" s="7"/>
      <c r="AN561" s="3"/>
      <c r="AO561" s="3"/>
      <c r="AP561" s="3"/>
    </row>
    <row r="562" spans="2:42" ht="11.1" customHeight="1" x14ac:dyDescent="0.2">
      <c r="B562" s="663" t="s">
        <v>73</v>
      </c>
      <c r="C562" s="815">
        <v>41410</v>
      </c>
      <c r="D562" s="817"/>
      <c r="E562" s="664" t="s">
        <v>75</v>
      </c>
      <c r="F562" s="665"/>
      <c r="G562" s="5"/>
      <c r="H562" s="5"/>
      <c r="I562" s="5"/>
      <c r="J562" s="5"/>
      <c r="K562" s="5"/>
      <c r="L562" s="5"/>
      <c r="M562" s="5"/>
      <c r="N562" s="5"/>
      <c r="O562" s="5"/>
      <c r="R562" s="3"/>
      <c r="V562" s="6"/>
      <c r="W562" s="3"/>
      <c r="X562" s="7"/>
      <c r="AB562" s="4"/>
      <c r="AC562" s="5"/>
      <c r="AD562" s="4"/>
      <c r="AE562" s="5"/>
      <c r="AF562" s="7"/>
      <c r="AI562" s="6"/>
      <c r="AJ562" s="5"/>
      <c r="AK562" s="7"/>
      <c r="AN562" s="3"/>
      <c r="AO562" s="3"/>
      <c r="AP562" s="3"/>
    </row>
    <row r="563" spans="2:42" ht="11.1" customHeight="1" x14ac:dyDescent="0.2">
      <c r="B563" s="663" t="s">
        <v>73</v>
      </c>
      <c r="C563" s="815">
        <v>41515</v>
      </c>
      <c r="D563" s="817"/>
      <c r="E563" s="664" t="s">
        <v>76</v>
      </c>
      <c r="F563" s="665"/>
      <c r="G563" s="5"/>
      <c r="H563" s="5"/>
      <c r="I563" s="5"/>
      <c r="J563" s="5"/>
      <c r="K563" s="5"/>
      <c r="L563" s="5"/>
      <c r="M563" s="5"/>
      <c r="N563" s="5"/>
      <c r="O563" s="5"/>
      <c r="R563" s="3"/>
      <c r="V563" s="6"/>
      <c r="W563" s="3"/>
      <c r="X563" s="7"/>
      <c r="AB563" s="4"/>
      <c r="AC563" s="5"/>
      <c r="AD563" s="4"/>
      <c r="AE563" s="5"/>
      <c r="AF563" s="7"/>
      <c r="AI563" s="6"/>
      <c r="AJ563" s="5"/>
      <c r="AK563" s="7"/>
      <c r="AN563" s="3"/>
      <c r="AO563" s="3"/>
      <c r="AP563" s="3"/>
    </row>
    <row r="564" spans="2:42" ht="11.1" customHeight="1" x14ac:dyDescent="0.2">
      <c r="B564" s="663" t="s">
        <v>73</v>
      </c>
      <c r="C564" s="815">
        <v>41610</v>
      </c>
      <c r="D564" s="817"/>
      <c r="E564" s="664" t="s">
        <v>77</v>
      </c>
      <c r="F564" s="665"/>
      <c r="G564" s="5"/>
      <c r="H564" s="5"/>
      <c r="I564" s="5"/>
      <c r="J564" s="5"/>
      <c r="K564" s="5"/>
      <c r="L564" s="5"/>
      <c r="M564" s="5"/>
      <c r="N564" s="5"/>
      <c r="O564" s="5"/>
      <c r="R564" s="3"/>
      <c r="V564" s="6"/>
      <c r="W564" s="3"/>
      <c r="X564" s="7"/>
      <c r="AB564" s="4"/>
      <c r="AC564" s="5"/>
      <c r="AD564" s="4"/>
      <c r="AE564" s="5"/>
      <c r="AF564" s="7"/>
      <c r="AI564" s="6"/>
      <c r="AJ564" s="5"/>
      <c r="AK564" s="7"/>
      <c r="AN564" s="3"/>
      <c r="AO564" s="3"/>
      <c r="AP564" s="3"/>
    </row>
    <row r="565" spans="2:42" ht="11.1" customHeight="1" x14ac:dyDescent="0.2">
      <c r="B565" s="663" t="s">
        <v>73</v>
      </c>
      <c r="C565" s="815">
        <v>41702</v>
      </c>
      <c r="D565" s="817"/>
      <c r="E565" s="664" t="s">
        <v>78</v>
      </c>
      <c r="F565" s="665"/>
      <c r="G565" s="5"/>
      <c r="H565" s="5"/>
      <c r="I565" s="5"/>
      <c r="J565" s="5"/>
      <c r="K565" s="5"/>
      <c r="L565" s="5"/>
      <c r="M565" s="5"/>
      <c r="N565" s="5"/>
      <c r="O565" s="5"/>
      <c r="R565" s="3"/>
      <c r="V565" s="6"/>
      <c r="W565" s="3"/>
      <c r="X565" s="7"/>
      <c r="AB565" s="4"/>
      <c r="AC565" s="5"/>
      <c r="AD565" s="4"/>
      <c r="AE565" s="5"/>
      <c r="AF565" s="7"/>
      <c r="AI565" s="6"/>
      <c r="AJ565" s="5"/>
      <c r="AK565" s="7"/>
      <c r="AN565" s="3"/>
      <c r="AO565" s="3"/>
      <c r="AP565" s="3"/>
    </row>
    <row r="566" spans="2:42" ht="11.1" customHeight="1" x14ac:dyDescent="0.2">
      <c r="B566" s="663" t="s">
        <v>73</v>
      </c>
      <c r="C566" s="815">
        <v>41778</v>
      </c>
      <c r="D566" s="817"/>
      <c r="E566" s="664" t="s">
        <v>139</v>
      </c>
      <c r="F566" s="665"/>
      <c r="G566" s="5"/>
      <c r="H566" s="5"/>
      <c r="I566" s="5"/>
      <c r="J566" s="5"/>
      <c r="K566" s="5"/>
      <c r="L566" s="5"/>
      <c r="M566" s="5"/>
      <c r="N566" s="5"/>
      <c r="O566" s="5"/>
      <c r="R566" s="3"/>
      <c r="V566" s="6"/>
      <c r="W566" s="3"/>
      <c r="X566" s="7"/>
      <c r="AB566" s="4"/>
      <c r="AC566" s="5"/>
      <c r="AD566" s="4"/>
      <c r="AE566" s="5"/>
      <c r="AF566" s="7"/>
      <c r="AI566" s="6"/>
      <c r="AJ566" s="5"/>
      <c r="AK566" s="7"/>
      <c r="AN566" s="3"/>
      <c r="AO566" s="3"/>
      <c r="AP566" s="3"/>
    </row>
    <row r="567" spans="2:42" ht="11.1" customHeight="1" x14ac:dyDescent="0.2">
      <c r="B567" s="663" t="s">
        <v>73</v>
      </c>
      <c r="C567" s="815">
        <v>41872</v>
      </c>
      <c r="D567" s="817"/>
      <c r="E567" s="664" t="s">
        <v>142</v>
      </c>
      <c r="F567" s="665"/>
      <c r="G567" s="5"/>
      <c r="H567" s="5"/>
      <c r="I567" s="5"/>
      <c r="J567" s="5"/>
      <c r="K567" s="5"/>
      <c r="L567" s="5"/>
      <c r="M567" s="5"/>
      <c r="N567" s="5"/>
      <c r="O567" s="5"/>
      <c r="R567" s="3"/>
      <c r="V567" s="6"/>
      <c r="W567" s="3"/>
      <c r="X567" s="7"/>
      <c r="AB567" s="4"/>
      <c r="AC567" s="5"/>
      <c r="AD567" s="4"/>
      <c r="AE567" s="5"/>
      <c r="AF567" s="7"/>
      <c r="AI567" s="6"/>
      <c r="AJ567" s="5"/>
      <c r="AK567" s="7"/>
      <c r="AN567" s="3"/>
      <c r="AO567" s="3"/>
      <c r="AP567" s="3"/>
    </row>
    <row r="568" spans="2:42" ht="11.1" customHeight="1" x14ac:dyDescent="0.2">
      <c r="B568" s="663" t="s">
        <v>73</v>
      </c>
      <c r="C568" s="815">
        <v>41960</v>
      </c>
      <c r="D568" s="817"/>
      <c r="E568" s="664" t="s">
        <v>117</v>
      </c>
      <c r="F568" s="665"/>
      <c r="G568" s="5"/>
      <c r="H568" s="5"/>
      <c r="I568" s="5"/>
      <c r="J568" s="5"/>
      <c r="K568" s="5"/>
      <c r="L568" s="5"/>
      <c r="M568" s="5"/>
      <c r="N568" s="5"/>
      <c r="O568" s="5"/>
      <c r="R568" s="3"/>
      <c r="V568" s="6"/>
      <c r="W568" s="3"/>
      <c r="X568" s="7"/>
      <c r="AB568" s="4"/>
      <c r="AC568" s="5"/>
      <c r="AD568" s="4"/>
      <c r="AE568" s="5"/>
      <c r="AF568" s="7"/>
      <c r="AI568" s="6"/>
      <c r="AJ568" s="5"/>
      <c r="AK568" s="7"/>
      <c r="AN568" s="3"/>
      <c r="AO568" s="3"/>
      <c r="AP568" s="3"/>
    </row>
    <row r="569" spans="2:42" ht="11.1" customHeight="1" x14ac:dyDescent="0.2">
      <c r="B569" s="663" t="s">
        <v>73</v>
      </c>
      <c r="C569" s="815">
        <v>42052</v>
      </c>
      <c r="D569" s="817"/>
      <c r="E569" s="664" t="s">
        <v>62</v>
      </c>
      <c r="F569" s="665"/>
      <c r="G569" s="5"/>
      <c r="H569" s="5"/>
      <c r="I569" s="5"/>
      <c r="J569" s="5"/>
      <c r="K569" s="5"/>
      <c r="L569" s="5"/>
      <c r="M569" s="5"/>
      <c r="N569" s="5"/>
      <c r="O569" s="5"/>
      <c r="R569" s="3"/>
      <c r="V569" s="6"/>
      <c r="W569" s="3"/>
      <c r="X569" s="7"/>
      <c r="AB569" s="4"/>
      <c r="AC569" s="5"/>
      <c r="AD569" s="4"/>
      <c r="AE569" s="5"/>
      <c r="AF569" s="7"/>
      <c r="AI569" s="6"/>
      <c r="AJ569" s="5"/>
      <c r="AK569" s="7"/>
      <c r="AN569" s="3"/>
      <c r="AO569" s="3"/>
      <c r="AP569" s="3"/>
    </row>
    <row r="570" spans="2:42" ht="11.1" customHeight="1" x14ac:dyDescent="0.2">
      <c r="B570" s="663" t="s">
        <v>73</v>
      </c>
      <c r="C570" s="815">
        <v>42156</v>
      </c>
      <c r="D570" s="817"/>
      <c r="E570" s="664" t="s">
        <v>132</v>
      </c>
      <c r="F570" s="665"/>
      <c r="G570" s="5"/>
      <c r="H570" s="5"/>
      <c r="I570" s="5"/>
      <c r="J570" s="5"/>
      <c r="K570" s="5"/>
      <c r="L570" s="5"/>
      <c r="M570" s="5"/>
      <c r="N570" s="5"/>
      <c r="O570" s="5"/>
      <c r="R570" s="3"/>
      <c r="V570" s="6"/>
      <c r="W570" s="3"/>
      <c r="X570" s="7"/>
      <c r="AB570" s="4"/>
      <c r="AC570" s="5"/>
      <c r="AD570" s="4"/>
      <c r="AE570" s="5"/>
      <c r="AF570" s="7"/>
      <c r="AI570" s="6"/>
      <c r="AJ570" s="5"/>
      <c r="AK570" s="7"/>
      <c r="AN570" s="3"/>
      <c r="AO570" s="3"/>
      <c r="AP570" s="3"/>
    </row>
    <row r="571" spans="2:42" ht="11.1" customHeight="1" x14ac:dyDescent="0.2">
      <c r="B571" s="663" t="s">
        <v>73</v>
      </c>
      <c r="C571" s="815">
        <v>42248</v>
      </c>
      <c r="D571" s="817"/>
      <c r="E571" s="664" t="s">
        <v>150</v>
      </c>
      <c r="F571" s="665"/>
      <c r="G571" s="5"/>
      <c r="H571" s="5"/>
      <c r="I571" s="5"/>
      <c r="J571" s="5"/>
      <c r="K571" s="5"/>
      <c r="L571" s="5"/>
      <c r="M571" s="5"/>
      <c r="N571" s="5"/>
      <c r="O571" s="5"/>
      <c r="R571" s="3"/>
      <c r="V571" s="6"/>
      <c r="W571" s="3"/>
      <c r="X571" s="7"/>
      <c r="AB571" s="4"/>
      <c r="AC571" s="5"/>
      <c r="AD571" s="4"/>
      <c r="AE571" s="5"/>
      <c r="AF571" s="7"/>
      <c r="AI571" s="6"/>
      <c r="AJ571" s="5"/>
      <c r="AK571" s="7"/>
      <c r="AN571" s="3"/>
      <c r="AO571" s="3"/>
      <c r="AP571" s="3"/>
    </row>
    <row r="572" spans="2:42" ht="11.1" customHeight="1" x14ac:dyDescent="0.2">
      <c r="B572" s="663" t="s">
        <v>73</v>
      </c>
      <c r="C572" s="815">
        <v>42408</v>
      </c>
      <c r="D572" s="817"/>
      <c r="E572" s="664" t="s">
        <v>116</v>
      </c>
      <c r="F572" s="665"/>
      <c r="G572" s="5"/>
      <c r="H572" s="5"/>
      <c r="I572" s="5"/>
      <c r="J572" s="5"/>
      <c r="K572" s="5"/>
      <c r="L572" s="5"/>
      <c r="M572" s="5"/>
      <c r="N572" s="5"/>
      <c r="O572" s="5"/>
      <c r="R572" s="3"/>
      <c r="V572" s="6"/>
      <c r="W572" s="3"/>
      <c r="X572" s="7"/>
      <c r="AB572" s="4"/>
      <c r="AC572" s="5"/>
      <c r="AD572" s="4"/>
      <c r="AE572" s="5"/>
      <c r="AF572" s="7"/>
      <c r="AI572" s="6"/>
      <c r="AJ572" s="5"/>
      <c r="AK572" s="7"/>
      <c r="AN572" s="3"/>
      <c r="AO572" s="3"/>
      <c r="AP572" s="3"/>
    </row>
    <row r="573" spans="2:42" ht="11.1" customHeight="1" x14ac:dyDescent="0.2">
      <c r="B573" s="663" t="s">
        <v>73</v>
      </c>
      <c r="C573" s="815">
        <v>42503</v>
      </c>
      <c r="D573" s="817"/>
      <c r="E573" s="664" t="s">
        <v>128</v>
      </c>
      <c r="F573" s="665"/>
      <c r="G573" s="5"/>
      <c r="H573" s="5"/>
      <c r="I573" s="5"/>
      <c r="J573" s="5"/>
      <c r="K573" s="5"/>
      <c r="L573" s="5"/>
      <c r="M573" s="5"/>
      <c r="N573" s="5"/>
      <c r="O573" s="5"/>
      <c r="R573" s="3"/>
      <c r="V573" s="6"/>
      <c r="W573" s="3"/>
      <c r="X573" s="7"/>
      <c r="AB573" s="4"/>
      <c r="AC573" s="5"/>
      <c r="AD573" s="4"/>
      <c r="AE573" s="5"/>
      <c r="AF573" s="7"/>
      <c r="AI573" s="6"/>
      <c r="AJ573" s="5"/>
      <c r="AK573" s="7"/>
      <c r="AN573" s="3"/>
      <c r="AO573" s="3"/>
      <c r="AP573" s="3"/>
    </row>
    <row r="574" spans="2:42" ht="11.1" customHeight="1" x14ac:dyDescent="0.2">
      <c r="B574" s="663" t="s">
        <v>73</v>
      </c>
      <c r="C574" s="815">
        <v>42618</v>
      </c>
      <c r="D574" s="817"/>
      <c r="E574" s="664" t="s">
        <v>141</v>
      </c>
      <c r="F574" s="665"/>
      <c r="G574" s="5"/>
      <c r="H574" s="5"/>
      <c r="I574" s="5"/>
      <c r="J574" s="5"/>
      <c r="K574" s="5"/>
      <c r="L574" s="5"/>
      <c r="M574" s="5"/>
      <c r="N574" s="5"/>
      <c r="O574" s="5"/>
      <c r="R574" s="3"/>
      <c r="V574" s="6"/>
      <c r="W574" s="3"/>
      <c r="X574" s="7"/>
      <c r="AB574" s="4"/>
      <c r="AC574" s="5"/>
      <c r="AD574" s="4"/>
      <c r="AE574" s="5"/>
      <c r="AF574" s="7"/>
      <c r="AI574" s="6"/>
      <c r="AJ574" s="5"/>
      <c r="AK574" s="7"/>
      <c r="AN574" s="3"/>
      <c r="AO574" s="3"/>
      <c r="AP574" s="3"/>
    </row>
    <row r="575" spans="2:42" ht="11.1" customHeight="1" x14ac:dyDescent="0.2">
      <c r="B575" s="663" t="s">
        <v>73</v>
      </c>
      <c r="C575" s="815">
        <v>42688</v>
      </c>
      <c r="D575" s="817"/>
      <c r="E575" s="664" t="s">
        <v>128</v>
      </c>
      <c r="F575" s="665"/>
      <c r="G575" s="5"/>
      <c r="H575" s="5"/>
      <c r="I575" s="5"/>
      <c r="J575" s="5"/>
      <c r="K575" s="5"/>
      <c r="L575" s="5"/>
      <c r="M575" s="5"/>
      <c r="N575" s="5"/>
      <c r="O575" s="5"/>
      <c r="R575" s="3"/>
      <c r="V575" s="6"/>
      <c r="W575" s="3"/>
      <c r="X575" s="7"/>
      <c r="AB575" s="4"/>
      <c r="AC575" s="5"/>
      <c r="AD575" s="4"/>
      <c r="AE575" s="5"/>
      <c r="AF575" s="7"/>
      <c r="AI575" s="6"/>
      <c r="AJ575" s="5"/>
      <c r="AK575" s="7"/>
      <c r="AN575" s="3"/>
      <c r="AO575" s="3"/>
      <c r="AP575" s="3"/>
    </row>
    <row r="576" spans="2:42" ht="11.1" customHeight="1" x14ac:dyDescent="0.2">
      <c r="B576" s="663" t="s">
        <v>73</v>
      </c>
      <c r="C576" s="815">
        <v>42767</v>
      </c>
      <c r="D576" s="817"/>
      <c r="E576" s="664" t="s">
        <v>137</v>
      </c>
      <c r="F576" s="665"/>
      <c r="G576" s="5"/>
      <c r="H576" s="5"/>
      <c r="I576" s="5"/>
      <c r="J576" s="5"/>
      <c r="K576" s="5"/>
      <c r="L576" s="5"/>
      <c r="M576" s="5"/>
      <c r="N576" s="5"/>
      <c r="O576" s="5"/>
      <c r="R576" s="3"/>
      <c r="V576" s="6"/>
      <c r="W576" s="3"/>
      <c r="X576" s="7"/>
      <c r="AB576" s="4"/>
      <c r="AC576" s="5"/>
      <c r="AD576" s="4"/>
      <c r="AE576" s="5"/>
      <c r="AF576" s="7"/>
      <c r="AI576" s="6"/>
      <c r="AJ576" s="5"/>
      <c r="AK576" s="7"/>
      <c r="AN576" s="3"/>
      <c r="AO576" s="3"/>
      <c r="AP576" s="3"/>
    </row>
    <row r="577" spans="2:18" ht="11.1" customHeight="1" x14ac:dyDescent="0.2">
      <c r="B577" s="3"/>
      <c r="C577" s="815"/>
      <c r="D577" s="817"/>
      <c r="O577" s="3"/>
      <c r="P577" s="3"/>
      <c r="R577" s="3"/>
    </row>
    <row r="578" spans="2:18" ht="11.1" customHeight="1" x14ac:dyDescent="0.2">
      <c r="B578" s="3"/>
      <c r="C578" s="815"/>
      <c r="D578" s="816"/>
      <c r="N578" s="4"/>
      <c r="O578" s="5"/>
    </row>
    <row r="579" spans="2:18" ht="11.1" customHeight="1" x14ac:dyDescent="0.2">
      <c r="C579" s="815"/>
      <c r="D579" s="816"/>
    </row>
    <row r="580" spans="2:18" ht="11.1" customHeight="1" x14ac:dyDescent="0.2">
      <c r="C580" s="815"/>
      <c r="D580" s="816"/>
    </row>
    <row r="581" spans="2:18" ht="11.1" customHeight="1" x14ac:dyDescent="0.2">
      <c r="C581" s="815"/>
      <c r="D581" s="816"/>
    </row>
    <row r="582" spans="2:18" ht="11.1" customHeight="1" x14ac:dyDescent="0.2">
      <c r="C582" s="815"/>
      <c r="D582" s="816"/>
    </row>
    <row r="583" spans="2:18" ht="11.1" customHeight="1" x14ac:dyDescent="0.2">
      <c r="C583" s="815"/>
      <c r="D583" s="816"/>
    </row>
    <row r="584" spans="2:18" ht="11.1" customHeight="1" x14ac:dyDescent="0.2">
      <c r="C584" s="815"/>
      <c r="D584" s="816"/>
    </row>
    <row r="585" spans="2:18" ht="11.1" customHeight="1" x14ac:dyDescent="0.2">
      <c r="C585" s="815"/>
      <c r="D585" s="816"/>
    </row>
    <row r="586" spans="2:18" ht="11.1" customHeight="1" x14ac:dyDescent="0.2">
      <c r="C586" s="815"/>
      <c r="D586" s="816"/>
    </row>
    <row r="587" spans="2:18" ht="11.1" customHeight="1" x14ac:dyDescent="0.2">
      <c r="C587" s="815"/>
      <c r="D587" s="816"/>
    </row>
    <row r="588" spans="2:18" ht="11.1" customHeight="1" x14ac:dyDescent="0.2">
      <c r="C588" s="815"/>
      <c r="D588" s="816"/>
    </row>
    <row r="589" spans="2:18" ht="11.1" customHeight="1" x14ac:dyDescent="0.2">
      <c r="C589" s="815"/>
      <c r="D589" s="816"/>
    </row>
    <row r="590" spans="2:18" ht="11.1" customHeight="1" x14ac:dyDescent="0.2">
      <c r="C590" s="815"/>
      <c r="D590" s="816"/>
    </row>
    <row r="591" spans="2:18" ht="11.1" customHeight="1" x14ac:dyDescent="0.2">
      <c r="C591" s="815"/>
      <c r="D591" s="816"/>
    </row>
    <row r="592" spans="2:18" ht="11.1" customHeight="1" x14ac:dyDescent="0.2">
      <c r="C592" s="815"/>
      <c r="D592" s="816"/>
    </row>
    <row r="593" spans="3:4" ht="11.1" customHeight="1" x14ac:dyDescent="0.2">
      <c r="C593" s="815"/>
      <c r="D593" s="816"/>
    </row>
  </sheetData>
  <sortState ref="B435:N529">
    <sortCondition ref="B435:B529"/>
    <sortCondition ref="C435:C529"/>
  </sortState>
  <mergeCells count="131">
    <mergeCell ref="Q3:AE4"/>
    <mergeCell ref="C487:D487"/>
    <mergeCell ref="C488:D488"/>
    <mergeCell ref="C489:D489"/>
    <mergeCell ref="AY333:AY342"/>
    <mergeCell ref="AX384:AX386"/>
    <mergeCell ref="AR384:AR386"/>
    <mergeCell ref="AS384:AS386"/>
    <mergeCell ref="AT384:AT386"/>
    <mergeCell ref="AU384:AU386"/>
    <mergeCell ref="AV384:AV386"/>
    <mergeCell ref="AW384:AW386"/>
    <mergeCell ref="C485:D485"/>
    <mergeCell ref="AR195:AR196"/>
    <mergeCell ref="AS195:AS196"/>
    <mergeCell ref="AT195:AT196"/>
    <mergeCell ref="AU195:AU196"/>
    <mergeCell ref="AV195:AV196"/>
    <mergeCell ref="AW195:AW196"/>
    <mergeCell ref="AX195:AX196"/>
    <mergeCell ref="AI189:AJ189"/>
    <mergeCell ref="AI190:AJ190"/>
    <mergeCell ref="AI191:AJ191"/>
    <mergeCell ref="C573:D573"/>
    <mergeCell ref="C574:D574"/>
    <mergeCell ref="C575:D575"/>
    <mergeCell ref="C576:D576"/>
    <mergeCell ref="C495:D495"/>
    <mergeCell ref="C568:D568"/>
    <mergeCell ref="C569:D569"/>
    <mergeCell ref="C570:D570"/>
    <mergeCell ref="C571:D571"/>
    <mergeCell ref="C572:D572"/>
    <mergeCell ref="C563:D563"/>
    <mergeCell ref="C564:D564"/>
    <mergeCell ref="C565:D565"/>
    <mergeCell ref="C566:D566"/>
    <mergeCell ref="C567:D567"/>
    <mergeCell ref="C558:D558"/>
    <mergeCell ref="C559:D559"/>
    <mergeCell ref="C560:D560"/>
    <mergeCell ref="C561:D561"/>
    <mergeCell ref="C562:D562"/>
    <mergeCell ref="C522:D522"/>
    <mergeCell ref="C523:D523"/>
    <mergeCell ref="C524:D524"/>
    <mergeCell ref="C525:D525"/>
    <mergeCell ref="C547:D547"/>
    <mergeCell ref="C548:D548"/>
    <mergeCell ref="C501:D501"/>
    <mergeCell ref="C502:D502"/>
    <mergeCell ref="C503:D503"/>
    <mergeCell ref="C504:D504"/>
    <mergeCell ref="C505:D505"/>
    <mergeCell ref="C496:D496"/>
    <mergeCell ref="C497:D497"/>
    <mergeCell ref="C498:D498"/>
    <mergeCell ref="C499:D499"/>
    <mergeCell ref="C500:D500"/>
    <mergeCell ref="C526:D526"/>
    <mergeCell ref="C517:D517"/>
    <mergeCell ref="C518:D518"/>
    <mergeCell ref="C519:D519"/>
    <mergeCell ref="C520:D520"/>
    <mergeCell ref="C521:D521"/>
    <mergeCell ref="C512:D512"/>
    <mergeCell ref="C513:D513"/>
    <mergeCell ref="C514:D514"/>
    <mergeCell ref="C515:D515"/>
    <mergeCell ref="C516:D516"/>
    <mergeCell ref="C507:D507"/>
    <mergeCell ref="C543:D543"/>
    <mergeCell ref="C544:D544"/>
    <mergeCell ref="C482:D482"/>
    <mergeCell ref="C483:D483"/>
    <mergeCell ref="C484:D484"/>
    <mergeCell ref="C538:D538"/>
    <mergeCell ref="C539:D539"/>
    <mergeCell ref="C540:D540"/>
    <mergeCell ref="C541:D541"/>
    <mergeCell ref="C542:D542"/>
    <mergeCell ref="C533:D533"/>
    <mergeCell ref="C534:D534"/>
    <mergeCell ref="C535:D535"/>
    <mergeCell ref="C536:D536"/>
    <mergeCell ref="C537:D537"/>
    <mergeCell ref="C528:D528"/>
    <mergeCell ref="C529:D529"/>
    <mergeCell ref="C530:D530"/>
    <mergeCell ref="C531:D531"/>
    <mergeCell ref="C508:D508"/>
    <mergeCell ref="C509:D509"/>
    <mergeCell ref="C510:D510"/>
    <mergeCell ref="C511:D511"/>
    <mergeCell ref="C486:D486"/>
    <mergeCell ref="C577:D577"/>
    <mergeCell ref="C578:D578"/>
    <mergeCell ref="C579:D579"/>
    <mergeCell ref="C580:D580"/>
    <mergeCell ref="C581:D581"/>
    <mergeCell ref="C490:D490"/>
    <mergeCell ref="C491:D491"/>
    <mergeCell ref="C492:D492"/>
    <mergeCell ref="C493:D493"/>
    <mergeCell ref="C494:D494"/>
    <mergeCell ref="C532:D532"/>
    <mergeCell ref="C554:D554"/>
    <mergeCell ref="C555:D555"/>
    <mergeCell ref="C556:D556"/>
    <mergeCell ref="C557:D557"/>
    <mergeCell ref="C527:D527"/>
    <mergeCell ref="C549:D549"/>
    <mergeCell ref="C550:D550"/>
    <mergeCell ref="C551:D551"/>
    <mergeCell ref="C552:D552"/>
    <mergeCell ref="C553:D553"/>
    <mergeCell ref="C506:D506"/>
    <mergeCell ref="C545:D545"/>
    <mergeCell ref="C546:D546"/>
    <mergeCell ref="C592:D592"/>
    <mergeCell ref="C593:D593"/>
    <mergeCell ref="C587:D587"/>
    <mergeCell ref="C588:D588"/>
    <mergeCell ref="C589:D589"/>
    <mergeCell ref="C590:D590"/>
    <mergeCell ref="C591:D591"/>
    <mergeCell ref="C582:D582"/>
    <mergeCell ref="C583:D583"/>
    <mergeCell ref="C584:D584"/>
    <mergeCell ref="C585:D585"/>
    <mergeCell ref="C586:D586"/>
  </mergeCells>
  <phoneticPr fontId="1"/>
  <hyperlinks>
    <hyperlink ref="D3" r:id="rId1" display="県原セの関連ページ"/>
    <hyperlink ref="H3" r:id="rId2"/>
    <hyperlink ref="K3" r:id="rId3"/>
    <hyperlink ref="K3:M3" r:id="rId4" display="放射能情報サイトみやぎ"/>
    <hyperlink ref="H3:J3" r:id="rId5" display="原子力安全対策課"/>
    <hyperlink ref="D3:G3" r:id="rId6" display="環境放射線監視センター"/>
    <hyperlink ref="N3" r:id="rId7"/>
    <hyperlink ref="N3:O3" r:id="rId8" display="kmdみやぎ"/>
  </hyperlinks>
  <pageMargins left="0.39370078740157483" right="0" top="0.59055118110236227" bottom="0" header="0" footer="0"/>
  <pageSetup paperSize="9" scale="85" orientation="portrait" horizontalDpi="4294967293" verticalDpi="360" r:id="rId9"/>
  <headerFooter alignWithMargins="0">
    <oddHeader>&amp;R&amp;8&amp;F／頁&amp;P/&amp;N／&amp;D</oddHeader>
  </headerFooter>
  <drawing r:id="rId1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48"/>
  <sheetViews>
    <sheetView workbookViewId="0">
      <selection sqref="A1:XFD1048576"/>
    </sheetView>
  </sheetViews>
  <sheetFormatPr defaultColWidth="3.69921875" defaultRowHeight="12" x14ac:dyDescent="0.2"/>
  <cols>
    <col min="1" max="1" width="1.3984375" style="3" customWidth="1"/>
    <col min="2" max="16384" width="3.69921875" style="3"/>
  </cols>
  <sheetData>
    <row r="2" spans="2:2" ht="11.1" customHeight="1" x14ac:dyDescent="0.2">
      <c r="B2" s="3" t="s">
        <v>176</v>
      </c>
    </row>
    <row r="3" spans="2:2" ht="11.1" customHeight="1" x14ac:dyDescent="0.2">
      <c r="B3" s="3" t="s">
        <v>177</v>
      </c>
    </row>
    <row r="4" spans="2:2" ht="11.1" customHeight="1" x14ac:dyDescent="0.2">
      <c r="B4" s="3" t="s">
        <v>178</v>
      </c>
    </row>
    <row r="5" spans="2:2" ht="11.1" customHeight="1" x14ac:dyDescent="0.2">
      <c r="B5" s="3" t="s">
        <v>177</v>
      </c>
    </row>
    <row r="6" spans="2:2" ht="11.1" customHeight="1" x14ac:dyDescent="0.2">
      <c r="B6" s="3" t="s">
        <v>179</v>
      </c>
    </row>
    <row r="7" spans="2:2" ht="11.1" customHeight="1" x14ac:dyDescent="0.2">
      <c r="B7" s="3" t="s">
        <v>177</v>
      </c>
    </row>
    <row r="8" spans="2:2" ht="11.1" customHeight="1" x14ac:dyDescent="0.2">
      <c r="B8" s="3" t="s">
        <v>180</v>
      </c>
    </row>
    <row r="9" spans="2:2" ht="11.1" customHeight="1" x14ac:dyDescent="0.2">
      <c r="B9" s="3" t="s">
        <v>181</v>
      </c>
    </row>
    <row r="10" spans="2:2" ht="11.1" customHeight="1" x14ac:dyDescent="0.2">
      <c r="B10" s="3" t="s">
        <v>182</v>
      </c>
    </row>
    <row r="11" spans="2:2" ht="11.1" customHeight="1" x14ac:dyDescent="0.2">
      <c r="B11" s="3" t="s">
        <v>183</v>
      </c>
    </row>
    <row r="12" spans="2:2" ht="11.1" customHeight="1" x14ac:dyDescent="0.2">
      <c r="B12" s="3" t="s">
        <v>184</v>
      </c>
    </row>
    <row r="13" spans="2:2" ht="11.1" customHeight="1" x14ac:dyDescent="0.2">
      <c r="B13" s="3" t="s">
        <v>185</v>
      </c>
    </row>
    <row r="15" spans="2:2" ht="11.1" customHeight="1" x14ac:dyDescent="0.2">
      <c r="B15" s="3" t="s">
        <v>186</v>
      </c>
    </row>
    <row r="17" spans="2:2" ht="11.1" customHeight="1" x14ac:dyDescent="0.2">
      <c r="B17" s="3" t="s">
        <v>187</v>
      </c>
    </row>
    <row r="18" spans="2:2" ht="11.1" customHeight="1" x14ac:dyDescent="0.2">
      <c r="B18" s="3" t="s">
        <v>188</v>
      </c>
    </row>
    <row r="20" spans="2:2" ht="11.1" customHeight="1" x14ac:dyDescent="0.2">
      <c r="B20" s="3" t="s">
        <v>189</v>
      </c>
    </row>
    <row r="22" spans="2:2" ht="11.1" customHeight="1" x14ac:dyDescent="0.2">
      <c r="B22" s="3" t="s">
        <v>190</v>
      </c>
    </row>
    <row r="24" spans="2:2" ht="11.1" customHeight="1" x14ac:dyDescent="0.2">
      <c r="B24" s="3" t="s">
        <v>191</v>
      </c>
    </row>
    <row r="25" spans="2:2" ht="11.1" customHeight="1" x14ac:dyDescent="0.2">
      <c r="B25" s="3" t="s">
        <v>192</v>
      </c>
    </row>
    <row r="27" spans="2:2" ht="11.1" customHeight="1" x14ac:dyDescent="0.2">
      <c r="B27" s="3" t="s">
        <v>193</v>
      </c>
    </row>
    <row r="28" spans="2:2" ht="11.1" customHeight="1" x14ac:dyDescent="0.2">
      <c r="B28" s="3" t="s">
        <v>194</v>
      </c>
    </row>
    <row r="29" spans="2:2" ht="11.1" customHeight="1" x14ac:dyDescent="0.2">
      <c r="B29" s="3" t="s">
        <v>195</v>
      </c>
    </row>
    <row r="30" spans="2:2" ht="11.1" customHeight="1" x14ac:dyDescent="0.2">
      <c r="B30" s="3" t="s">
        <v>196</v>
      </c>
    </row>
    <row r="31" spans="2:2" ht="11.1" customHeight="1" x14ac:dyDescent="0.2">
      <c r="B31" s="3" t="s">
        <v>197</v>
      </c>
    </row>
    <row r="33" spans="2:2" ht="11.1" customHeight="1" x14ac:dyDescent="0.2">
      <c r="B33" s="3" t="s">
        <v>198</v>
      </c>
    </row>
    <row r="35" spans="2:2" ht="11.1" customHeight="1" x14ac:dyDescent="0.2">
      <c r="B35" s="3" t="s">
        <v>199</v>
      </c>
    </row>
    <row r="36" spans="2:2" ht="11.1" customHeight="1" x14ac:dyDescent="0.2">
      <c r="B36" s="3" t="s">
        <v>177</v>
      </c>
    </row>
    <row r="37" spans="2:2" ht="11.1" customHeight="1" x14ac:dyDescent="0.2">
      <c r="B37" s="3" t="s">
        <v>200</v>
      </c>
    </row>
    <row r="38" spans="2:2" ht="11.1" customHeight="1" x14ac:dyDescent="0.2">
      <c r="B38" s="3" t="s">
        <v>201</v>
      </c>
    </row>
    <row r="39" spans="2:2" ht="11.1" customHeight="1" x14ac:dyDescent="0.2">
      <c r="B39" s="3" t="s">
        <v>202</v>
      </c>
    </row>
    <row r="40" spans="2:2" ht="11.1" customHeight="1" x14ac:dyDescent="0.2">
      <c r="B40" s="3" t="s">
        <v>203</v>
      </c>
    </row>
    <row r="41" spans="2:2" ht="11.1" customHeight="1" x14ac:dyDescent="0.2">
      <c r="B41" s="3" t="s">
        <v>204</v>
      </c>
    </row>
    <row r="42" spans="2:2" ht="11.1" customHeight="1" x14ac:dyDescent="0.2">
      <c r="B42" s="3" t="s">
        <v>205</v>
      </c>
    </row>
    <row r="43" spans="2:2" ht="11.1" customHeight="1" x14ac:dyDescent="0.2">
      <c r="B43" s="3" t="s">
        <v>206</v>
      </c>
    </row>
    <row r="44" spans="2:2" ht="11.1" customHeight="1" x14ac:dyDescent="0.2">
      <c r="B44" s="3" t="s">
        <v>207</v>
      </c>
    </row>
    <row r="45" spans="2:2" ht="11.1" customHeight="1" x14ac:dyDescent="0.2">
      <c r="B45" s="3" t="s">
        <v>208</v>
      </c>
    </row>
    <row r="46" spans="2:2" ht="11.1" customHeight="1" x14ac:dyDescent="0.2">
      <c r="B46" s="3" t="s">
        <v>209</v>
      </c>
    </row>
    <row r="48" spans="2:2" ht="11.1" customHeight="1" x14ac:dyDescent="0.2">
      <c r="B48" s="3" t="s">
        <v>210</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7</vt:i4>
      </vt:variant>
    </vt:vector>
  </HeadingPairs>
  <TitlesOfParts>
    <vt:vector size="9" baseType="lpstr">
      <vt:lpstr>あらめ</vt:lpstr>
      <vt:lpstr>Sheet1</vt:lpstr>
      <vt:lpstr>ND代替値</vt:lpstr>
      <vt:lpstr>ND代替値2</vt:lpstr>
      <vt:lpstr>ダミー値</vt:lpstr>
      <vt:lpstr>事故日Cb</vt:lpstr>
      <vt:lpstr>事故日Fk</vt:lpstr>
      <vt:lpstr>調査開始日</vt:lpstr>
      <vt:lpstr>調査開始日2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1999-10-22T02:28:48Z</cp:lastPrinted>
  <dcterms:created xsi:type="dcterms:W3CDTF">2019-05-17T04:02:22Z</dcterms:created>
  <dcterms:modified xsi:type="dcterms:W3CDTF">2019-07-22T07:55:37Z</dcterms:modified>
</cp:coreProperties>
</file>